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清单" sheetId="78" r:id="rId14"/>
    <sheet name="数据-汇总表" sheetId="6" r:id="rId15"/>
    <sheet name="数据-取费表" sheetId="1" r:id="rId16"/>
    <sheet name="估价对象房地状况" sheetId="20" r:id="rId17"/>
    <sheet name="系统读取表" sheetId="74" r:id="rId18"/>
    <sheet name="结果表" sheetId="9" r:id="rId19"/>
    <sheet name="比较法-商业" sheetId="33" r:id="rId20"/>
    <sheet name="收益法" sheetId="15" r:id="rId21"/>
    <sheet name="成本法" sheetId="68" state="hidden" r:id="rId22"/>
    <sheet name="成本法 (元)" sheetId="69" state="hidden" r:id="rId23"/>
    <sheet name="假设开发法" sheetId="12" state="hidden" r:id="rId24"/>
    <sheet name="典型户型修正" sheetId="31" r:id="rId25"/>
    <sheet name="收益法 (元)" sheetId="67" state="hidden" r:id="rId26"/>
    <sheet name="收益法-酒店模型" sheetId="77" state="hidden" r:id="rId27"/>
    <sheet name="收益法（汇总）" sheetId="70" state="hidden" r:id="rId28"/>
    <sheet name="比较法-住宅" sheetId="21" state="hidden" r:id="rId29"/>
    <sheet name="结果表(办公)" sheetId="80" r:id="rId30"/>
    <sheet name="比较法-办公" sheetId="34" r:id="rId31"/>
    <sheet name="收益法(办公)" sheetId="79" r:id="rId32"/>
    <sheet name="比较法-工业" sheetId="37" state="hidden" r:id="rId33"/>
    <sheet name="结果表(车位)" sheetId="82" r:id="rId34"/>
    <sheet name="比较法-车位" sheetId="35" r:id="rId35"/>
    <sheet name="收益法(车位)" sheetId="81"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30" hidden="1">'比较法-办公'!$A$1:$L$50</definedName>
    <definedName name="_xlnm._FilterDatabase" localSheetId="36" hidden="1">'比较法-仓储'!$A$1:$L$37</definedName>
    <definedName name="_xlnm._FilterDatabase" localSheetId="34" hidden="1">'比较法-车位'!$A$1:$L$39</definedName>
    <definedName name="_xlnm._FilterDatabase" localSheetId="32" hidden="1">'比较法-工业'!$A$1:$L$43</definedName>
    <definedName name="_xlnm._FilterDatabase" localSheetId="19" hidden="1">'比较法-商业'!$A$1:$L$49</definedName>
    <definedName name="_xlnm._FilterDatabase" localSheetId="28" hidden="1">'比较法-住宅'!$A$1:$L$49</definedName>
    <definedName name="_xlnm._FilterDatabase" localSheetId="13" hidden="1">面积清单!$A$1:$G$46</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6">'比较法-仓储'!$A$1:$K$42,'比较法-仓储'!$A$45:$M$96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3">假设开发法!$A$1:$K$32</definedName>
    <definedName name="_xlnm.Print_Area" localSheetId="18">结果表!$A$1:$I$127</definedName>
    <definedName name="_xlnm.Print_Area" localSheetId="29">'结果表(办公)'!$A$1:$I$127</definedName>
    <definedName name="_xlnm.Print_Area" localSheetId="33">'结果表(车位)'!$A$1:$I$127</definedName>
    <definedName name="_xlnm.Print_Area" localSheetId="20">收益法!$A$1:$F$43,收益法!$H$3:$M$29,收益法!$A$46:$F$71,收益法!$I$46:$N$65</definedName>
    <definedName name="_xlnm.Print_Area" localSheetId="25">'收益法 (元)'!$A$1:$F$43,'收益法 (元)'!$H$3:$M$29,'收益法 (元)'!$A$45:$F$71,'收益法 (元)'!$I$46:$N$65</definedName>
    <definedName name="_xlnm.Print_Area" localSheetId="31">'收益法(办公)'!$A$1:$F$43,'收益法(办公)'!$H$3:$M$29,'收益法(办公)'!$A$46:$F$71,'收益法(办公)'!$I$46:$N$65</definedName>
    <definedName name="_xlnm.Print_Area" localSheetId="35">'收益法(车位)'!$A$1:$F$43,'收益法(车位)'!$H$3:$M$29,'收益法(车位)'!$A$46:$F$71,'收益法(车位)'!$I$46:$N$65</definedName>
    <definedName name="_xlnm.Print_Area" localSheetId="27">'收益法（汇总）'!$A$1:$F$13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6" i="74" l="1"/>
  <c r="B15" i="74"/>
  <c r="B14" i="74"/>
  <c r="I37" i="35"/>
  <c r="G37" i="35"/>
  <c r="I29" i="35"/>
  <c r="G29" i="35"/>
  <c r="E29" i="35"/>
  <c r="C29" i="35"/>
  <c r="I7" i="35"/>
  <c r="G7" i="35"/>
  <c r="E7" i="35"/>
  <c r="A120" i="82"/>
  <c r="A118" i="82"/>
  <c r="E111" i="82"/>
  <c r="A126" i="82" s="1"/>
  <c r="E109" i="82"/>
  <c r="A124" i="82" s="1"/>
  <c r="E107" i="82"/>
  <c r="A122" i="82" s="1"/>
  <c r="H106" i="82"/>
  <c r="H103" i="82" s="1"/>
  <c r="D120" i="82" s="1"/>
  <c r="H105" i="82"/>
  <c r="H104" i="82"/>
  <c r="D101" i="82"/>
  <c r="C101" i="82"/>
  <c r="D93" i="82"/>
  <c r="C91" i="82"/>
  <c r="E90" i="82"/>
  <c r="D89" i="82"/>
  <c r="C89" i="82" s="1"/>
  <c r="C87" i="82" s="1"/>
  <c r="D78" i="82"/>
  <c r="H77" i="82"/>
  <c r="D77" i="82"/>
  <c r="C77" i="82" s="1"/>
  <c r="C76" i="82"/>
  <c r="C74" i="82" s="1"/>
  <c r="D68" i="82"/>
  <c r="F59" i="82"/>
  <c r="E59" i="82"/>
  <c r="N56" i="82"/>
  <c r="M56" i="82"/>
  <c r="K56" i="82"/>
  <c r="J56" i="82"/>
  <c r="F56" i="82"/>
  <c r="O55" i="82"/>
  <c r="N55" i="82"/>
  <c r="K55" i="82"/>
  <c r="J55" i="82"/>
  <c r="I55" i="82"/>
  <c r="F55" i="82"/>
  <c r="O54" i="82"/>
  <c r="N54" i="82"/>
  <c r="F54" i="82"/>
  <c r="O53" i="82"/>
  <c r="N53" i="82"/>
  <c r="F53" i="82"/>
  <c r="F52" i="82"/>
  <c r="K49" i="82"/>
  <c r="F48" i="82"/>
  <c r="O52" i="82" s="1"/>
  <c r="E48" i="82"/>
  <c r="N52" i="82" s="1"/>
  <c r="D48" i="82"/>
  <c r="M52" i="82" s="1"/>
  <c r="M47" i="82"/>
  <c r="F33" i="82"/>
  <c r="D27" i="82"/>
  <c r="C25" i="82"/>
  <c r="C24" i="82"/>
  <c r="M19" i="82"/>
  <c r="C118" i="82" s="1"/>
  <c r="L19" i="82"/>
  <c r="M18" i="82"/>
  <c r="B118" i="82" s="1"/>
  <c r="L18" i="82"/>
  <c r="D17" i="82"/>
  <c r="C17" i="82"/>
  <c r="L4" i="82"/>
  <c r="K4" i="82"/>
  <c r="A2" i="82"/>
  <c r="H1" i="82"/>
  <c r="AH9" i="1"/>
  <c r="Y9" i="1"/>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A120" i="80"/>
  <c r="A118" i="80"/>
  <c r="H111" i="80"/>
  <c r="D126" i="80" s="1"/>
  <c r="D127" i="80" s="1"/>
  <c r="E111" i="80"/>
  <c r="A126" i="80" s="1"/>
  <c r="E109" i="80"/>
  <c r="A124" i="80" s="1"/>
  <c r="E107" i="80"/>
  <c r="A122" i="80" s="1"/>
  <c r="H106" i="80"/>
  <c r="H103" i="80" s="1"/>
  <c r="D120" i="80" s="1"/>
  <c r="H105" i="80"/>
  <c r="H104" i="80"/>
  <c r="D101" i="80"/>
  <c r="C101" i="80"/>
  <c r="D93" i="80"/>
  <c r="C91" i="80"/>
  <c r="E90" i="80"/>
  <c r="D89" i="80"/>
  <c r="C89" i="80"/>
  <c r="C87" i="80" s="1"/>
  <c r="D78" i="80"/>
  <c r="H77" i="80"/>
  <c r="D77" i="80"/>
  <c r="C77" i="80"/>
  <c r="C76" i="80"/>
  <c r="C74"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M47" i="80"/>
  <c r="F33" i="80"/>
  <c r="D27" i="80"/>
  <c r="C25" i="80"/>
  <c r="C24" i="80"/>
  <c r="M19" i="80"/>
  <c r="C118" i="80" s="1"/>
  <c r="L19" i="80"/>
  <c r="M18" i="80"/>
  <c r="B118" i="80" s="1"/>
  <c r="L18" i="80"/>
  <c r="D17" i="80"/>
  <c r="C17" i="80"/>
  <c r="C18" i="80" s="1"/>
  <c r="D18" i="80" s="1"/>
  <c r="L4" i="80"/>
  <c r="K4" i="80"/>
  <c r="A2" i="80"/>
  <c r="H1" i="80"/>
  <c r="I48" i="34"/>
  <c r="G48" i="34"/>
  <c r="I37" i="34"/>
  <c r="G37" i="34"/>
  <c r="E37" i="34"/>
  <c r="C37" i="34"/>
  <c r="I7" i="34"/>
  <c r="G7" i="34"/>
  <c r="E7" i="34"/>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Y8" i="1"/>
  <c r="B27" i="31"/>
  <c r="B28" i="31"/>
  <c r="B26" i="31"/>
  <c r="B25" i="31"/>
  <c r="B24" i="31"/>
  <c r="I47" i="33"/>
  <c r="G47" i="33"/>
  <c r="I36" i="33"/>
  <c r="G36" i="33"/>
  <c r="E36" i="33"/>
  <c r="C36" i="33"/>
  <c r="I7" i="33"/>
  <c r="G7" i="33"/>
  <c r="E7" i="33"/>
  <c r="Y6" i="1"/>
  <c r="N9" i="1"/>
  <c r="N8" i="1"/>
  <c r="N7" i="1"/>
  <c r="N6" i="1"/>
  <c r="J9" i="1"/>
  <c r="J8" i="1"/>
  <c r="J7" i="1"/>
  <c r="B59" i="1"/>
  <c r="G22" i="6"/>
  <c r="F21" i="6"/>
  <c r="G20" i="6"/>
  <c r="F20" i="6"/>
  <c r="F19" i="6"/>
  <c r="O15" i="3"/>
  <c r="O16" i="3"/>
  <c r="I16" i="3"/>
  <c r="I15" i="3"/>
  <c r="M14" i="3"/>
  <c r="K14" i="3"/>
  <c r="I13" i="3"/>
  <c r="G13" i="4"/>
  <c r="L8" i="78"/>
  <c r="L7" i="78"/>
  <c r="L5" i="78"/>
  <c r="L4" i="78"/>
  <c r="L6" i="78"/>
  <c r="L3" i="78"/>
  <c r="G46" i="78"/>
  <c r="D46" i="78"/>
  <c r="D34" i="82"/>
  <c r="D35" i="82"/>
  <c r="C76" i="81"/>
  <c r="C18" i="82" l="1"/>
  <c r="D18" i="82" s="1"/>
  <c r="J57" i="82"/>
  <c r="J59" i="82" s="1"/>
  <c r="J61" i="82" s="1"/>
  <c r="H109" i="82"/>
  <c r="D124" i="82" s="1"/>
  <c r="D125" i="82" s="1"/>
  <c r="C92" i="82"/>
  <c r="C94" i="82"/>
  <c r="K120" i="82"/>
  <c r="D121" i="82"/>
  <c r="H112" i="82"/>
  <c r="H110" i="82"/>
  <c r="H111" i="82"/>
  <c r="D126" i="82" s="1"/>
  <c r="D127" i="82" s="1"/>
  <c r="Q71" i="81"/>
  <c r="D24" i="81"/>
  <c r="P61" i="81"/>
  <c r="D22" i="81"/>
  <c r="C92" i="80"/>
  <c r="C94" i="80"/>
  <c r="K120" i="80"/>
  <c r="D121" i="80"/>
  <c r="H109" i="80"/>
  <c r="H112" i="80"/>
  <c r="D24" i="79"/>
  <c r="P61" i="79"/>
  <c r="D22" i="79"/>
  <c r="G14" i="73"/>
  <c r="F14" i="73"/>
  <c r="E14" i="73"/>
  <c r="M6" i="81"/>
  <c r="M9" i="81"/>
  <c r="C14" i="81"/>
  <c r="F16" i="81"/>
  <c r="M23" i="81"/>
  <c r="F26" i="81"/>
  <c r="M27" i="81"/>
  <c r="F37" i="81"/>
  <c r="F8" i="81"/>
  <c r="M22" i="81"/>
  <c r="F40" i="81"/>
  <c r="F6" i="81"/>
  <c r="M8" i="81"/>
  <c r="F13" i="81"/>
  <c r="J15" i="81"/>
  <c r="M26" i="81"/>
  <c r="M29" i="81"/>
  <c r="F36" i="81"/>
  <c r="F38" i="81"/>
  <c r="F7" i="81"/>
  <c r="F9" i="81"/>
  <c r="M28" i="81"/>
  <c r="F42" i="81"/>
  <c r="M24" i="81"/>
  <c r="F43" i="81"/>
  <c r="C76" i="79"/>
  <c r="F42" i="79"/>
  <c r="M28" i="79"/>
  <c r="M22" i="79"/>
  <c r="F9" i="79"/>
  <c r="F7" i="79"/>
  <c r="F38" i="79"/>
  <c r="F36" i="79"/>
  <c r="M29" i="79"/>
  <c r="M26" i="79"/>
  <c r="M23" i="79"/>
  <c r="J15" i="79"/>
  <c r="M6" i="79"/>
  <c r="F6" i="79"/>
  <c r="F43" i="79"/>
  <c r="F40" i="79"/>
  <c r="M24" i="79"/>
  <c r="F8" i="79"/>
  <c r="F37" i="79"/>
  <c r="M27" i="79"/>
  <c r="F26" i="79"/>
  <c r="F16" i="79"/>
  <c r="C14" i="79"/>
  <c r="M8" i="79"/>
  <c r="M9" i="79"/>
  <c r="F13" i="79"/>
  <c r="F71" i="81" l="1"/>
  <c r="F50" i="81"/>
  <c r="M7" i="81"/>
  <c r="F66" i="81"/>
  <c r="F64" i="81"/>
  <c r="C6" i="81"/>
  <c r="F68" i="81"/>
  <c r="F51" i="81"/>
  <c r="C49" i="81" s="1"/>
  <c r="F65" i="81"/>
  <c r="C27" i="81"/>
  <c r="C18" i="81"/>
  <c r="C15" i="81"/>
  <c r="J6" i="81"/>
  <c r="D124" i="80"/>
  <c r="D125" i="80" s="1"/>
  <c r="H110" i="80"/>
  <c r="C18" i="79"/>
  <c r="C15" i="79"/>
  <c r="C27" i="79"/>
  <c r="F65" i="79"/>
  <c r="F51" i="79"/>
  <c r="F68" i="79"/>
  <c r="F71" i="79"/>
  <c r="C6" i="79"/>
  <c r="F64" i="79"/>
  <c r="F66" i="79"/>
  <c r="F50" i="79"/>
  <c r="M7" i="79"/>
  <c r="J6" i="79" s="1"/>
  <c r="Q71" i="79"/>
  <c r="G15" i="73"/>
  <c r="F15" i="73"/>
  <c r="E15" i="73"/>
  <c r="C16" i="81"/>
  <c r="C17" i="81"/>
  <c r="C16" i="79"/>
  <c r="C17" i="79"/>
  <c r="C19" i="81" l="1"/>
  <c r="J18" i="81"/>
  <c r="C33" i="81"/>
  <c r="C32" i="81"/>
  <c r="C19" i="79"/>
  <c r="J18" i="79"/>
  <c r="C33" i="79"/>
  <c r="C32" i="79"/>
  <c r="C49" i="79"/>
  <c r="G13" i="73"/>
  <c r="F13" i="73"/>
  <c r="E13" i="73"/>
  <c r="C20" i="81" l="1"/>
  <c r="C26" i="81" s="1"/>
  <c r="C20" i="79"/>
  <c r="C26" i="79" s="1"/>
  <c r="AH5" i="7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B66" i="72" s="1"/>
  <c r="A22" i="51"/>
  <c r="A21" i="51"/>
  <c r="B16" i="72" s="1"/>
  <c r="A20" i="51"/>
  <c r="A15" i="62"/>
  <c r="A14" i="62"/>
  <c r="A13" i="62"/>
  <c r="B59" i="72" s="1"/>
  <c r="A19" i="62"/>
  <c r="A12" i="62"/>
  <c r="B58" i="72" s="1"/>
  <c r="A120" i="9"/>
  <c r="H2" i="52"/>
  <c r="A1" i="52"/>
  <c r="A3" i="53"/>
  <c r="Q23" i="71"/>
  <c r="P23" i="71"/>
  <c r="O23" i="71"/>
  <c r="N23"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5" i="72"/>
  <c r="B60" i="72"/>
  <c r="B67"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c r="B7" i="1"/>
  <c r="E7" i="1" s="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F23" i="15"/>
  <c r="D24" i="15"/>
  <c r="M13" i="1"/>
  <c r="O13" i="1" s="1"/>
  <c r="P13" i="1" s="1"/>
  <c r="E22" i="6"/>
  <c r="K9" i="1" s="1"/>
  <c r="M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F26"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I4" i="6" s="1"/>
  <c r="G3" i="43" s="1"/>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S9"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c r="C7" i="37"/>
  <c r="C7" i="34"/>
  <c r="C7" i="36"/>
  <c r="W35" i="40"/>
  <c r="A118" i="9"/>
  <c r="A4" i="52"/>
  <c r="B41" i="72" s="1"/>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E15" i="6"/>
  <c r="E60" i="40" s="1"/>
  <c r="K6" i="1"/>
  <c r="M6" i="1" s="1"/>
  <c r="O6" i="1" s="1"/>
  <c r="P6" i="1"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O12" i="1" s="1"/>
  <c r="P12" i="1" s="1"/>
  <c r="S13" i="1"/>
  <c r="AR13" i="1" s="1"/>
  <c r="R13" i="1"/>
  <c r="S11" i="1"/>
  <c r="AQ11" i="1" s="1"/>
  <c r="R11" i="1"/>
  <c r="J51" i="67"/>
  <c r="C42" i="1"/>
  <c r="H100" i="43"/>
  <c r="AC34" i="33"/>
  <c r="AA34" i="33"/>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H26" i="35"/>
  <c r="U26"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M20" i="67"/>
  <c r="G13" i="3"/>
  <c r="G5" i="3" s="1"/>
  <c r="B3" i="3" s="1"/>
  <c r="E347" i="3" s="1"/>
  <c r="BA13" i="3"/>
  <c r="E10" i="6"/>
  <c r="BA5" i="3"/>
  <c r="E11" i="6"/>
  <c r="E60" i="39" s="1"/>
  <c r="BL17" i="3"/>
  <c r="AZ17" i="3"/>
  <c r="BL13" i="3"/>
  <c r="G30" i="6"/>
  <c r="G31" i="6" s="1"/>
  <c r="J56" i="9"/>
  <c r="J57" i="9" s="1"/>
  <c r="J59" i="9" s="1"/>
  <c r="J61" i="9" s="1"/>
  <c r="A24" i="51"/>
  <c r="B18" i="72"/>
  <c r="U29" i="34"/>
  <c r="E14" i="6"/>
  <c r="E63" i="39" s="1"/>
  <c r="E5" i="6"/>
  <c r="D9" i="11" s="1"/>
  <c r="C9" i="11" s="1"/>
  <c r="E32" i="6"/>
  <c r="L19" i="6"/>
  <c r="K1" i="12"/>
  <c r="F30" i="6"/>
  <c r="E28" i="6"/>
  <c r="AQ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K11" i="1"/>
  <c r="M11" i="1" s="1"/>
  <c r="O11" i="1" s="1"/>
  <c r="P11" i="1" s="1"/>
  <c r="AP6" i="1"/>
  <c r="B9" i="1"/>
  <c r="E9" i="1" s="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E62" i="39"/>
  <c r="T11" i="1"/>
  <c r="E7" i="70"/>
  <c r="AA39" i="40"/>
  <c r="S39" i="40"/>
  <c r="S12" i="33"/>
  <c r="AA12" i="33"/>
  <c r="J32" i="39"/>
  <c r="H32" i="39"/>
  <c r="AB32" i="39" s="1"/>
  <c r="AA32" i="39"/>
  <c r="S32" i="39"/>
  <c r="AB21" i="39"/>
  <c r="U21" i="39"/>
  <c r="AA21" i="39"/>
  <c r="S21" i="39"/>
  <c r="U9" i="35"/>
  <c r="AB9" i="35"/>
  <c r="AA9" i="35"/>
  <c r="S9" i="35"/>
  <c r="AB26" i="35"/>
  <c r="AC17" i="37"/>
  <c r="S17" i="37"/>
  <c r="J19" i="37"/>
  <c r="G75" i="37"/>
  <c r="S19" i="37"/>
  <c r="AA19" i="37"/>
  <c r="AA23" i="37"/>
  <c r="J23" i="37"/>
  <c r="G79" i="37"/>
  <c r="J10" i="37"/>
  <c r="I60" i="37"/>
  <c r="G63" i="37"/>
  <c r="H11" i="37"/>
  <c r="AB10" i="37"/>
  <c r="U10" i="37"/>
  <c r="G70" i="34"/>
  <c r="H11" i="34"/>
  <c r="U11" i="34" s="1"/>
  <c r="AB10" i="34"/>
  <c r="U10" i="34"/>
  <c r="J10" i="34"/>
  <c r="I67" i="34"/>
  <c r="AB41" i="33"/>
  <c r="U41" i="33"/>
  <c r="W35" i="33"/>
  <c r="AC35" i="33"/>
  <c r="H111" i="33"/>
  <c r="I111" i="33"/>
  <c r="J111" i="33"/>
  <c r="K111" i="33"/>
  <c r="L111" i="33"/>
  <c r="M111" i="33"/>
  <c r="J36" i="33"/>
  <c r="H36" i="33"/>
  <c r="U36" i="33" s="1"/>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539" i="3"/>
  <c r="E545" i="3"/>
  <c r="E567" i="3"/>
  <c r="E510" i="3"/>
  <c r="E461" i="3"/>
  <c r="E352" i="3"/>
  <c r="E227" i="3"/>
  <c r="E205" i="3"/>
  <c r="E165" i="3"/>
  <c r="E293" i="3"/>
  <c r="E128" i="3"/>
  <c r="K14" i="1"/>
  <c r="M14" i="1"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C33" i="21"/>
  <c r="W33" i="21"/>
  <c r="S33" i="21"/>
  <c r="AA33" i="21"/>
  <c r="W32" i="21"/>
  <c r="AC32" i="21"/>
  <c r="AB9" i="21"/>
  <c r="U9" i="21"/>
  <c r="AA32" i="21"/>
  <c r="S32" i="21"/>
  <c r="W9" i="21"/>
  <c r="AC9" i="21"/>
  <c r="AB32" i="21"/>
  <c r="U32" i="21"/>
  <c r="AA10" i="21"/>
  <c r="S10" i="21"/>
  <c r="E6" i="70"/>
  <c r="U32" i="39"/>
  <c r="AC32" i="39"/>
  <c r="W32" i="39"/>
  <c r="W19" i="37"/>
  <c r="AC19" i="37"/>
  <c r="W23" i="37"/>
  <c r="AC23" i="37"/>
  <c r="AB11" i="37"/>
  <c r="U11" i="37"/>
  <c r="H63" i="37"/>
  <c r="I63" i="37"/>
  <c r="J63" i="37"/>
  <c r="K63" i="37"/>
  <c r="L63" i="37"/>
  <c r="M63" i="37"/>
  <c r="J11" i="37"/>
  <c r="W10" i="37"/>
  <c r="AC10" i="37"/>
  <c r="AB11" i="34"/>
  <c r="AC10" i="34"/>
  <c r="W10" i="34"/>
  <c r="H70" i="34"/>
  <c r="I70" i="34"/>
  <c r="J70" i="34"/>
  <c r="K70" i="34"/>
  <c r="L70" i="34"/>
  <c r="M70" i="34"/>
  <c r="J11" i="34"/>
  <c r="AC36" i="33"/>
  <c r="W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E7" i="1"/>
  <c r="AG6" i="1"/>
  <c r="H109" i="9"/>
  <c r="D124" i="9" s="1"/>
  <c r="H110" i="9"/>
  <c r="D18" i="53" s="1"/>
  <c r="B35" i="72" s="1"/>
  <c r="D16" i="53"/>
  <c r="B34" i="72" s="1"/>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L48" i="81"/>
  <c r="L47" i="81"/>
  <c r="L48" i="79"/>
  <c r="L47" i="79"/>
  <c r="E8" i="76"/>
  <c r="D34" i="9"/>
  <c r="C20" i="9"/>
  <c r="E2" i="68"/>
  <c r="B8" i="76"/>
  <c r="F20" i="31"/>
  <c r="E2" i="69"/>
  <c r="D2" i="34"/>
  <c r="AO7" i="1"/>
  <c r="B7" i="76"/>
  <c r="D2" i="35"/>
  <c r="D4" i="73"/>
  <c r="D3" i="73"/>
  <c r="D2" i="21"/>
  <c r="D7" i="73"/>
  <c r="B12" i="76"/>
  <c r="AO11" i="1"/>
  <c r="B10" i="76"/>
  <c r="B13" i="76"/>
  <c r="D2" i="37"/>
  <c r="D2" i="36"/>
  <c r="F4" i="73"/>
  <c r="AO10" i="1"/>
  <c r="B9" i="76"/>
  <c r="C19" i="9"/>
  <c r="E13" i="76"/>
  <c r="AO12" i="1"/>
  <c r="D2" i="33"/>
  <c r="D35" i="9"/>
  <c r="F7" i="73"/>
  <c r="E11" i="76"/>
  <c r="F5" i="73"/>
  <c r="B11" i="76"/>
  <c r="E9" i="76"/>
  <c r="D5" i="73"/>
  <c r="E10" i="76"/>
  <c r="E7" i="76"/>
  <c r="E12" i="76"/>
  <c r="AO13" i="1"/>
  <c r="F3" i="73"/>
  <c r="F6" i="73"/>
  <c r="D6" i="73"/>
  <c r="AA29" i="35" l="1"/>
  <c r="AA26" i="35"/>
  <c r="S26" i="35"/>
  <c r="J26" i="35"/>
  <c r="L59" i="81"/>
  <c r="M59" i="81"/>
  <c r="N59" i="81"/>
  <c r="L58" i="81"/>
  <c r="L57" i="81"/>
  <c r="J53" i="81"/>
  <c r="J60" i="81"/>
  <c r="Q48" i="81" s="1"/>
  <c r="L60" i="81"/>
  <c r="L56" i="81"/>
  <c r="J57" i="81"/>
  <c r="J55" i="81" s="1"/>
  <c r="J58" i="81" s="1"/>
  <c r="Q50" i="81" s="1"/>
  <c r="I54" i="81"/>
  <c r="J59" i="81"/>
  <c r="L46" i="81"/>
  <c r="C20" i="43"/>
  <c r="W8" i="34"/>
  <c r="N59" i="79"/>
  <c r="L59" i="79"/>
  <c r="M59" i="79"/>
  <c r="L58" i="79"/>
  <c r="L56" i="79"/>
  <c r="J53" i="79"/>
  <c r="I54" i="79"/>
  <c r="J59" i="79"/>
  <c r="L57" i="79"/>
  <c r="J60" i="79"/>
  <c r="Q48" i="79" s="1"/>
  <c r="J57" i="79"/>
  <c r="J55" i="79" s="1"/>
  <c r="J58" i="79" s="1"/>
  <c r="Q50" i="79" s="1"/>
  <c r="L60" i="79"/>
  <c r="E2" i="70"/>
  <c r="AB36" i="33"/>
  <c r="AC11" i="33"/>
  <c r="D22" i="67"/>
  <c r="P61" i="15"/>
  <c r="F34" i="67"/>
  <c r="F62" i="67" s="1"/>
  <c r="F34" i="15"/>
  <c r="F62" i="15" s="1"/>
  <c r="C94" i="9"/>
  <c r="C92" i="9"/>
  <c r="B41" i="1"/>
  <c r="F52" i="9" s="1"/>
  <c r="D93" i="9"/>
  <c r="D68" i="9"/>
  <c r="C24" i="12"/>
  <c r="C77" i="9"/>
  <c r="C74" i="9" s="1"/>
  <c r="C13" i="12"/>
  <c r="C21" i="69"/>
  <c r="T13" i="1"/>
  <c r="AR10" i="1"/>
  <c r="L27" i="6"/>
  <c r="C36" i="69"/>
  <c r="G1" i="67"/>
  <c r="G1" i="15"/>
  <c r="G1" i="68"/>
  <c r="BL5" i="3"/>
  <c r="D101" i="43"/>
  <c r="D103" i="43" s="1"/>
  <c r="I101" i="43"/>
  <c r="I109" i="43" s="1"/>
  <c r="S2" i="43"/>
  <c r="S5" i="43"/>
  <c r="S3" i="43"/>
  <c r="L101" i="43"/>
  <c r="L109" i="43" s="1"/>
  <c r="M101" i="43"/>
  <c r="M104" i="43" s="1"/>
  <c r="E101" i="43"/>
  <c r="E103" i="43" s="1"/>
  <c r="S6" i="43"/>
  <c r="J22" i="43"/>
  <c r="D9" i="68"/>
  <c r="C9" i="68" s="1"/>
  <c r="D9" i="69"/>
  <c r="C9" i="69" s="1"/>
  <c r="E56" i="40"/>
  <c r="O10" i="1"/>
  <c r="P10" i="1" s="1"/>
  <c r="C34" i="69"/>
  <c r="C35" i="69" s="1"/>
  <c r="AR11" i="1"/>
  <c r="AQ13" i="1"/>
  <c r="T10" i="1"/>
  <c r="T12" i="1"/>
  <c r="E64" i="39"/>
  <c r="F27" i="6"/>
  <c r="E56" i="39"/>
  <c r="E51" i="40"/>
  <c r="E12" i="6"/>
  <c r="E16" i="6" s="1"/>
  <c r="E27" i="6"/>
  <c r="K21" i="6" s="1"/>
  <c r="AZ5" i="3"/>
  <c r="E3" i="6" s="1"/>
  <c r="D3" i="34" s="1"/>
  <c r="E59" i="40"/>
  <c r="D3" i="21"/>
  <c r="F31" i="6"/>
  <c r="E124" i="3"/>
  <c r="E246" i="3"/>
  <c r="E280" i="3"/>
  <c r="E336" i="3"/>
  <c r="E399" i="3"/>
  <c r="X6" i="3"/>
  <c r="AA6" i="3"/>
  <c r="E583" i="3"/>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Q16" i="1"/>
  <c r="F27" i="69" s="1"/>
  <c r="D19" i="12"/>
  <c r="C19" i="12" s="1"/>
  <c r="C36" i="11"/>
  <c r="E109" i="43"/>
  <c r="M109" i="43"/>
  <c r="M107" i="43"/>
  <c r="L104" i="43"/>
  <c r="M7" i="1"/>
  <c r="H16" i="1"/>
  <c r="I103" i="43"/>
  <c r="D109" i="43"/>
  <c r="D104" i="43"/>
  <c r="F22" i="43"/>
  <c r="F101" i="43"/>
  <c r="E22" i="43"/>
  <c r="B113" i="43"/>
  <c r="K101" i="43"/>
  <c r="N101" i="43"/>
  <c r="G101" i="43"/>
  <c r="C101" i="43"/>
  <c r="J101" i="43"/>
  <c r="N104" i="46"/>
  <c r="H22" i="43"/>
  <c r="H101" i="43"/>
  <c r="G22" i="43"/>
  <c r="D2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4" i="43"/>
  <c r="S7" i="43"/>
  <c r="O14" i="1"/>
  <c r="P14" i="1" s="1"/>
  <c r="K23" i="6"/>
  <c r="M23" i="6" s="1"/>
  <c r="I23" i="6" s="1"/>
  <c r="K19" i="6"/>
  <c r="S6" i="1" s="1"/>
  <c r="K15" i="1"/>
  <c r="K16" i="1" s="1"/>
  <c r="E30" i="6"/>
  <c r="E31" i="6" s="1"/>
  <c r="O9" i="1"/>
  <c r="P9" i="1" s="1"/>
  <c r="O8" i="1"/>
  <c r="P8" i="1" s="1"/>
  <c r="D19" i="53"/>
  <c r="Y5" i="71"/>
  <c r="Z5" i="71" s="1"/>
  <c r="AA5" i="71"/>
  <c r="X5" i="71"/>
  <c r="AB5" i="71"/>
  <c r="H14" i="74"/>
  <c r="B7" i="74" s="1"/>
  <c r="D10" i="52"/>
  <c r="D125" i="9"/>
  <c r="D11" i="52" s="1"/>
  <c r="I14" i="74"/>
  <c r="B8" i="74" s="1"/>
  <c r="D127" i="9"/>
  <c r="D13" i="52" s="1"/>
  <c r="D12" i="52"/>
  <c r="D17" i="53"/>
  <c r="B36" i="72"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102" i="9"/>
  <c r="B10" i="70"/>
  <c r="K1" i="73"/>
  <c r="I1" i="73"/>
  <c r="B39" i="1" s="1"/>
  <c r="B12" i="70"/>
  <c r="B7" i="70"/>
  <c r="B11" i="70"/>
  <c r="C103" i="9"/>
  <c r="B13" i="70"/>
  <c r="F8" i="15"/>
  <c r="F9" i="15"/>
  <c r="F6" i="15"/>
  <c r="M8" i="15"/>
  <c r="M9" i="15"/>
  <c r="F36" i="15"/>
  <c r="M29" i="15"/>
  <c r="L48" i="15"/>
  <c r="M28" i="15"/>
  <c r="F26" i="15"/>
  <c r="F13" i="15"/>
  <c r="F7" i="15"/>
  <c r="M26" i="15"/>
  <c r="M27" i="15"/>
  <c r="F16" i="15"/>
  <c r="M23" i="15"/>
  <c r="M22" i="15"/>
  <c r="J15" i="15"/>
  <c r="F42" i="15"/>
  <c r="F40" i="15"/>
  <c r="C76" i="15"/>
  <c r="L47" i="15"/>
  <c r="F38" i="15"/>
  <c r="F37" i="15"/>
  <c r="M24" i="15"/>
  <c r="F43" i="15"/>
  <c r="M6" i="15"/>
  <c r="F37" i="67"/>
  <c r="M27" i="67"/>
  <c r="F7" i="67"/>
  <c r="M23" i="67"/>
  <c r="F40" i="67"/>
  <c r="F43" i="67"/>
  <c r="M21" i="67"/>
  <c r="M22" i="67"/>
  <c r="M26" i="67"/>
  <c r="F26" i="67"/>
  <c r="F41" i="67"/>
  <c r="M9" i="67"/>
  <c r="F9" i="67"/>
  <c r="M24" i="67"/>
  <c r="F8" i="67"/>
  <c r="F6" i="67"/>
  <c r="C76" i="67"/>
  <c r="F36" i="67"/>
  <c r="M28" i="67"/>
  <c r="J15" i="67"/>
  <c r="F13" i="67"/>
  <c r="F35" i="67"/>
  <c r="M8" i="67"/>
  <c r="F38" i="67"/>
  <c r="M29" i="67"/>
  <c r="L48" i="67"/>
  <c r="L47" i="67"/>
  <c r="F42" i="67"/>
  <c r="F16" i="67"/>
  <c r="M6" i="67"/>
  <c r="C14" i="15"/>
  <c r="C17" i="67"/>
  <c r="C16" i="15"/>
  <c r="G1" i="73"/>
  <c r="C17" i="15"/>
  <c r="C14" i="67"/>
  <c r="C16" i="67"/>
  <c r="AC26" i="35" l="1"/>
  <c r="W26" i="35"/>
  <c r="Q57" i="81"/>
  <c r="Q66" i="81"/>
  <c r="Q52" i="81"/>
  <c r="F1" i="81"/>
  <c r="Q73" i="81"/>
  <c r="Q60" i="81"/>
  <c r="Q61" i="81"/>
  <c r="Q74" i="81"/>
  <c r="F11" i="81"/>
  <c r="M11" i="81"/>
  <c r="J10" i="81" s="1"/>
  <c r="J5" i="81" s="1"/>
  <c r="L46" i="79"/>
  <c r="Q66" i="79"/>
  <c r="Q57" i="79"/>
  <c r="F1" i="79"/>
  <c r="Q52" i="79"/>
  <c r="Q60" i="79"/>
  <c r="Q73" i="79"/>
  <c r="Q61" i="79"/>
  <c r="Q74" i="79"/>
  <c r="F11" i="79"/>
  <c r="M11" i="79"/>
  <c r="J10" i="79" s="1"/>
  <c r="J5" i="79" s="1"/>
  <c r="F31" i="12"/>
  <c r="C31" i="12" s="1"/>
  <c r="F32" i="15"/>
  <c r="F60" i="15" s="1"/>
  <c r="F53" i="9"/>
  <c r="F54" i="9"/>
  <c r="F28" i="67"/>
  <c r="C28" i="67" s="1"/>
  <c r="F48" i="9"/>
  <c r="O52" i="9" s="1"/>
  <c r="F30" i="11"/>
  <c r="F30" i="69"/>
  <c r="F30" i="68"/>
  <c r="F48" i="68" s="1"/>
  <c r="M18" i="67"/>
  <c r="F28" i="15"/>
  <c r="C28" i="15" s="1"/>
  <c r="F32" i="67"/>
  <c r="F60" i="67" s="1"/>
  <c r="M18" i="15"/>
  <c r="C38" i="69"/>
  <c r="D107" i="43"/>
  <c r="M105" i="43"/>
  <c r="M21" i="6"/>
  <c r="I21" i="6" s="1"/>
  <c r="S21" i="6" s="1"/>
  <c r="S8" i="1"/>
  <c r="K24" i="6"/>
  <c r="M24" i="6" s="1"/>
  <c r="I24" i="6" s="1"/>
  <c r="S24" i="6" s="1"/>
  <c r="K22" i="6"/>
  <c r="I102" i="43"/>
  <c r="L102" i="43"/>
  <c r="E107" i="43"/>
  <c r="K26" i="6"/>
  <c r="M26" i="6" s="1"/>
  <c r="I26" i="6" s="1"/>
  <c r="S26" i="6" s="1"/>
  <c r="K20" i="6"/>
  <c r="S7" i="1" s="1"/>
  <c r="K25" i="6"/>
  <c r="M25" i="6" s="1"/>
  <c r="I25" i="6" s="1"/>
  <c r="S25" i="6" s="1"/>
  <c r="I106" i="43"/>
  <c r="L105" i="43"/>
  <c r="E105" i="43"/>
  <c r="E104" i="43"/>
  <c r="AQ6" i="1"/>
  <c r="AR6" i="1"/>
  <c r="M20" i="6"/>
  <c r="I20" i="6" s="1"/>
  <c r="F70" i="67"/>
  <c r="L59" i="67"/>
  <c r="Q61" i="67" s="1"/>
  <c r="M59" i="67"/>
  <c r="L58" i="67"/>
  <c r="Q60" i="67" s="1"/>
  <c r="N59" i="67"/>
  <c r="J53" i="67"/>
  <c r="F1" i="67" s="1"/>
  <c r="L56" i="67"/>
  <c r="J57" i="67"/>
  <c r="J55" i="67" s="1"/>
  <c r="J58" i="67" s="1"/>
  <c r="Q50" i="67" s="1"/>
  <c r="I54" i="67"/>
  <c r="F66" i="67"/>
  <c r="F63" i="67"/>
  <c r="C62" i="67" s="1"/>
  <c r="C34" i="67"/>
  <c r="F64" i="67"/>
  <c r="Q71" i="67"/>
  <c r="C6" i="67"/>
  <c r="F31" i="67"/>
  <c r="F51" i="67"/>
  <c r="F69" i="67"/>
  <c r="C27" i="67"/>
  <c r="J20" i="67"/>
  <c r="F71" i="67"/>
  <c r="F68" i="67"/>
  <c r="M7" i="67"/>
  <c r="J6" i="67" s="1"/>
  <c r="F50" i="67"/>
  <c r="F65" i="67"/>
  <c r="F71" i="15"/>
  <c r="F65" i="15"/>
  <c r="F66" i="15"/>
  <c r="L59" i="15"/>
  <c r="Q61" i="15" s="1"/>
  <c r="L58" i="15"/>
  <c r="Q60" i="15" s="1"/>
  <c r="N59" i="15"/>
  <c r="M59" i="15"/>
  <c r="Q71" i="15"/>
  <c r="F68" i="15"/>
  <c r="F50" i="15"/>
  <c r="M7" i="15"/>
  <c r="J6" i="15" s="1"/>
  <c r="J18" i="15" s="1"/>
  <c r="C27" i="15"/>
  <c r="J53" i="15"/>
  <c r="L56" i="15" s="1"/>
  <c r="I54" i="15"/>
  <c r="J57" i="15"/>
  <c r="J55" i="15" s="1"/>
  <c r="J58" i="15" s="1"/>
  <c r="Q50" i="15" s="1"/>
  <c r="F64" i="15"/>
  <c r="F31" i="15"/>
  <c r="C6" i="15"/>
  <c r="C32" i="15" s="1"/>
  <c r="F51" i="15"/>
  <c r="T6" i="1"/>
  <c r="C18" i="15"/>
  <c r="C15" i="15"/>
  <c r="H6" i="3"/>
  <c r="D14" i="12"/>
  <c r="D17" i="12" s="1"/>
  <c r="C17" i="12" s="1"/>
  <c r="E102" i="43"/>
  <c r="E106" i="43"/>
  <c r="L107" i="43"/>
  <c r="L103" i="43"/>
  <c r="L106" i="43"/>
  <c r="I107" i="43"/>
  <c r="I104" i="43"/>
  <c r="I105" i="43"/>
  <c r="M106" i="43"/>
  <c r="M102" i="43"/>
  <c r="M103" i="43"/>
  <c r="D105" i="43"/>
  <c r="D102" i="43"/>
  <c r="D106" i="43"/>
  <c r="E57" i="40"/>
  <c r="E61" i="39"/>
  <c r="E65" i="39" s="1"/>
  <c r="L18" i="9"/>
  <c r="C17" i="4"/>
  <c r="B4" i="52" s="1"/>
  <c r="B43" i="72" s="1"/>
  <c r="D3" i="33"/>
  <c r="E6" i="6"/>
  <c r="AY6" i="3"/>
  <c r="M18" i="9"/>
  <c r="B118" i="9" s="1"/>
  <c r="B1" i="74" s="1"/>
  <c r="C8" i="74" s="1"/>
  <c r="D37" i="11"/>
  <c r="C37" i="11" s="1"/>
  <c r="D19" i="11"/>
  <c r="C19" i="11" s="1"/>
  <c r="C20" i="11" s="1"/>
  <c r="D3" i="37"/>
  <c r="F10" i="40"/>
  <c r="AA10" i="40" s="1"/>
  <c r="F27" i="68"/>
  <c r="AC6" i="3"/>
  <c r="E6" i="3" s="1"/>
  <c r="F28" i="12"/>
  <c r="C29" i="12" s="1"/>
  <c r="D28" i="12" s="1"/>
  <c r="F45" i="69"/>
  <c r="C29" i="69"/>
  <c r="D27" i="69" s="1"/>
  <c r="C47" i="69"/>
  <c r="D45" i="69" s="1"/>
  <c r="F27" i="11"/>
  <c r="C47" i="11" s="1"/>
  <c r="D45" i="11" s="1"/>
  <c r="AY83" i="3"/>
  <c r="AY66" i="3"/>
  <c r="AY23" i="3"/>
  <c r="AY176" i="3"/>
  <c r="AY155" i="3"/>
  <c r="AY115" i="3"/>
  <c r="AY59" i="3"/>
  <c r="AY188" i="3"/>
  <c r="AY131" i="3"/>
  <c r="AY276" i="3"/>
  <c r="AY58" i="3"/>
  <c r="AY297" i="3"/>
  <c r="AY268" i="3"/>
  <c r="AY225" i="3"/>
  <c r="AY371" i="3"/>
  <c r="AY335" i="3"/>
  <c r="AY318"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87" i="3"/>
  <c r="AY51" i="3"/>
  <c r="AY34" i="3"/>
  <c r="AY207" i="3"/>
  <c r="AY144" i="3"/>
  <c r="AY124" i="3"/>
  <c r="AY95" i="3"/>
  <c r="AY42" i="3"/>
  <c r="AY152" i="3"/>
  <c r="AY281" i="3"/>
  <c r="AY111" i="3"/>
  <c r="AY168" i="3"/>
  <c r="AY253" i="3"/>
  <c r="AY236" i="3"/>
  <c r="AY382" i="3"/>
  <c r="AY366" i="3"/>
  <c r="AY303"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33" i="3"/>
  <c r="BE6" i="3"/>
  <c r="AY97" i="3"/>
  <c r="AY92" i="3"/>
  <c r="AY61" i="3"/>
  <c r="AY76" i="3"/>
  <c r="AY44" i="3"/>
  <c r="AY33" i="3"/>
  <c r="AY190" i="3"/>
  <c r="AY185" i="3"/>
  <c r="AY154" i="3"/>
  <c r="AY165" i="3"/>
  <c r="AY133" i="3"/>
  <c r="AY125" i="3"/>
  <c r="AY283" i="3"/>
  <c r="AY278" i="3"/>
  <c r="AY247" i="3"/>
  <c r="AY262"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569" i="3"/>
  <c r="AY541" i="3"/>
  <c r="AY553" i="3"/>
  <c r="AY108" i="3"/>
  <c r="AY77" i="3"/>
  <c r="AY45" i="3"/>
  <c r="AY60" i="3"/>
  <c r="AY28" i="3"/>
  <c r="AY206" i="3"/>
  <c r="AY201" i="3"/>
  <c r="AY170" i="3"/>
  <c r="AY138" i="3"/>
  <c r="AY149" i="3"/>
  <c r="AY118" i="3"/>
  <c r="AY299" i="3"/>
  <c r="AY294" i="3"/>
  <c r="AY263" i="3"/>
  <c r="AY231"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24" i="6" s="1"/>
  <c r="AY524" i="3"/>
  <c r="AY502" i="3"/>
  <c r="AY565" i="3"/>
  <c r="AY509" i="3"/>
  <c r="AY542" i="3"/>
  <c r="BR6" i="3"/>
  <c r="AY570" i="3"/>
  <c r="AY531" i="3"/>
  <c r="AY578" i="3"/>
  <c r="BA6" i="3"/>
  <c r="AY94" i="3"/>
  <c r="AY78" i="3"/>
  <c r="AY35" i="3"/>
  <c r="AY187" i="3"/>
  <c r="AY167" i="3"/>
  <c r="AY127" i="3"/>
  <c r="AY280" i="3"/>
  <c r="AY264" i="3"/>
  <c r="AY221" i="3"/>
  <c r="AY376" i="3"/>
  <c r="AY331" i="3"/>
  <c r="AY314" i="3"/>
  <c r="AY466"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9" i="3"/>
  <c r="AY63" i="3"/>
  <c r="AY46" i="3"/>
  <c r="AY192" i="3"/>
  <c r="AY156" i="3"/>
  <c r="AY135" i="3"/>
  <c r="AY285" i="3"/>
  <c r="AY249" i="3"/>
  <c r="AY232" i="3"/>
  <c r="AY378" i="3"/>
  <c r="AY362" i="3"/>
  <c r="AY346" i="3"/>
  <c r="AY469"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20" i="12"/>
  <c r="C20" i="12" s="1"/>
  <c r="C18" i="12" s="1"/>
  <c r="D10" i="69"/>
  <c r="D10" i="11"/>
  <c r="C10" i="11" s="1"/>
  <c r="C104" i="43"/>
  <c r="C106" i="43"/>
  <c r="C107" i="43"/>
  <c r="C103" i="43"/>
  <c r="C102" i="43"/>
  <c r="C109" i="43"/>
  <c r="C105" i="43"/>
  <c r="N102" i="43"/>
  <c r="N105" i="43"/>
  <c r="N107" i="43"/>
  <c r="N103" i="43"/>
  <c r="N109" i="43"/>
  <c r="N106" i="43"/>
  <c r="N104" i="43"/>
  <c r="B115" i="43"/>
  <c r="D117" i="43"/>
  <c r="E117" i="43" s="1"/>
  <c r="F117" i="43" s="1"/>
  <c r="G117" i="43" s="1"/>
  <c r="H117" i="43" s="1"/>
  <c r="D118" i="43"/>
  <c r="E118" i="43" s="1"/>
  <c r="F118" i="43" s="1"/>
  <c r="G118" i="43"/>
  <c r="H118" i="43" s="1"/>
  <c r="B118" i="43"/>
  <c r="C118" i="43" s="1"/>
  <c r="I116" i="43"/>
  <c r="J116" i="43" s="1"/>
  <c r="K116" i="43" s="1"/>
  <c r="L116" i="43" s="1"/>
  <c r="M116" i="43" s="1"/>
  <c r="D116" i="43"/>
  <c r="E116" i="43" s="1"/>
  <c r="F116" i="43" s="1"/>
  <c r="G116" i="43" s="1"/>
  <c r="H116" i="43" s="1"/>
  <c r="B116" i="43"/>
  <c r="C116" i="43" s="1"/>
  <c r="D115" i="43"/>
  <c r="E115" i="43" s="1"/>
  <c r="F115" i="43" s="1"/>
  <c r="G115" i="43" s="1"/>
  <c r="H115" i="43" s="1"/>
  <c r="I115" i="43"/>
  <c r="J115" i="43" s="1"/>
  <c r="K115" i="43" s="1"/>
  <c r="L115" i="43" s="1"/>
  <c r="M115" i="43" s="1"/>
  <c r="I118" i="43"/>
  <c r="J118" i="43" s="1"/>
  <c r="K118" i="43" s="1"/>
  <c r="L118" i="43" s="1"/>
  <c r="M118" i="43" s="1"/>
  <c r="I117" i="43"/>
  <c r="J117" i="43" s="1"/>
  <c r="K117" i="43" s="1"/>
  <c r="L117" i="43" s="1"/>
  <c r="M117" i="43" s="1"/>
  <c r="B117" i="43"/>
  <c r="C117" i="43" s="1"/>
  <c r="F104" i="43"/>
  <c r="F102" i="43"/>
  <c r="F103" i="43"/>
  <c r="F106" i="43"/>
  <c r="F105" i="43"/>
  <c r="F109" i="43"/>
  <c r="F107" i="43"/>
  <c r="H107" i="43"/>
  <c r="H106" i="43"/>
  <c r="H105" i="43"/>
  <c r="H103" i="43"/>
  <c r="H102" i="43"/>
  <c r="H104" i="43"/>
  <c r="H109" i="43"/>
  <c r="J104" i="43"/>
  <c r="J105" i="43"/>
  <c r="J107" i="43"/>
  <c r="J102" i="43"/>
  <c r="J106" i="43"/>
  <c r="J109" i="43"/>
  <c r="J103" i="43"/>
  <c r="G105" i="43"/>
  <c r="G102" i="43"/>
  <c r="G107" i="43"/>
  <c r="G104" i="43"/>
  <c r="G109" i="43"/>
  <c r="G103" i="43"/>
  <c r="G106" i="43"/>
  <c r="K103" i="43"/>
  <c r="K102" i="43"/>
  <c r="K106" i="43"/>
  <c r="K109" i="43"/>
  <c r="K107" i="43"/>
  <c r="K105" i="43"/>
  <c r="K104" i="43"/>
  <c r="O7" i="1"/>
  <c r="P7" i="1" s="1"/>
  <c r="P16" i="1" s="1"/>
  <c r="C11" i="12" s="1"/>
  <c r="M16" i="1"/>
  <c r="N16" i="1" s="1"/>
  <c r="M19" i="6"/>
  <c r="K27" i="6"/>
  <c r="S23" i="6"/>
  <c r="S20" i="6"/>
  <c r="B38" i="72"/>
  <c r="D20" i="53"/>
  <c r="B40" i="72" s="1"/>
  <c r="H10" i="39"/>
  <c r="U10" i="39" s="1"/>
  <c r="J10" i="40"/>
  <c r="W10" i="40" s="1"/>
  <c r="J10" i="39"/>
  <c r="AC10" i="39" s="1"/>
  <c r="H10" i="40"/>
  <c r="AB10" i="40" s="1"/>
  <c r="F7" i="36"/>
  <c r="S7" i="36" s="1"/>
  <c r="J7" i="37"/>
  <c r="H7" i="36"/>
  <c r="U7" i="36" s="1"/>
  <c r="H7" i="34"/>
  <c r="AB7" i="34" s="1"/>
  <c r="T49" i="34" s="1"/>
  <c r="G49" i="34" s="1"/>
  <c r="F7" i="34"/>
  <c r="S7" i="34"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H7" i="37"/>
  <c r="AB7" i="37" s="1"/>
  <c r="T42" i="37" s="1"/>
  <c r="G42" i="37" s="1"/>
  <c r="B40" i="1"/>
  <c r="S10" i="39"/>
  <c r="AA10" i="39"/>
  <c r="H7" i="33"/>
  <c r="J7" i="33"/>
  <c r="D65" i="40"/>
  <c r="E63" i="40"/>
  <c r="F48" i="35"/>
  <c r="AA7" i="36"/>
  <c r="R36" i="36" s="1"/>
  <c r="AC7" i="37"/>
  <c r="V42" i="37" s="1"/>
  <c r="I42" i="37" s="1"/>
  <c r="W7" i="37"/>
  <c r="AB7" i="36"/>
  <c r="T36" i="36" s="1"/>
  <c r="G36" i="36" s="1"/>
  <c r="F7" i="33"/>
  <c r="E58" i="21"/>
  <c r="AC7" i="36"/>
  <c r="V36" i="36" s="1"/>
  <c r="I36" i="36" s="1"/>
  <c r="W7" i="36"/>
  <c r="F7" i="37"/>
  <c r="W7" i="34"/>
  <c r="AC7" i="34"/>
  <c r="V49" i="34" s="1"/>
  <c r="I49" i="34" s="1"/>
  <c r="D11" i="71"/>
  <c r="C10" i="71"/>
  <c r="P24" i="43"/>
  <c r="B66" i="40" s="1"/>
  <c r="P21" i="43"/>
  <c r="P25" i="43"/>
  <c r="P23" i="43"/>
  <c r="B70" i="39" s="1"/>
  <c r="C15" i="67"/>
  <c r="C18" i="67"/>
  <c r="M28" i="43"/>
  <c r="N28" i="43"/>
  <c r="O28" i="43"/>
  <c r="P28" i="43"/>
  <c r="M11" i="67"/>
  <c r="J10" i="67" s="1"/>
  <c r="F11" i="15"/>
  <c r="M11" i="15"/>
  <c r="F11" i="67"/>
  <c r="AE9" i="1"/>
  <c r="AE8" i="1"/>
  <c r="F41" i="81" s="1"/>
  <c r="F69" i="81" l="1"/>
  <c r="F24" i="79"/>
  <c r="C23" i="79" s="1"/>
  <c r="F24" i="81"/>
  <c r="J26" i="81"/>
  <c r="J29" i="81" s="1"/>
  <c r="J24" i="81"/>
  <c r="C53" i="81"/>
  <c r="C48" i="81" s="1"/>
  <c r="C10" i="81"/>
  <c r="C5" i="81" s="1"/>
  <c r="U7" i="34"/>
  <c r="AA7" i="34"/>
  <c r="R49" i="34" s="1"/>
  <c r="E49" i="34" s="1"/>
  <c r="J26" i="79"/>
  <c r="J24" i="79"/>
  <c r="C24" i="79"/>
  <c r="C53" i="79"/>
  <c r="C48" i="79" s="1"/>
  <c r="C10" i="79"/>
  <c r="C5" i="79" s="1"/>
  <c r="C49" i="15"/>
  <c r="C30" i="68"/>
  <c r="C48" i="68"/>
  <c r="F48" i="69"/>
  <c r="C30" i="69"/>
  <c r="C48" i="69"/>
  <c r="Q73" i="15"/>
  <c r="J18" i="67"/>
  <c r="C32" i="67"/>
  <c r="C48" i="11"/>
  <c r="C30" i="11"/>
  <c r="Q73" i="67"/>
  <c r="F1" i="15"/>
  <c r="J10" i="15"/>
  <c r="J5" i="15" s="1"/>
  <c r="J26" i="15" s="1"/>
  <c r="J5" i="67"/>
  <c r="J24" i="67" s="1"/>
  <c r="M22" i="6"/>
  <c r="I22" i="6" s="1"/>
  <c r="S22" i="6" s="1"/>
  <c r="S9" i="1"/>
  <c r="C49" i="67"/>
  <c r="Q74" i="15"/>
  <c r="M17" i="15"/>
  <c r="C19" i="15"/>
  <c r="C20" i="15" s="1"/>
  <c r="C26" i="15" s="1"/>
  <c r="F59" i="67"/>
  <c r="AQ8" i="1"/>
  <c r="T8" i="1"/>
  <c r="AR8" i="1"/>
  <c r="F59" i="15"/>
  <c r="Q74" i="67"/>
  <c r="Q52" i="67"/>
  <c r="C14" i="12"/>
  <c r="AQ7" i="1"/>
  <c r="AR7" i="1"/>
  <c r="T7" i="1"/>
  <c r="Q52" i="15"/>
  <c r="M17" i="67"/>
  <c r="S10" i="40"/>
  <c r="C7" i="74"/>
  <c r="C28" i="11"/>
  <c r="C27" i="11" s="1"/>
  <c r="H21" i="6"/>
  <c r="H25" i="6"/>
  <c r="H20" i="6"/>
  <c r="H26" i="6"/>
  <c r="H22" i="6"/>
  <c r="H23" i="6"/>
  <c r="D6" i="6"/>
  <c r="D10" i="68"/>
  <c r="C10" i="68" s="1"/>
  <c r="C29" i="11"/>
  <c r="D27" i="11" s="1"/>
  <c r="AY103" i="3"/>
  <c r="AY67" i="3"/>
  <c r="AY50" i="3"/>
  <c r="AY196" i="3"/>
  <c r="AY160" i="3"/>
  <c r="AY139" i="3"/>
  <c r="AY289" i="3"/>
  <c r="AY74" i="3"/>
  <c r="AY183" i="3"/>
  <c r="AY123" i="3"/>
  <c r="AY261" i="3"/>
  <c r="AY204" i="3"/>
  <c r="AY284" i="3"/>
  <c r="AY252" i="3"/>
  <c r="AY209" i="3"/>
  <c r="AY363" i="3"/>
  <c r="AY319" i="3"/>
  <c r="AY489" i="3"/>
  <c r="AY98" i="3"/>
  <c r="AY82" i="3"/>
  <c r="AY18" i="3"/>
  <c r="AY191" i="3"/>
  <c r="AY171" i="3"/>
  <c r="AY132" i="3"/>
  <c r="AY90" i="3"/>
  <c r="AY31" i="3"/>
  <c r="AY163" i="3"/>
  <c r="AY292" i="3"/>
  <c r="AY75" i="3"/>
  <c r="AY147" i="3"/>
  <c r="AY237" i="3"/>
  <c r="AY220" i="3"/>
  <c r="AY387" i="3"/>
  <c r="AY350" i="3"/>
  <c r="AY334" i="3"/>
  <c r="F45" i="68"/>
  <c r="C47" i="68"/>
  <c r="D45" i="68" s="1"/>
  <c r="C29" i="68"/>
  <c r="D27" i="68" s="1"/>
  <c r="AB10" i="39"/>
  <c r="W10" i="39"/>
  <c r="AC10" i="40"/>
  <c r="U10" i="40"/>
  <c r="D19" i="6"/>
  <c r="D26" i="6"/>
  <c r="C18" i="4"/>
  <c r="D8" i="6"/>
  <c r="D23" i="6"/>
  <c r="R23" i="6" s="1"/>
  <c r="D14" i="6"/>
  <c r="D9" i="6"/>
  <c r="D10" i="6"/>
  <c r="L19" i="9"/>
  <c r="D29" i="6"/>
  <c r="M19" i="9"/>
  <c r="C118" i="9" s="1"/>
  <c r="C14" i="74" s="1"/>
  <c r="B2" i="74" s="1"/>
  <c r="D25" i="6"/>
  <c r="D15" i="6"/>
  <c r="D22" i="6"/>
  <c r="R22" i="6" s="1"/>
  <c r="R9" i="1" s="1"/>
  <c r="D21" i="6"/>
  <c r="D24" i="6"/>
  <c r="R24" i="6" s="1"/>
  <c r="D20" i="6"/>
  <c r="D12" i="6"/>
  <c r="D11" i="6"/>
  <c r="D13" i="6"/>
  <c r="D28" i="6"/>
  <c r="E61" i="40"/>
  <c r="D5" i="6"/>
  <c r="C10" i="69"/>
  <c r="C8" i="69" s="1"/>
  <c r="C5" i="69" s="1"/>
  <c r="D19" i="69"/>
  <c r="F50" i="69"/>
  <c r="F50" i="11"/>
  <c r="F50" i="68"/>
  <c r="D113" i="43"/>
  <c r="C115" i="43"/>
  <c r="O16" i="1"/>
  <c r="L16" i="1"/>
  <c r="C34" i="11"/>
  <c r="C34" i="68"/>
  <c r="C15" i="12"/>
  <c r="C12" i="12"/>
  <c r="M27" i="6"/>
  <c r="I19" i="6"/>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4" i="15"/>
  <c r="C53" i="67"/>
  <c r="C10" i="67"/>
  <c r="C5" i="67" s="1"/>
  <c r="C53" i="15"/>
  <c r="C10" i="15"/>
  <c r="C5" i="15" s="1"/>
  <c r="F25" i="12"/>
  <c r="F22" i="69"/>
  <c r="F41" i="69" s="1"/>
  <c r="F24" i="67"/>
  <c r="C24" i="67" s="1"/>
  <c r="F22" i="11"/>
  <c r="F22" i="68"/>
  <c r="F24" i="15"/>
  <c r="C24" i="15" s="1"/>
  <c r="AE6" i="1"/>
  <c r="F41" i="79"/>
  <c r="F41" i="15"/>
  <c r="C38" i="81" l="1"/>
  <c r="C66" i="81"/>
  <c r="C60" i="81"/>
  <c r="C24" i="81"/>
  <c r="C23" i="81"/>
  <c r="C48" i="15"/>
  <c r="C60" i="15" s="1"/>
  <c r="J26" i="67"/>
  <c r="J29" i="67" s="1"/>
  <c r="C29" i="79"/>
  <c r="C57" i="79" s="1"/>
  <c r="F69" i="79"/>
  <c r="C66" i="79"/>
  <c r="C60" i="79"/>
  <c r="C38" i="79"/>
  <c r="J29" i="79"/>
  <c r="F69" i="15"/>
  <c r="J29" i="15"/>
  <c r="AR9" i="1"/>
  <c r="AQ9" i="1"/>
  <c r="T9" i="1"/>
  <c r="S16" i="1"/>
  <c r="T16" i="1"/>
  <c r="C48" i="67"/>
  <c r="C60" i="67" s="1"/>
  <c r="D19" i="68"/>
  <c r="D37" i="68" s="1"/>
  <c r="C37" i="68" s="1"/>
  <c r="R25" i="6"/>
  <c r="R26" i="6"/>
  <c r="R20" i="6"/>
  <c r="R7" i="1" s="1"/>
  <c r="R21" i="6"/>
  <c r="R8" i="1" s="1"/>
  <c r="D30" i="6"/>
  <c r="D8" i="74"/>
  <c r="D7" i="74"/>
  <c r="C21" i="9"/>
  <c r="C4" i="52"/>
  <c r="B45" i="72" s="1"/>
  <c r="A7" i="51"/>
  <c r="B7" i="72" s="1"/>
  <c r="A10" i="51"/>
  <c r="B9" i="72" s="1"/>
  <c r="D27" i="6"/>
  <c r="D16" i="6"/>
  <c r="C19" i="69"/>
  <c r="C24" i="69" s="1"/>
  <c r="D37" i="69"/>
  <c r="C37" i="69" s="1"/>
  <c r="C33" i="69" s="1"/>
  <c r="C42" i="69" s="1"/>
  <c r="C19" i="68"/>
  <c r="C24" i="68" s="1"/>
  <c r="C38" i="68"/>
  <c r="C35" i="68"/>
  <c r="C38" i="11"/>
  <c r="C35" i="11"/>
  <c r="H19" i="6"/>
  <c r="S19" i="6"/>
  <c r="S27" i="6" s="1"/>
  <c r="I27" i="6"/>
  <c r="C16" i="12"/>
  <c r="C21" i="12"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6" i="15"/>
  <c r="C23" i="15"/>
  <c r="C29" i="15" s="1"/>
  <c r="C26" i="69"/>
  <c r="D22" i="69" s="1"/>
  <c r="C44" i="69"/>
  <c r="D41" i="69" s="1"/>
  <c r="C23" i="69"/>
  <c r="C44" i="68"/>
  <c r="D41" i="68" s="1"/>
  <c r="C23" i="68"/>
  <c r="C26" i="68"/>
  <c r="D22" i="68" s="1"/>
  <c r="C26" i="12"/>
  <c r="D25" i="12" s="1"/>
  <c r="C44" i="11"/>
  <c r="D41" i="11" s="1"/>
  <c r="C23" i="11"/>
  <c r="C24" i="11"/>
  <c r="C25" i="11"/>
  <c r="C26" i="11"/>
  <c r="D22" i="11" s="1"/>
  <c r="C38" i="67"/>
  <c r="C38" i="15"/>
  <c r="C23" i="67"/>
  <c r="C29" i="67" s="1"/>
  <c r="M21" i="81"/>
  <c r="F35" i="81"/>
  <c r="E6" i="76"/>
  <c r="B6" i="76"/>
  <c r="F63" i="81" l="1"/>
  <c r="C62" i="81" s="1"/>
  <c r="C34" i="81"/>
  <c r="C31" i="81" s="1"/>
  <c r="J20" i="81"/>
  <c r="Q49" i="79"/>
  <c r="C29" i="81"/>
  <c r="J14" i="79"/>
  <c r="J22" i="79" s="1"/>
  <c r="C36" i="79"/>
  <c r="C13" i="79"/>
  <c r="Q70" i="79" s="1"/>
  <c r="J19" i="79"/>
  <c r="J13" i="79"/>
  <c r="J23" i="79" s="1"/>
  <c r="C64" i="79"/>
  <c r="C61" i="79"/>
  <c r="C66" i="67"/>
  <c r="C20" i="69"/>
  <c r="C28" i="69" s="1"/>
  <c r="C27" i="69" s="1"/>
  <c r="D31" i="6"/>
  <c r="I6" i="6" s="1"/>
  <c r="C33" i="11"/>
  <c r="C39" i="11" s="1"/>
  <c r="C33" i="68"/>
  <c r="C42" i="68" s="1"/>
  <c r="C42" i="11"/>
  <c r="C39" i="69"/>
  <c r="C43" i="69" s="1"/>
  <c r="C41" i="69" s="1"/>
  <c r="C20" i="68"/>
  <c r="C25" i="68" s="1"/>
  <c r="C22" i="12"/>
  <c r="C27" i="12" s="1"/>
  <c r="C25" i="12" s="1"/>
  <c r="R19" i="6"/>
  <c r="H27" i="6"/>
  <c r="H69" i="39"/>
  <c r="I67" i="39"/>
  <c r="E2" i="76"/>
  <c r="D7" i="71"/>
  <c r="C6" i="71"/>
  <c r="C5" i="71" s="1"/>
  <c r="D5" i="71" s="1"/>
  <c r="G65" i="40"/>
  <c r="H63" i="40"/>
  <c r="C43" i="37"/>
  <c r="B2" i="37" s="1"/>
  <c r="C42" i="37"/>
  <c r="I48" i="35"/>
  <c r="C48" i="33"/>
  <c r="C49" i="33"/>
  <c r="B2" i="33" s="1"/>
  <c r="B3" i="33" s="1"/>
  <c r="H58" i="21"/>
  <c r="E47" i="37"/>
  <c r="F47" i="37" s="1"/>
  <c r="E46" i="37"/>
  <c r="F46" i="37" s="1"/>
  <c r="I47" i="37"/>
  <c r="J47" i="37" s="1"/>
  <c r="E53" i="33"/>
  <c r="F53" i="33" s="1"/>
  <c r="E52" i="33"/>
  <c r="F52" i="33" s="1"/>
  <c r="C22" i="68"/>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19" i="80"/>
  <c r="C75" i="79" l="1"/>
  <c r="C37" i="79"/>
  <c r="C57" i="81"/>
  <c r="C36" i="81"/>
  <c r="J19" i="81"/>
  <c r="J17" i="81" s="1"/>
  <c r="J14" i="81"/>
  <c r="C13" i="81"/>
  <c r="Q49" i="81"/>
  <c r="C102" i="80"/>
  <c r="C21" i="80"/>
  <c r="B3" i="37"/>
  <c r="C56" i="79"/>
  <c r="C65" i="79" s="1"/>
  <c r="R27" i="6"/>
  <c r="R6" i="1"/>
  <c r="C25" i="69"/>
  <c r="C22" i="69" s="1"/>
  <c r="C31" i="69" s="1"/>
  <c r="I5" i="6"/>
  <c r="C39" i="68"/>
  <c r="C43" i="68" s="1"/>
  <c r="C41" i="68" s="1"/>
  <c r="C46" i="11"/>
  <c r="C45" i="11" s="1"/>
  <c r="C43" i="11"/>
  <c r="C41" i="11" s="1"/>
  <c r="C28" i="68"/>
  <c r="C27" i="68" s="1"/>
  <c r="C31" i="68" s="1"/>
  <c r="C46" i="69"/>
  <c r="C45" i="69" s="1"/>
  <c r="C49" i="69" s="1"/>
  <c r="C51" i="69" s="1"/>
  <c r="C30" i="12"/>
  <c r="C28" i="12" s="1"/>
  <c r="C32" i="12" s="1"/>
  <c r="B2" i="12" s="1"/>
  <c r="B3" i="12" s="1"/>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C20" i="80"/>
  <c r="F35" i="79"/>
  <c r="M21" i="79"/>
  <c r="F35" i="15"/>
  <c r="M21" i="15"/>
  <c r="L51" i="67"/>
  <c r="J13" i="81" l="1"/>
  <c r="J23" i="81" s="1"/>
  <c r="J22" i="81"/>
  <c r="C75" i="81"/>
  <c r="Q70" i="81"/>
  <c r="C37" i="81"/>
  <c r="C30" i="81" s="1"/>
  <c r="C39" i="81" s="1"/>
  <c r="C56" i="81"/>
  <c r="C65" i="81" s="1"/>
  <c r="C64" i="81"/>
  <c r="C61" i="81"/>
  <c r="C59" i="81" s="1"/>
  <c r="C103" i="80"/>
  <c r="J20" i="79"/>
  <c r="J17" i="79" s="1"/>
  <c r="J16" i="79" s="1"/>
  <c r="J25" i="79" s="1"/>
  <c r="F63" i="79"/>
  <c r="C62" i="79" s="1"/>
  <c r="C59" i="79" s="1"/>
  <c r="C58" i="79" s="1"/>
  <c r="C67" i="79" s="1"/>
  <c r="C68" i="79" s="1"/>
  <c r="C34" i="79"/>
  <c r="C31" i="79" s="1"/>
  <c r="C30" i="79" s="1"/>
  <c r="C39" i="79" s="1"/>
  <c r="C49" i="11"/>
  <c r="C51" i="11" s="1"/>
  <c r="C52" i="11" s="1"/>
  <c r="B2" i="11" s="1"/>
  <c r="B3" i="11" s="1"/>
  <c r="J20" i="15"/>
  <c r="J17" i="15" s="1"/>
  <c r="J16" i="15" s="1"/>
  <c r="J25" i="15" s="1"/>
  <c r="C34" i="15"/>
  <c r="C31" i="15" s="1"/>
  <c r="C30" i="15" s="1"/>
  <c r="C39" i="15" s="1"/>
  <c r="F63" i="15"/>
  <c r="C62" i="15" s="1"/>
  <c r="C59" i="15" s="1"/>
  <c r="C58" i="15" s="1"/>
  <c r="C67" i="15" s="1"/>
  <c r="C68" i="15" s="1"/>
  <c r="C71" i="15" s="1"/>
  <c r="R16" i="1"/>
  <c r="C46" i="68"/>
  <c r="C45" i="68" s="1"/>
  <c r="C49" i="68" s="1"/>
  <c r="C51" i="68" s="1"/>
  <c r="C52" i="68" s="1"/>
  <c r="B2" i="68" s="1"/>
  <c r="C52" i="69"/>
  <c r="B2" i="69" s="1"/>
  <c r="B3" i="69" s="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L51" i="15"/>
  <c r="B3" i="68" l="1"/>
  <c r="C58" i="81"/>
  <c r="C67" i="81" s="1"/>
  <c r="C68" i="81" s="1"/>
  <c r="J16" i="81"/>
  <c r="J25" i="81" s="1"/>
  <c r="C71" i="81"/>
  <c r="Q69" i="81"/>
  <c r="Q68" i="81" s="1"/>
  <c r="C40" i="81"/>
  <c r="C44" i="81" s="1"/>
  <c r="C80" i="81"/>
  <c r="C79" i="81" s="1"/>
  <c r="C71" i="79"/>
  <c r="Q69" i="79"/>
  <c r="Q68" i="79" s="1"/>
  <c r="C40" i="79"/>
  <c r="C80" i="79"/>
  <c r="C79" i="79" s="1"/>
  <c r="C57" i="69"/>
  <c r="C56" i="69" s="1"/>
  <c r="C56" i="11"/>
  <c r="C57" i="11" s="1"/>
  <c r="C80" i="15"/>
  <c r="C79" i="15" s="1"/>
  <c r="Q69" i="15"/>
  <c r="Q68" i="15" s="1"/>
  <c r="C40" i="15"/>
  <c r="Q56" i="15" s="1"/>
  <c r="C57" i="68"/>
  <c r="C56" i="68" s="1"/>
  <c r="J7" i="35"/>
  <c r="W7" i="35" s="1"/>
  <c r="L67" i="39"/>
  <c r="K69" i="39"/>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C43" i="67"/>
  <c r="D2" i="67"/>
  <c r="Q47" i="67"/>
  <c r="Q53" i="67" s="1"/>
  <c r="Q56" i="67"/>
  <c r="Q65" i="67"/>
  <c r="C83" i="67"/>
  <c r="C82" i="67" s="1"/>
  <c r="D35" i="80"/>
  <c r="D34" i="80"/>
  <c r="L51" i="81"/>
  <c r="L51" i="79"/>
  <c r="D19" i="9"/>
  <c r="AO6" i="1"/>
  <c r="Q67" i="81" l="1"/>
  <c r="Q47" i="81"/>
  <c r="Q53" i="81" s="1"/>
  <c r="B2" i="81"/>
  <c r="Q65" i="81"/>
  <c r="Q75" i="81" s="1"/>
  <c r="Q56" i="81"/>
  <c r="Q62" i="81" s="1"/>
  <c r="C43" i="81"/>
  <c r="C83" i="81"/>
  <c r="C82" i="81" s="1"/>
  <c r="C46" i="81"/>
  <c r="Q67" i="79"/>
  <c r="Q47" i="79"/>
  <c r="Q53" i="79" s="1"/>
  <c r="B2" i="79"/>
  <c r="Q65" i="79"/>
  <c r="Q75" i="79" s="1"/>
  <c r="Q56" i="79"/>
  <c r="Q62" i="79" s="1"/>
  <c r="C43" i="79"/>
  <c r="C83" i="79"/>
  <c r="C82" i="79" s="1"/>
  <c r="C46" i="79"/>
  <c r="C46" i="15"/>
  <c r="Q47" i="15"/>
  <c r="Q53" i="15" s="1"/>
  <c r="D22" i="9"/>
  <c r="D102" i="9"/>
  <c r="G19" i="9"/>
  <c r="G21" i="9" s="1"/>
  <c r="D21" i="9"/>
  <c r="C83" i="15"/>
  <c r="C82" i="15" s="1"/>
  <c r="Q65" i="15"/>
  <c r="C43" i="15"/>
  <c r="B6" i="70"/>
  <c r="B3" i="15"/>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2" i="15" s="1"/>
  <c r="Q66" i="67"/>
  <c r="Q75" i="67" s="1"/>
  <c r="Q57" i="67"/>
  <c r="Q62" i="67" s="1"/>
  <c r="B2" i="67"/>
  <c r="B3" i="67"/>
  <c r="D19" i="82"/>
  <c r="AO9" i="1"/>
  <c r="D19" i="80"/>
  <c r="AO8" i="1"/>
  <c r="D20" i="9"/>
  <c r="D21" i="82" l="1"/>
  <c r="D102" i="82"/>
  <c r="B9" i="70"/>
  <c r="B3" i="81"/>
  <c r="D21" i="80"/>
  <c r="D22" i="80"/>
  <c r="D102" i="80"/>
  <c r="G19" i="80"/>
  <c r="G21" i="80" s="1"/>
  <c r="B8" i="70"/>
  <c r="B2" i="70" s="1"/>
  <c r="B3" i="70" s="1"/>
  <c r="B3" i="79"/>
  <c r="D103" i="9"/>
  <c r="G20" i="9"/>
  <c r="Q75" i="15"/>
  <c r="M69" i="39"/>
  <c r="N67" i="39"/>
  <c r="R39" i="35"/>
  <c r="E38" i="35"/>
  <c r="M63" i="40"/>
  <c r="L65" i="40"/>
  <c r="D20" i="82"/>
  <c r="D20" i="80"/>
  <c r="D103" i="82" l="1"/>
  <c r="D103" i="80"/>
  <c r="G20" i="80"/>
  <c r="C32" i="80" s="1"/>
  <c r="C35" i="80" s="1"/>
  <c r="C34" i="80" s="1"/>
  <c r="C32" i="9"/>
  <c r="C35" i="9" s="1"/>
  <c r="C34" i="9" s="1"/>
  <c r="R24" i="31"/>
  <c r="O67" i="39"/>
  <c r="O69" i="39" s="1"/>
  <c r="N69" i="39"/>
  <c r="F7" i="39"/>
  <c r="C39" i="35"/>
  <c r="B2" i="35" s="1"/>
  <c r="C38" i="35"/>
  <c r="N63" i="40"/>
  <c r="M65" i="40"/>
  <c r="E43" i="35"/>
  <c r="F43" i="35" s="1"/>
  <c r="E42" i="35"/>
  <c r="F42" i="35" s="1"/>
  <c r="I43" i="35"/>
  <c r="J43" i="35" s="1"/>
  <c r="C19" i="82"/>
  <c r="C102" i="82" l="1"/>
  <c r="C21" i="82"/>
  <c r="D22" i="82"/>
  <c r="G19" i="82"/>
  <c r="D28" i="82" s="1"/>
  <c r="B3" i="35"/>
  <c r="R26" i="31"/>
  <c r="S26" i="31" s="1"/>
  <c r="R28" i="31"/>
  <c r="S28" i="31" s="1"/>
  <c r="R27" i="31"/>
  <c r="S27" i="31" s="1"/>
  <c r="S24" i="31"/>
  <c r="R25" i="31"/>
  <c r="S25" i="31" s="1"/>
  <c r="H7" i="39"/>
  <c r="J7" i="39"/>
  <c r="S7" i="39"/>
  <c r="AA7" i="39"/>
  <c r="R47" i="39" s="1"/>
  <c r="O63" i="40"/>
  <c r="O65" i="40" s="1"/>
  <c r="N65" i="40"/>
  <c r="C20" i="82"/>
  <c r="C103" i="82" l="1"/>
  <c r="G20" i="82"/>
  <c r="C32" i="82"/>
  <c r="G21" i="82"/>
  <c r="S22" i="31"/>
  <c r="W7" i="39"/>
  <c r="AC7" i="39"/>
  <c r="V47" i="39" s="1"/>
  <c r="I47" i="39" s="1"/>
  <c r="E47" i="39"/>
  <c r="R48" i="39"/>
  <c r="U7" i="39"/>
  <c r="AB7" i="39"/>
  <c r="T47" i="39" s="1"/>
  <c r="G47" i="39" s="1"/>
  <c r="J7" i="40"/>
  <c r="F7" i="40"/>
  <c r="H7" i="40"/>
  <c r="H118" i="82" l="1"/>
  <c r="D16" i="74" s="1"/>
  <c r="G16" i="74" s="1"/>
  <c r="C35" i="82"/>
  <c r="R22" i="31"/>
  <c r="B20" i="3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F16" i="74" l="1"/>
  <c r="E16" i="74"/>
  <c r="B21" i="31"/>
  <c r="D14" i="74"/>
  <c r="G14" i="74" s="1"/>
  <c r="F118" i="82"/>
  <c r="C34" i="82"/>
  <c r="D118" i="82" s="1"/>
  <c r="D119" i="82" s="1"/>
  <c r="C104" i="82"/>
  <c r="H119" i="82"/>
  <c r="I118" i="82"/>
  <c r="H101" i="82"/>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45" i="82" l="1"/>
  <c r="H107" i="82"/>
  <c r="M48" i="82"/>
  <c r="C105" i="82"/>
  <c r="H102" i="82"/>
  <c r="G118" i="82"/>
  <c r="E118" i="82" s="1"/>
  <c r="F119" i="82"/>
  <c r="C42" i="40"/>
  <c r="C43" i="40"/>
  <c r="E47" i="40"/>
  <c r="F47" i="40" s="1"/>
  <c r="E46" i="40"/>
  <c r="F46" i="40" s="1"/>
  <c r="I47" i="40"/>
  <c r="J47" i="40" s="1"/>
  <c r="H108" i="82" l="1"/>
  <c r="M49" i="82"/>
  <c r="D122" i="82"/>
  <c r="D123" i="82" s="1"/>
  <c r="D52" i="82"/>
  <c r="C85" i="82"/>
  <c r="C64" i="82"/>
  <c r="C63" i="82" s="1"/>
  <c r="C67" i="82" s="1"/>
  <c r="D53" i="82"/>
  <c r="C72" i="82"/>
  <c r="C78" i="82"/>
  <c r="C73" i="82" s="1"/>
  <c r="C93" i="82"/>
  <c r="C86" i="82" s="1"/>
  <c r="D55" i="82"/>
  <c r="M53" i="82" s="1"/>
  <c r="B58" i="40"/>
  <c r="F58" i="40" s="1"/>
  <c r="B54" i="40"/>
  <c r="F54" i="40" s="1"/>
  <c r="B53" i="40"/>
  <c r="F53" i="40" s="1"/>
  <c r="B59" i="40"/>
  <c r="F59" i="40" s="1"/>
  <c r="B52" i="40"/>
  <c r="F52" i="40" s="1"/>
  <c r="B56" i="40"/>
  <c r="F56" i="40" s="1"/>
  <c r="B60" i="40"/>
  <c r="F60" i="40" s="1"/>
  <c r="B57" i="40"/>
  <c r="F57" i="40" s="1"/>
  <c r="B51" i="40"/>
  <c r="F51" i="40" s="1"/>
  <c r="F61" i="40"/>
  <c r="B2" i="40" s="1"/>
  <c r="B3" i="40" s="1"/>
  <c r="D118" i="80"/>
  <c r="D119" i="80" s="1"/>
  <c r="F118" i="80"/>
  <c r="F119" i="80" s="1"/>
  <c r="H118" i="80"/>
  <c r="C104" i="80" l="1"/>
  <c r="D15" i="74"/>
  <c r="G15" i="74" s="1"/>
  <c r="C79" i="82"/>
  <c r="C68" i="82"/>
  <c r="D54" i="82" s="1"/>
  <c r="D59" i="82"/>
  <c r="M55" i="82" s="1"/>
  <c r="L66" i="82"/>
  <c r="M66" i="82" s="1"/>
  <c r="L64" i="82"/>
  <c r="M64" i="82" s="1"/>
  <c r="L67" i="82"/>
  <c r="M67" i="82" s="1"/>
  <c r="L65" i="82"/>
  <c r="M65" i="82" s="1"/>
  <c r="L68" i="82"/>
  <c r="M68" i="82" s="1"/>
  <c r="L63" i="82"/>
  <c r="M63" i="82" s="1"/>
  <c r="C95" i="82"/>
  <c r="C96" i="82" s="1"/>
  <c r="E96" i="82" s="1"/>
  <c r="E97" i="82" s="1"/>
  <c r="H101" i="80"/>
  <c r="M48" i="80" s="1"/>
  <c r="I118" i="80"/>
  <c r="C105" i="80" s="1"/>
  <c r="G118" i="80"/>
  <c r="H119" i="80"/>
  <c r="E15" i="74" l="1"/>
  <c r="F15" i="74"/>
  <c r="M69" i="82"/>
  <c r="N69" i="82" s="1"/>
  <c r="C97" i="82"/>
  <c r="D58" i="82" s="1"/>
  <c r="D56" i="82" s="1"/>
  <c r="M54" i="82" s="1"/>
  <c r="N57" i="82" s="1"/>
  <c r="N58" i="82" s="1"/>
  <c r="C80" i="82"/>
  <c r="E80" i="82" s="1"/>
  <c r="E81" i="82" s="1"/>
  <c r="D45" i="80"/>
  <c r="C72" i="80" s="1"/>
  <c r="H107" i="80"/>
  <c r="H108" i="80" s="1"/>
  <c r="E118" i="80"/>
  <c r="H102" i="80"/>
  <c r="D52" i="80"/>
  <c r="C93" i="80" l="1"/>
  <c r="C86" i="80" s="1"/>
  <c r="C81" i="82"/>
  <c r="C85" i="80"/>
  <c r="D53" i="80"/>
  <c r="D122" i="80"/>
  <c r="D123" i="80" s="1"/>
  <c r="C64" i="80"/>
  <c r="C63" i="80" s="1"/>
  <c r="C67" i="80" s="1"/>
  <c r="D59" i="80" s="1"/>
  <c r="M55" i="80" s="1"/>
  <c r="D55" i="80"/>
  <c r="M53" i="80" s="1"/>
  <c r="C78" i="80"/>
  <c r="C73" i="80" s="1"/>
  <c r="C79" i="80" s="1"/>
  <c r="N59" i="82"/>
  <c r="P57" i="82"/>
  <c r="C95" i="80"/>
  <c r="C96" i="80" s="1"/>
  <c r="E96" i="80" s="1"/>
  <c r="E97" i="80" s="1"/>
  <c r="M49" i="80"/>
  <c r="L68" i="80" s="1"/>
  <c r="M68" i="80" s="1"/>
  <c r="L66" i="80" l="1"/>
  <c r="M66" i="80" s="1"/>
  <c r="C68" i="80"/>
  <c r="D54" i="80" s="1"/>
  <c r="N61" i="82"/>
  <c r="N60" i="82"/>
  <c r="L67" i="80"/>
  <c r="M67" i="80" s="1"/>
  <c r="L65" i="80"/>
  <c r="M65" i="80" s="1"/>
  <c r="L63" i="80"/>
  <c r="M63" i="80" s="1"/>
  <c r="L64" i="80"/>
  <c r="M64" i="80" s="1"/>
  <c r="C97" i="80"/>
  <c r="D58" i="80" s="1"/>
  <c r="D56" i="80" s="1"/>
  <c r="M54" i="80" s="1"/>
  <c r="N57" i="80" s="1"/>
  <c r="C80" i="80"/>
  <c r="E80" i="80" s="1"/>
  <c r="E81" i="80" s="1"/>
  <c r="M69" i="80" l="1"/>
  <c r="N69" i="80" s="1"/>
  <c r="C81" i="80"/>
  <c r="N58" i="80"/>
  <c r="P57" i="80"/>
  <c r="N59" i="80"/>
  <c r="N61" i="80" l="1"/>
  <c r="N60" i="80"/>
  <c r="E14" i="74"/>
  <c r="F14" i="74"/>
  <c r="B5" i="74"/>
  <c r="D5" i="74" s="1"/>
  <c r="C5" i="74" l="1"/>
  <c r="B6" i="74"/>
  <c r="C6" i="74" s="1"/>
  <c r="D6" i="74" l="1"/>
  <c r="C104" i="9"/>
  <c r="H4" i="52"/>
  <c r="D53" i="9"/>
  <c r="D52" i="9"/>
  <c r="N58" i="9"/>
  <c r="P57" i="9"/>
  <c r="B47" i="72"/>
  <c r="I4" i="52"/>
  <c r="C105" i="9"/>
  <c r="B48" i="72"/>
  <c r="B31" i="72"/>
  <c r="D8" i="52"/>
  <c r="B53" i="72"/>
  <c r="M67" i="9"/>
  <c r="M68" i="9"/>
  <c r="M64" i="9"/>
  <c r="N61" i="9"/>
  <c r="N60" i="9"/>
  <c r="M48" i="9"/>
  <c r="B22" i="72"/>
  <c r="D15" i="53"/>
  <c r="H108" i="9"/>
  <c r="D4" i="52"/>
  <c r="B51" i="72"/>
  <c r="B21" i="72"/>
  <c r="L67" i="9"/>
  <c r="L68" i="9"/>
  <c r="L64" i="9"/>
  <c r="N59" i="9"/>
  <c r="C68" i="9"/>
  <c r="D54" i="9"/>
  <c r="E4" i="52"/>
  <c r="C81" i="9"/>
  <c r="E81" i="9"/>
  <c r="H119" i="9"/>
  <c r="H5" i="52"/>
  <c r="F4" i="52"/>
  <c r="L65" i="9"/>
  <c r="M65" i="9"/>
  <c r="D122" i="9"/>
  <c r="D123" i="9"/>
  <c r="D9" i="52"/>
  <c r="B52" i="72"/>
  <c r="H102" i="9"/>
  <c r="D7" i="53"/>
  <c r="C78" i="9"/>
  <c r="C73" i="9"/>
  <c r="G4" i="52"/>
  <c r="D55" i="9"/>
  <c r="M53" i="9"/>
  <c r="N57" i="9"/>
  <c r="B20" i="72"/>
  <c r="D5" i="53"/>
  <c r="D6" i="53"/>
  <c r="B32" i="72"/>
  <c r="B30" i="72"/>
  <c r="D13" i="53"/>
  <c r="D14" i="53"/>
  <c r="C93" i="9"/>
  <c r="C86" i="9"/>
  <c r="L63" i="9"/>
  <c r="M63" i="9"/>
  <c r="M69" i="9"/>
  <c r="N69" i="9"/>
  <c r="C67" i="9"/>
  <c r="D59" i="9"/>
  <c r="M55" i="9"/>
  <c r="C97" i="9"/>
  <c r="D58" i="9"/>
  <c r="D56" i="9"/>
  <c r="M54" i="9"/>
  <c r="C85" i="9"/>
  <c r="C95" i="9"/>
  <c r="C96" i="9"/>
  <c r="E96" i="9"/>
  <c r="E97" i="9"/>
  <c r="H107" i="9"/>
  <c r="M49" i="9"/>
  <c r="L66" i="9"/>
  <c r="M66" i="9"/>
  <c r="C64" i="9"/>
  <c r="C63" i="9"/>
  <c r="E118" i="9"/>
  <c r="D118" i="9"/>
  <c r="D119" i="9"/>
  <c r="D5" i="52"/>
  <c r="B49" i="72"/>
  <c r="I118" i="9"/>
  <c r="H118" i="9"/>
  <c r="H101" i="9"/>
  <c r="D45" i="9"/>
  <c r="C72" i="9"/>
  <c r="C79" i="9"/>
  <c r="C80" i="9"/>
  <c r="E80" i="9"/>
  <c r="G118" i="9"/>
  <c r="F118" i="9"/>
  <c r="F119" i="9"/>
  <c r="F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<sst xmlns="http://schemas.openxmlformats.org/spreadsheetml/2006/main" count="8974" uniqueCount="3246">
  <si>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</si>
  <si>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</si>
  <si>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</si>
  <si>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</si>
  <si>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</si>
  <si>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</si>
  <si>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</si>
  <si>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</si>
  <si>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</si>
  <si>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</si>
  <si>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</si>
  <si>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</si>
  <si>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</si>
  <si>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</si>
  <si>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</si>
  <si>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</si>
  <si>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</si>
  <si>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</si>
  <si>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</si>
  <si>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</si>
  <si>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</si>
  <si>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</si>
  <si>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</si>
  <si>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</si>
  <si>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</si>
  <si>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</si>
  <si>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</si>
  <si>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</si>
  <si>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</si>
  <si>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</si>
  <si>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</si>
  <si>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</si>
  <si>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</si>
  <si>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</si>
  <si>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</si>
  <si>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</si>
  <si>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</si>
  <si>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</si>
  <si>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</si>
  <si>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</si>
  <si>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</si>
  <si>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</si>
  <si>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</si>
  <si>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</si>
  <si>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</si>
  <si>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</si>
  <si>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</si>
  <si>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</si>
  <si>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</si>
  <si>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</si>
  <si>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</si>
  <si>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</si>
  <si>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</si>
  <si>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</si>
  <si>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</si>
  <si>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</si>
  <si>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</si>
  <si>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</si>
  <si>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</si>
  <si>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</si>
  <si>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</si>
  <si>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</si>
  <si>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</si>
  <si>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</si>
  <si>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</si>
  <si>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</si>
  <si>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</si>
  <si>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</si>
  <si>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</si>
  <si>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</si>
  <si>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</si>
  <si>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</si>
  <si>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</si>
  <si>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</si>
  <si>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</si>
  <si>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</si>
  <si>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</si>
  <si>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</si>
  <si>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</si>
  <si>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</si>
  <si>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</si>
  <si>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</si>
  <si>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</si>
  <si>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</si>
  <si>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</si>
  <si>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</si>
  <si>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</si>
  <si>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</si>
  <si>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</si>
  <si>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</si>
  <si>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</si>
  <si>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</si>
  <si>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</si>
  <si>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</si>
  <si>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</si>
  <si>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</si>
  <si>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</si>
  <si>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</si>
  <si>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</si>
  <si>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</si>
  <si>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</si>
  <si>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</si>
  <si>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</si>
  <si>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</si>
  <si>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</si>
  <si>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</si>
  <si>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</si>
  <si>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</si>
  <si>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</si>
  <si>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</si>
  <si>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</si>
  <si>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</si>
  <si>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</si>
  <si>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</si>
  <si>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</si>
  <si>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</si>
  <si>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</si>
  <si>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</si>
  <si>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</si>
  <si>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</si>
  <si>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</si>
  <si>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</si>
  <si>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</si>
  <si>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</si>
  <si>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</si>
  <si>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</si>
  <si>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</si>
  <si>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</si>
  <si>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</si>
  <si>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</si>
  <si>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</si>
  <si>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</si>
  <si>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</si>
  <si>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</si>
  <si>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</si>
  <si>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</si>
  <si>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</si>
  <si>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</si>
  <si>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</si>
  <si>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</si>
  <si>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</si>
  <si>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</si>
  <si>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</si>
  <si>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</si>
  <si>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</si>
  <si>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</si>
  <si>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</si>
  <si>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</si>
  <si>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</si>
  <si>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</si>
  <si>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</si>
  <si>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</si>
  <si>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</si>
  <si>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</si>
  <si>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</si>
  <si>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</si>
  <si>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</si>
  <si>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</si>
  <si>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</si>
  <si>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</si>
  <si>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</si>
  <si>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</si>
  <si>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</si>
  <si>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</si>
  <si>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</si>
  <si>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</si>
  <si>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</si>
  <si>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</si>
  <si>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</si>
  <si>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</si>
  <si>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</si>
  <si>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</si>
  <si>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</si>
  <si>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</si>
  <si>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</si>
  <si>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</si>
  <si>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</si>
  <si>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</si>
  <si>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</si>
  <si>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</si>
  <si>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</si>
  <si>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</si>
  <si>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</si>
  <si>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</si>
  <si>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</si>
  <si>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</si>
  <si>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</si>
  <si>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</si>
  <si>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</si>
  <si>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</si>
  <si>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</si>
  <si>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</si>
  <si>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</si>
  <si>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</si>
  <si>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</si>
  <si>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</si>
  <si>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</si>
  <si>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</si>
  <si>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</si>
  <si>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</si>
  <si>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</si>
  <si>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</si>
  <si>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</si>
  <si>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</si>
  <si>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</si>
  <si>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</si>
  <si>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</si>
  <si>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</si>
  <si>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</si>
  <si>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</si>
  <si>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</si>
  <si>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</si>
  <si>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</si>
  <si>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</si>
  <si>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</si>
  <si>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</si>
  <si>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</si>
  <si>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</si>
  <si>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</si>
  <si>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</si>
  <si>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</si>
  <si>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</si>
  <si>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</si>
  <si>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</si>
  <si>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</si>
  <si>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</si>
  <si>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</si>
  <si>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</si>
  <si>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</si>
  <si>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</si>
  <si>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</si>
  <si>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</si>
  <si>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</si>
  <si>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</si>
  <si>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</si>
  <si>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</si>
  <si>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</si>
  <si>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</si>
  <si>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</si>
  <si>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</si>
  <si>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</si>
  <si>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</si>
  <si>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</si>
  <si>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</si>
  <si>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</si>
  <si>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</si>
  <si>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</si>
  <si>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</si>
  <si>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</si>
  <si>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</si>
  <si>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</si>
  <si>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</si>
  <si>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</si>
  <si>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</si>
  <si>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</si>
  <si>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</si>
  <si>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</si>
  <si>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</si>
  <si>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</si>
  <si>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</si>
  <si>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</si>
  <si>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</si>
  <si>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</si>
  <si>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</si>
  <si>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</si>
  <si>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</si>
  <si>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</si>
  <si>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</si>
  <si>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</si>
  <si>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</si>
  <si>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</si>
  <si>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</si>
  <si>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</si>
  <si>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</si>
  <si>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</si>
  <si>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</si>
  <si>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</si>
  <si>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</si>
  <si>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</si>
  <si>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</si>
  <si>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</si>
  <si>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</si>
  <si>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</si>
  <si>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</si>
  <si>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</si>
  <si>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</si>
  <si>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</si>
  <si>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</si>
  <si>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</si>
  <si>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</si>
  <si>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</si>
  <si>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</si>
  <si>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</si>
  <si>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</si>
  <si>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</si>
  <si>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</si>
  <si>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</si>
  <si>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</si>
  <si>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</si>
  <si>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</si>
  <si>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</si>
  <si>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</si>
  <si>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</si>
  <si>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</si>
  <si>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</si>
  <si>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</si>
  <si>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</si>
  <si>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</si>
  <si>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</si>
  <si>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</si>
  <si>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</si>
  <si>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</si>
  <si>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</si>
  <si>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</si>
  <si>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</si>
  <si>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</si>
  <si>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</si>
  <si>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</si>
  <si>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</si>
  <si>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</si>
  <si>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</si>
  <si>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</si>
  <si>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</si>
  <si>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</si>
  <si>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</si>
  <si>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</si>
  <si>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</si>
  <si>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</si>
  <si>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</si>
  <si>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</si>
  <si>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</si>
  <si>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</si>
  <si>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</si>
  <si>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</si>
  <si>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</si>
  <si>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</si>
  <si>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</si>
  <si>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</si>
  <si>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</si>
  <si>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</si>
  <si>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</si>
  <si>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</si>
  <si>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</si>
  <si>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</si>
  <si>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</si>
  <si>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</si>
  <si>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</si>
  <si>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</si>
  <si>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</si>
  <si>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</si>
  <si>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</si>
  <si>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</si>
  <si>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</si>
  <si>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</si>
  <si>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</si>
  <si>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</si>
  <si>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</si>
  <si>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</si>
  <si>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</si>
  <si>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</si>
  <si>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</si>
  <si>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</si>
  <si>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</si>
  <si>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</si>
  <si>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</si>
  <si>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</si>
  <si>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</si>
  <si>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</si>
  <si>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</si>
  <si>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</si>
  <si>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</si>
  <si>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</si>
  <si>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</si>
  <si>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</si>
  <si>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</si>
  <si>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</si>
  <si>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</si>
  <si>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</si>
  <si>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</si>
  <si>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</si>
  <si>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</si>
  <si>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</si>
  <si>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</si>
  <si>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</si>
  <si>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</si>
  <si>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</si>
  <si>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</si>
  <si>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</si>
  <si>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</si>
  <si>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</si>
  <si>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</si>
  <si>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</si>
  <si>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</si>
  <si>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</si>
  <si>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</si>
  <si>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</si>
  <si>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</si>
  <si>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</si>
  <si>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</si>
  <si>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</si>
  <si>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</si>
  <si>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</si>
  <si>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</si>
  <si>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</si>
  <si>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</si>
  <si>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</si>
  <si>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</si>
  <si>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</si>
  <si>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</si>
  <si>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</si>
  <si>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</si>
  <si>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</si>
  <si>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</si>
  <si>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</si>
  <si>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</si>
  <si>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</si>
  <si>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</si>
  <si>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</si>
  <si>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</si>
  <si>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</si>
  <si>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</si>
  <si>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</si>
  <si>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</si>
  <si>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</si>
  <si>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</si>
  <si>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</si>
  <si>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</si>
  <si>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</si>
  <si>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</si>
  <si>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</si>
  <si>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</si>
  <si>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</si>
  <si>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</si>
  <si>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</si>
  <si>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</si>
  <si>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</si>
  <si>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</si>
  <si>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</si>
  <si>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</si>
  <si>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</si>
  <si>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</si>
  <si>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</si>
  <si>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</si>
  <si>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</si>
  <si>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</si>
  <si>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</si>
  <si>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</si>
  <si>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</si>
  <si>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</si>
  <si>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</si>
  <si>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</si>
  <si>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</si>
  <si>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</si>
  <si>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</si>
  <si>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</si>
  <si>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</si>
  <si>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</si>
  <si>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</si>
  <si>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</si>
  <si>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</si>
  <si>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</si>
  <si>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</si>
  <si>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</si>
  <si>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</si>
  <si>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</si>
  <si>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</si>
  <si>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</si>
  <si>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</si>
  <si>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</si>
  <si>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</si>
  <si>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</si>
  <si>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</si>
  <si>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</si>
  <si>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</si>
  <si>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</si>
  <si>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</si>
  <si>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</si>
  <si>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</si>
  <si>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</si>
  <si>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</si>
  <si>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</si>
  <si>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</si>
  <si>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</si>
  <si>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</si>
  <si>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</si>
  <si>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</si>
  <si>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</si>
  <si>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</si>
  <si>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</si>
  <si>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</si>
  <si>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</si>
  <si>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</si>
  <si>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</si>
  <si>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</si>
  <si>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</si>
  <si>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</si>
  <si>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</si>
  <si>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</si>
  <si>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</si>
  <si>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</si>
  <si>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</si>
  <si>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</si>
  <si>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</si>
  <si>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</si>
  <si>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</si>
  <si>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</si>
  <si>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</si>
  <si>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</si>
  <si>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</si>
  <si>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</si>
  <si>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</si>
  <si>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</si>
  <si>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</si>
  <si>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</si>
  <si>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</si>
  <si>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</si>
  <si>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</si>
  <si>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</si>
  <si>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</si>
  <si>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</si>
  <si>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</si>
  <si>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</si>
  <si>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</si>
  <si>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</si>
  <si>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</si>
  <si>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</si>
  <si>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</si>
  <si>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</si>
  <si>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</si>
  <si>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</si>
  <si>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</si>
  <si>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</si>
  <si>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</si>
  <si>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</si>
  <si>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</si>
  <si>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</si>
  <si>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</si>
  <si>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</si>
  <si>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</si>
  <si>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</si>
  <si>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</si>
  <si>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</si>
  <si>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</si>
  <si>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</si>
  <si>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</si>
  <si>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</si>
  <si>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</si>
  <si>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</si>
  <si>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</si>
  <si>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</si>
  <si>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</si>
  <si>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</si>
  <si>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</si>
  <si>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</si>
  <si>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</si>
  <si>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</si>
  <si>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</si>
  <si>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</si>
  <si>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</si>
  <si>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</si>
  <si>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</si>
  <si>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</si>
  <si>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</si>
  <si>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</si>
  <si>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</si>
  <si>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</si>
  <si>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</si>
  <si>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</si>
  <si>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</si>
  <si>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</si>
  <si>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</si>
  <si>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</si>
  <si>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</si>
  <si>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</si>
  <si>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</si>
  <si>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</si>
  <si>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</si>
  <si>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</si>
  <si>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</si>
  <si>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</si>
  <si>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</si>
  <si>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</si>
  <si>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</si>
  <si>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</si>
  <si>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</si>
  <si>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</si>
  <si>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</si>
  <si>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</si>
  <si>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</si>
  <si>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</si>
  <si>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</si>
  <si>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</si>
  <si>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</si>
  <si>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</si>
  <si>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</si>
  <si>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</si>
  <si>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</si>
  <si>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</si>
  <si>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</si>
  <si>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</si>
  <si>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</si>
  <si>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</si>
  <si>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</si>
  <si>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</si>
  <si>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</si>
  <si>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</si>
  <si>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</si>
  <si>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</si>
  <si>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</si>
  <si>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</si>
  <si>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</si>
  <si>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</si>
  <si>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</si>
  <si>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</si>
  <si>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</si>
  <si>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</si>
  <si>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</si>
  <si>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</si>
  <si>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</si>
  <si>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</si>
  <si>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</si>
  <si>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</si>
  <si>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</si>
  <si>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</si>
  <si>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</si>
  <si>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</si>
  <si>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</si>
  <si>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</si>
  <si>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</si>
  <si>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</si>
  <si>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</si>
  <si>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</si>
  <si>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</si>
  <si>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</si>
  <si>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</si>
  <si>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</si>
  <si>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</si>
  <si>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</si>
  <si>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</si>
  <si>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</si>
  <si>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</si>
  <si>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</si>
  <si>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</si>
  <si>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</si>
  <si>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</si>
  <si>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</si>
  <si>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</si>
  <si>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</si>
  <si>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</si>
  <si>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</si>
  <si>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</si>
  <si>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</si>
  <si>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</si>
  <si>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</si>
  <si>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</si>
  <si>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</si>
  <si>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</si>
  <si>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</si>
  <si>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</si>
  <si>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</si>
  <si>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</si>
  <si>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</si>
  <si>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</si>
  <si>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</si>
  <si>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</si>
  <si>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</si>
  <si>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</si>
  <si>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</si>
  <si>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</si>
  <si>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</si>
  <si>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</si>
  <si>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</si>
  <si>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</si>
  <si>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</si>
  <si>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</si>
  <si>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</si>
  <si>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</si>
  <si>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</si>
  <si>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</si>
  <si>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</si>
  <si>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</si>
  <si>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</si>
  <si>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</si>
  <si>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</si>
  <si>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</si>
  <si>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</si>
  <si>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</si>
  <si>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</si>
  <si>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</si>
  <si>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</si>
  <si>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</si>
  <si>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</si>
  <si>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</si>
  <si>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</si>
  <si>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</si>
  <si>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</si>
  <si>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</si>
  <si>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</si>
  <si>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</si>
  <si>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</si>
  <si>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</si>
  <si>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</si>
  <si>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</si>
  <si>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</si>
  <si>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</si>
  <si>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</si>
  <si>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</si>
  <si>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</si>
  <si>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</si>
  <si>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</si>
  <si>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</si>
  <si>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</si>
  <si>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</si>
  <si>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</si>
  <si>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</si>
  <si>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</si>
  <si>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</si>
  <si>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</si>
  <si>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</si>
  <si>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</si>
  <si>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</si>
  <si>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</si>
  <si>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</si>
  <si>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</si>
  <si>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</si>
  <si>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</si>
  <si>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</si>
  <si>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</si>
  <si>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</si>
  <si>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</si>
  <si>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</si>
  <si>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</si>
  <si>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</si>
  <si>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</si>
  <si>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</si>
  <si>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</si>
  <si>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</si>
  <si>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</si>
  <si>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</si>
  <si>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</si>
  <si>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</si>
  <si>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</si>
  <si>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</si>
  <si>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</si>
  <si>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</si>
  <si>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</si>
  <si>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</si>
  <si>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</si>
  <si>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</si>
  <si>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</si>
  <si>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</si>
  <si>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</si>
  <si>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</si>
  <si>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</si>
  <si>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</si>
  <si>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</si>
  <si>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</si>
  <si>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</si>
  <si>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</si>
  <si>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</si>
  <si>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</si>
  <si>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</si>
  <si>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</si>
  <si>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</si>
  <si>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</si>
  <si>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</si>
  <si>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</si>
  <si>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</si>
  <si>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</si>
  <si>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</si>
  <si>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</si>
  <si>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</si>
  <si>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</si>
  <si>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</si>
  <si>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</si>
  <si>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</si>
  <si>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</si>
  <si>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</si>
  <si>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</si>
  <si>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</si>
  <si>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</si>
  <si>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</si>
  <si>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</si>
  <si>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</si>
  <si>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</si>
  <si>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</si>
  <si>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</si>
  <si>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</si>
  <si>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</si>
  <si>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</si>
  <si>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</si>
  <si>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</si>
  <si>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</si>
  <si>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</si>
  <si>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</si>
  <si>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</si>
  <si>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</si>
  <si>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</si>
  <si>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</si>
  <si>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</si>
  <si>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</si>
  <si>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</si>
  <si>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</si>
  <si>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</si>
  <si>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</si>
  <si>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</si>
  <si>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</si>
  <si>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</si>
  <si>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</si>
  <si>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</si>
  <si>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</si>
  <si>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</si>
  <si>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</si>
  <si>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</si>
  <si>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</si>
  <si>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</si>
  <si>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</si>
  <si>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</si>
  <si>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</si>
  <si>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</si>
  <si>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</si>
  <si>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</si>
  <si>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</si>
  <si>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</si>
  <si>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</si>
  <si>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</si>
  <si>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</si>
  <si>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</si>
  <si>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</si>
  <si>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</si>
  <si>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</si>
  <si>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</si>
  <si>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</si>
  <si>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</si>
  <si>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</si>
  <si>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</si>
  <si>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</si>
  <si>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</si>
  <si>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</si>
  <si>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</si>
  <si>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</si>
  <si>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</si>
  <si>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</si>
  <si>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</si>
  <si>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</si>
  <si>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</si>
  <si>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</si>
  <si>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</si>
  <si>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</si>
  <si>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</si>
  <si>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</si>
  <si>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</si>
  <si>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</si>
  <si>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</si>
  <si>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</si>
  <si>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</si>
  <si>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</si>
  <si>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</si>
  <si>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</si>
  <si>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</si>
  <si>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</si>
  <si>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</si>
  <si>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</si>
  <si>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</si>
  <si>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</si>
  <si>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</si>
  <si>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</si>
  <si>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</si>
  <si>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</si>
  <si>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</si>
  <si>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</si>
  <si>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</si>
  <si>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</si>
  <si>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</si>
  <si>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</si>
  <si>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</si>
  <si>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</si>
  <si>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</si>
  <si>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</si>
  <si>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</si>
  <si>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</si>
  <si>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</si>
  <si>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</si>
  <si>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</si>
  <si>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</si>
  <si>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</si>
  <si>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</si>
  <si>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</si>
  <si>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</si>
  <si>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</si>
  <si>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</si>
  <si>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</si>
  <si>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</si>
  <si>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</si>
  <si>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</si>
  <si>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</si>
  <si>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</si>
  <si>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</si>
  <si>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</si>
  <si>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</si>
  <si>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</si>
  <si>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</si>
  <si>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</si>
  <si>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</si>
  <si>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</si>
  <si>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</si>
  <si>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</si>
  <si>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</si>
  <si>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</si>
  <si>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</si>
  <si>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</si>
  <si>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</si>
  <si>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</si>
  <si>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</si>
  <si>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</si>
  <si>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</si>
  <si>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</si>
  <si>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</si>
  <si>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</si>
  <si>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</si>
  <si>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</si>
  <si>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</si>
  <si>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</si>
  <si>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</si>
  <si>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</si>
  <si>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</si>
  <si>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</si>
  <si>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</si>
  <si>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</si>
  <si>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</si>
  <si>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</si>
  <si>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</si>
  <si>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</si>
  <si>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</si>
  <si>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</si>
  <si>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</si>
  <si>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</si>
  <si>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</si>
  <si>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</si>
  <si>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</si>
  <si>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</si>
  <si>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</si>
  <si>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</si>
  <si>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</si>
  <si>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</si>
  <si>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</si>
  <si>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</si>
  <si>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</si>
  <si>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</si>
  <si>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</si>
  <si>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</si>
  <si>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</si>
  <si>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</si>
  <si>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</si>
  <si>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</si>
  <si>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</si>
  <si>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</si>
  <si>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</si>
  <si>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</si>
  <si>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</si>
  <si>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</si>
  <si>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</si>
  <si>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</si>
  <si>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</si>
  <si>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</si>
  <si>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</si>
  <si>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</si>
  <si>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</si>
  <si>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</si>
  <si>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</si>
  <si>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</si>
  <si>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</si>
  <si>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</si>
  <si>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</si>
  <si>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</si>
  <si>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</si>
  <si>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</si>
  <si>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</si>
  <si>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</si>
  <si>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</si>
  <si>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</si>
  <si>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</si>
  <si>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</si>
  <si>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</si>
  <si>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</si>
  <si>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</si>
  <si>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</si>
  <si>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</si>
  <si>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</si>
  <si>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</si>
  <si>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</si>
  <si>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</si>
  <si>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</si>
  <si>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</si>
  <si>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</si>
  <si>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</si>
  <si>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</si>
  <si>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</si>
  <si>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</si>
  <si>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</si>
  <si>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</si>
  <si>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</si>
  <si>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</si>
  <si>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</si>
  <si>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</si>
  <si>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</si>
  <si>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</si>
  <si>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</si>
  <si>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</si>
  <si>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</si>
  <si>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</si>
  <si>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</si>
  <si>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</si>
  <si>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</si>
  <si>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</si>
  <si>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</si>
  <si>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</si>
  <si>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</si>
  <si>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</si>
  <si>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</si>
  <si>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</si>
  <si>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</si>
  <si>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</si>
  <si>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</si>
  <si>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</si>
  <si>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</si>
  <si>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</si>
  <si>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</si>
  <si>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</si>
  <si>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</si>
  <si>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</si>
  <si>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</si>
  <si>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</si>
  <si>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</si>
  <si>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</si>
  <si>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</si>
  <si>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</si>
  <si>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</si>
  <si>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</si>
  <si>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</si>
  <si>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</si>
  <si>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</si>
  <si>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</si>
  <si>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</si>
  <si>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</si>
  <si>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</si>
  <si>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</si>
  <si>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</si>
  <si>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</si>
  <si>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</si>
  <si>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</si>
  <si>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</si>
  <si>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</si>
  <si>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</si>
  <si>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</si>
  <si>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</si>
  <si>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</si>
  <si>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</si>
  <si>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</si>
  <si>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</si>
  <si>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</si>
  <si>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</si>
  <si>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</si>
  <si>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</si>
  <si>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</si>
  <si>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</si>
  <si>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</si>
  <si>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</si>
  <si>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</si>
  <si>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</si>
  <si>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</si>
  <si>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</si>
  <si>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</si>
  <si>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</si>
  <si>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</si>
  <si>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</si>
  <si>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</si>
  <si>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</si>
  <si>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</si>
  <si>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</si>
  <si>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</si>
  <si>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</si>
  <si>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</si>
  <si>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</si>
  <si>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</si>
  <si>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</si>
  <si>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</si>
  <si>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</si>
  <si>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</si>
  <si>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</si>
  <si>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</si>
  <si>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</si>
  <si>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</si>
  <si>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</si>
  <si>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</si>
  <si>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</si>
  <si>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</si>
  <si>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</si>
  <si>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</si>
  <si>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</si>
  <si>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</si>
  <si>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</si>
  <si>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</si>
  <si>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</si>
  <si>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</si>
  <si>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</si>
  <si>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</si>
  <si>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</si>
  <si>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</si>
  <si>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</si>
  <si>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</si>
  <si>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</si>
  <si>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</si>
  <si>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</si>
  <si>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</si>
  <si>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</si>
  <si>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</si>
  <si>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</si>
  <si>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</si>
  <si>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</si>
  <si>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</si>
  <si>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</si>
  <si>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</si>
  <si>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</si>
  <si>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</si>
  <si>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</si>
  <si>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</si>
  <si>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</si>
  <si>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</si>
  <si>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</si>
  <si>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</si>
  <si>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</si>
  <si>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</si>
  <si>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</si>
  <si>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</si>
  <si>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</si>
  <si>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</si>
  <si>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</si>
  <si>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</si>
  <si>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</si>
  <si>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</si>
  <si>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</si>
  <si>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</si>
  <si>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</si>
  <si>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</si>
  <si>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</si>
  <si>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</si>
  <si>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</si>
  <si>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</si>
  <si>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</si>
  <si>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</si>
  <si>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</si>
  <si>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</si>
  <si>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</si>
  <si>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</si>
  <si>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</si>
  <si>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</si>
  <si>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</si>
  <si>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</si>
  <si>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</si>
  <si>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</si>
  <si>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</si>
  <si>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</si>
  <si>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</si>
  <si>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</si>
  <si>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</si>
  <si>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</si>
  <si>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</si>
  <si>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</si>
  <si>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</si>
  <si>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</si>
  <si>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</si>
  <si>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</si>
  <si>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</si>
  <si>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</si>
  <si>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</si>
  <si>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</si>
  <si>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</si>
  <si>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</si>
  <si>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</si>
  <si>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</si>
  <si>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</si>
  <si>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</si>
  <si>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</si>
  <si>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</si>
  <si>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</si>
  <si>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</si>
  <si>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</si>
  <si>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</si>
  <si>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</si>
  <si>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</si>
  <si>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</si>
  <si>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</si>
  <si>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</si>
  <si>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</si>
  <si>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</si>
  <si>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</si>
  <si>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</si>
  <si>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</si>
  <si>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</si>
  <si>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</si>
  <si>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</si>
  <si>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</si>
  <si>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</si>
  <si>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</si>
  <si>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</si>
  <si>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</si>
  <si>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</si>
  <si>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</si>
  <si>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</si>
  <si>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</si>
  <si>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</si>
  <si>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</si>
  <si>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</si>
  <si>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</si>
  <si>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</si>
  <si>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</si>
  <si>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</si>
  <si>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</si>
  <si>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</si>
  <si>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</si>
  <si>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</si>
  <si>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</si>
  <si>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</si>
  <si>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</si>
  <si>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</si>
  <si>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</si>
  <si>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</si>
  <si>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</si>
  <si>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</si>
  <si>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</si>
  <si>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</si>
  <si>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</si>
  <si>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</si>
  <si>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</si>
  <si>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</si>
  <si>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</si>
  <si>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</si>
  <si>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</si>
  <si>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</si>
  <si>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</si>
  <si>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</si>
  <si>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</si>
  <si>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</si>
  <si>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</si>
  <si>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</si>
  <si>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</si>
  <si>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</si>
  <si>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</si>
  <si>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</si>
  <si>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</si>
  <si>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</si>
  <si>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</si>
  <si>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</si>
  <si>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</si>
  <si>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</si>
  <si>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</si>
  <si>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</si>
  <si>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</si>
  <si>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</si>
  <si>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</si>
  <si>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</si>
  <si>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</si>
  <si>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</si>
  <si>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</si>
  <si>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</si>
  <si>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</si>
  <si>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</si>
  <si>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</si>
  <si>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</si>
  <si>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</si>
  <si>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</si>
  <si>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</si>
  <si>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</si>
  <si>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</si>
  <si>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</si>
  <si>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</si>
  <si>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</si>
  <si>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</si>
  <si>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</si>
  <si>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</si>
  <si>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</si>
  <si>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</si>
  <si>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</si>
  <si>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</si>
  <si>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</si>
  <si>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</si>
  <si>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</si>
  <si>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</si>
  <si>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</si>
  <si>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</si>
  <si>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</si>
  <si>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</si>
  <si>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</si>
  <si>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</si>
  <si>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</si>
  <si>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</si>
  <si>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</si>
  <si>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</si>
  <si>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</si>
  <si>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</si>
  <si>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</si>
  <si>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</si>
  <si>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</si>
  <si>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</si>
  <si>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</si>
  <si>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</si>
  <si>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</si>
  <si>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</si>
  <si>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</si>
  <si>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</si>
  <si>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</si>
  <si>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</si>
  <si>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</si>
  <si>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</si>
  <si>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</si>
  <si>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</si>
  <si>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</si>
  <si>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</si>
  <si>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</si>
  <si>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</si>
  <si>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</si>
  <si>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</si>
  <si>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</si>
  <si>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</si>
  <si>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</si>
  <si>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</si>
  <si>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</si>
  <si>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</si>
  <si>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</si>
  <si>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</si>
  <si>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</si>
  <si>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</si>
  <si>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</si>
  <si>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</si>
  <si>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</si>
  <si>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</si>
  <si>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</si>
  <si>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</si>
  <si>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</si>
  <si>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</si>
  <si>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</si>
  <si>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</si>
  <si>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</si>
  <si>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</si>
  <si>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</si>
  <si>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</si>
  <si>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</si>
  <si>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</si>
  <si>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</si>
  <si>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</si>
  <si>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</si>
  <si>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</si>
  <si>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</si>
  <si>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</si>
  <si>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</si>
  <si>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</si>
  <si>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</si>
  <si>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</si>
  <si>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</si>
  <si>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</si>
  <si>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</si>
  <si>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</si>
  <si>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</si>
  <si>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</si>
  <si>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</si>
  <si>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</si>
  <si>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</si>
  <si>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</si>
  <si>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</si>
  <si>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</si>
  <si>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</si>
  <si>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</si>
  <si>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</si>
  <si>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</si>
  <si>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</si>
  <si>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</si>
  <si>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</si>
  <si>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</si>
  <si>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</si>
  <si>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</si>
  <si>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</si>
  <si>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</si>
  <si>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</si>
  <si>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</si>
  <si>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</si>
  <si>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</si>
  <si>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</si>
  <si>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</si>
  <si>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</si>
  <si>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</si>
  <si>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</si>
  <si>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</si>
  <si>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</si>
  <si>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</si>
  <si>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</si>
  <si>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</si>
  <si>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</si>
  <si>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</si>
  <si>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</si>
  <si>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</si>
  <si>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</si>
  <si>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</si>
  <si>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</si>
  <si>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</si>
  <si>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</si>
  <si>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</si>
  <si>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</si>
  <si>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</si>
  <si>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</si>
  <si>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</si>
  <si>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</si>
  <si>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</si>
  <si>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</si>
  <si>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</si>
  <si>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</si>
  <si>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</si>
  <si>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</si>
  <si>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</si>
  <si>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</si>
  <si>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</si>
  <si>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</si>
  <si>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</si>
  <si>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</si>
  <si>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</si>
  <si>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</si>
  <si>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</si>
  <si>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</si>
  <si>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</si>
  <si>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</si>
  <si>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</si>
  <si>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</si>
  <si>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</si>
  <si>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</si>
  <si>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</si>
  <si>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</si>
  <si>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</si>
  <si>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</si>
  <si>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</si>
  <si>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</si>
  <si>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</si>
  <si>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</si>
  <si>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</si>
  <si>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</si>
  <si>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</si>
  <si>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</si>
  <si>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</si>
  <si>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</si>
  <si>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</si>
  <si>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</si>
  <si>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</si>
  <si>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</si>
  <si>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</si>
  <si>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</si>
  <si>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</si>
  <si>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</si>
  <si>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</si>
  <si>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</si>
  <si>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</si>
  <si>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</si>
  <si>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</si>
  <si>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</si>
  <si>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</si>
  <si>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</si>
  <si>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</si>
  <si>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</si>
  <si>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</si>
  <si>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</si>
  <si>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</si>
  <si>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</si>
  <si>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</si>
  <si>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</si>
  <si>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</si>
  <si>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</si>
  <si>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</si>
  <si>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</si>
  <si>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</si>
  <si>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</si>
  <si>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</si>
  <si>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</si>
  <si>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</si>
  <si>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</si>
  <si>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</si>
  <si>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</si>
  <si>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</si>
  <si>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</si>
  <si>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</si>
  <si>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</si>
  <si>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</si>
  <si>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</si>
  <si>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</si>
  <si>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</si>
  <si>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</si>
  <si>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</si>
  <si>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</si>
  <si>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</si>
  <si>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</si>
  <si>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</si>
  <si>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</si>
  <si>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</si>
  <si>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</si>
  <si>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</si>
  <si>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</si>
  <si>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</si>
  <si>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</si>
  <si>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</si>
  <si>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</si>
  <si>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</si>
  <si>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</si>
  <si>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</si>
  <si>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</si>
  <si>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</si>
  <si>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</si>
  <si>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</si>
  <si>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</si>
  <si>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</si>
  <si>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</si>
  <si>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</si>
  <si>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</si>
  <si>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</si>
  <si>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</si>
  <si>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</si>
  <si>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</si>
  <si>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</si>
  <si>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</si>
  <si>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</si>
  <si>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</si>
  <si>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</si>
  <si>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</si>
  <si>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</si>
  <si>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</si>
  <si>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</si>
  <si>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</si>
  <si>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</si>
  <si>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</si>
  <si>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</si>
  <si>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</si>
  <si>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</si>
  <si>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</si>
  <si>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</si>
  <si>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</si>
  <si>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</si>
  <si>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</si>
  <si>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</si>
  <si>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</si>
  <si>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</si>
  <si>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</si>
  <si>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</si>
  <si>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</si>
  <si>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</si>
  <si>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</si>
  <si>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</si>
  <si>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</si>
  <si>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</si>
  <si>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</si>
  <si>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</si>
  <si>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</si>
  <si>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</si>
  <si>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</si>
  <si>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</si>
  <si>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</si>
  <si>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</si>
  <si>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</si>
  <si>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</si>
  <si>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</si>
  <si>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</si>
  <si>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</si>
  <si>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</si>
  <si>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</si>
  <si>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</si>
  <si>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</si>
  <si>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</si>
  <si>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</si>
  <si>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</si>
  <si>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</si>
  <si>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</si>
  <si>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</si>
  <si>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</si>
  <si>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</si>
  <si>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</si>
  <si>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</si>
  <si>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</si>
  <si>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</si>
  <si>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</si>
  <si>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</si>
  <si>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</si>
  <si>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</si>
  <si>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</si>
  <si>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</si>
  <si>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</si>
  <si>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</si>
  <si>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</si>
  <si>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</si>
  <si>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</si>
  <si>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</si>
  <si>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</si>
  <si>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</si>
  <si>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</si>
  <si>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</si>
  <si>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</si>
  <si>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</si>
  <si>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</si>
  <si>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</si>
  <si>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</si>
  <si>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</si>
  <si>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</si>
  <si>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</si>
  <si>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</si>
  <si>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</si>
  <si>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</si>
  <si>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</si>
  <si>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</si>
  <si>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</si>
  <si>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</si>
  <si>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</si>
  <si>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</si>
  <si>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</si>
  <si>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</si>
  <si>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</si>
  <si>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</si>
  <si>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</si>
  <si>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</si>
  <si>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</si>
  <si>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</si>
  <si>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</si>
  <si>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</si>
  <si>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</si>
  <si>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</si>
  <si>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</si>
  <si>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</si>
  <si>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</si>
  <si>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</si>
  <si>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</si>
  <si>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</si>
  <si>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</si>
  <si>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</si>
  <si>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</si>
  <si>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</si>
  <si>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</si>
  <si>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</si>
  <si>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</si>
  <si>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</si>
  <si>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</si>
  <si>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</si>
  <si>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</si>
  <si>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</si>
  <si>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</si>
  <si>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</si>
  <si>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</si>
  <si>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</si>
  <si>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</si>
  <si>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</si>
  <si>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</si>
  <si>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</si>
  <si>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</si>
  <si>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</si>
  <si>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</si>
  <si>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</si>
  <si>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</si>
  <si>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</si>
  <si>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</si>
  <si>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</si>
  <si>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</si>
  <si>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</si>
  <si>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</si>
  <si>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</si>
  <si>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</si>
  <si>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</si>
  <si>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</si>
  <si>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</si>
  <si>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</si>
  <si>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</si>
  <si>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</si>
  <si>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</si>
  <si>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</si>
  <si>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</si>
  <si>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</si>
  <si>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</si>
  <si>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</si>
  <si>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</si>
  <si>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</si>
  <si>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</si>
  <si>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</si>
  <si>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</si>
  <si>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</si>
  <si>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</si>
  <si>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</si>
  <si>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</si>
  <si>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</si>
  <si>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</si>
  <si>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</si>
  <si>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</si>
  <si>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</si>
  <si>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</si>
  <si>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</si>
  <si>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</si>
  <si>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</si>
  <si>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</si>
  <si>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</si>
  <si>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</si>
  <si>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</si>
  <si>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</si>
  <si>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</si>
  <si>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</si>
  <si>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</si>
  <si>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</si>
  <si>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</si>
  <si>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</si>
  <si>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</si>
  <si>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</si>
  <si>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</si>
  <si>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</si>
  <si>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</si>
  <si>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</si>
  <si>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</si>
  <si>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</si>
  <si>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</si>
  <si>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</si>
  <si>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</si>
  <si>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</si>
  <si>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</si>
  <si>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</si>
  <si>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</si>
  <si>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</si>
  <si>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</si>
  <si>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</si>
  <si>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</si>
  <si>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</si>
  <si>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</si>
  <si>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</si>
  <si>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</si>
  <si>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</si>
  <si>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</si>
  <si>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</si>
  <si>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</si>
  <si>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</si>
  <si>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</si>
  <si>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</si>
  <si>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</si>
  <si>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</si>
  <si>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</si>
  <si>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</si>
  <si>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</si>
  <si>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</si>
  <si>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</si>
  <si>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</si>
  <si>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</si>
  <si>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</si>
  <si>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</si>
  <si>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</si>
  <si>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</si>
  <si>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</si>
  <si>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</si>
  <si>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</si>
  <si>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</si>
  <si>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</si>
  <si>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</si>
  <si>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</si>
  <si>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</si>
  <si>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</si>
  <si>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</si>
  <si>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</si>
  <si>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</si>
  <si>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</si>
  <si>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</si>
  <si>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</si>
  <si>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</si>
  <si>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</si>
  <si>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</si>
  <si>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</si>
  <si>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</si>
  <si>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</si>
  <si>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</si>
  <si>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</si>
  <si>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</si>
  <si>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</si>
  <si>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</si>
  <si>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</si>
  <si>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</si>
  <si>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</si>
  <si>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</si>
  <si>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</si>
  <si>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</si>
  <si>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</si>
  <si>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</si>
  <si>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</si>
  <si>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</si>
  <si>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</si>
  <si>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</si>
  <si>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</si>
  <si>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</si>
  <si>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</si>
  <si>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</si>
  <si>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</si>
  <si>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</si>
  <si>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</si>
  <si>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</si>
  <si>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</si>
  <si>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</si>
  <si>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</si>
  <si>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</si>
  <si>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</si>
  <si>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</si>
  <si>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</si>
  <si>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</si>
  <si>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</si>
  <si>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</si>
  <si>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</si>
  <si>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</si>
  <si>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</si>
  <si>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</si>
  <si>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</si>
  <si>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</si>
  <si>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</si>
  <si>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</si>
  <si>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</si>
  <si>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</si>
  <si>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</si>
  <si>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</si>
  <si>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</si>
  <si>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</si>
  <si>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</si>
  <si>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</si>
  <si>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</si>
  <si>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</si>
  <si>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</si>
  <si>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</si>
  <si>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</si>
  <si>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</si>
  <si>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</si>
  <si>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</si>
  <si>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</si>
  <si>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</si>
  <si>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</si>
  <si>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</si>
  <si>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</si>
  <si>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</si>
  <si>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</si>
  <si>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</si>
  <si>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</si>
  <si>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</si>
  <si>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</si>
  <si>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</si>
  <si>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</si>
  <si>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</si>
  <si>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</si>
  <si>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</si>
  <si>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</si>
  <si>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</si>
  <si>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</si>
  <si>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</si>
  <si>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</si>
  <si>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</si>
  <si>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</si>
  <si>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</si>
  <si>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</si>
  <si>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</si>
  <si>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</si>
  <si>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</si>
  <si>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</si>
  <si>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</si>
  <si>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</si>
  <si>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</si>
  <si>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</si>
  <si>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</si>
  <si>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</si>
  <si>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</si>
  <si>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</si>
  <si>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</si>
  <si>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</si>
  <si>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</si>
  <si>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</si>
  <si>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</si>
  <si>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</si>
  <si>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</si>
  <si>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</si>
  <si>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</si>
  <si>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</si>
  <si>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</si>
  <si>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</si>
  <si>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</si>
  <si>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</si>
  <si>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</si>
  <si>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</si>
  <si>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</si>
  <si>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</si>
  <si>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</si>
  <si>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</si>
  <si>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</si>
  <si>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</si>
  <si>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</si>
  <si>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</si>
  <si>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</si>
  <si>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</si>
  <si>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</si>
  <si>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</si>
  <si>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</si>
  <si>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</si>
  <si>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</si>
  <si>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</si>
  <si>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</si>
  <si>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</si>
  <si>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</si>
  <si>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</si>
  <si>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</si>
  <si>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</si>
  <si>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</si>
  <si>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</si>
  <si>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</si>
  <si>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</si>
  <si>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</si>
  <si>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</si>
  <si>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</si>
  <si>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</si>
  <si>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</si>
  <si>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</si>
  <si>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</si>
  <si>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</si>
  <si>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</si>
  <si>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</si>
  <si>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</si>
  <si>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</si>
  <si>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</si>
  <si>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</si>
  <si>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</si>
  <si>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</si>
  <si>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</si>
  <si>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</si>
  <si>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</si>
  <si>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</si>
  <si>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</si>
  <si>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</si>
  <si>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</si>
  <si>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</si>
  <si>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</si>
  <si>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</si>
  <si>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</si>
  <si>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</si>
  <si>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</si>
  <si>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</si>
  <si>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</si>
  <si>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</si>
  <si>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</si>
  <si>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</si>
  <si>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</si>
  <si>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</si>
  <si>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</si>
  <si>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</si>
  <si>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</si>
  <si>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</si>
  <si>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</si>
  <si>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</si>
  <si>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</si>
  <si>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</si>
  <si>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</si>
  <si>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</si>
  <si>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</si>
  <si>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</si>
  <si>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</si>
  <si>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</si>
  <si>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</si>
  <si>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</si>
  <si>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</si>
  <si>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</si>
  <si>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</si>
  <si>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</si>
  <si>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</si>
  <si>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</si>
  <si>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</si>
  <si>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</si>
  <si>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</si>
  <si>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</si>
  <si>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</si>
  <si>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</si>
  <si>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</si>
  <si>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</si>
  <si>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</si>
  <si>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</si>
  <si>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</si>
  <si>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</si>
  <si>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</si>
  <si>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</si>
  <si>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</si>
  <si>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</si>
  <si>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</si>
  <si>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</si>
  <si>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</si>
  <si>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</si>
  <si>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</si>
  <si>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</si>
  <si>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</si>
  <si>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</si>
  <si>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</si>
  <si>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</si>
  <si>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</si>
  <si>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</si>
  <si>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</si>
  <si>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</si>
  <si>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</si>
  <si>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</si>
  <si>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</si>
  <si>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</si>
  <si>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</si>
  <si>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</si>
  <si>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</si>
  <si>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</si>
  <si>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</si>
  <si>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</si>
  <si>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</si>
  <si>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</si>
  <si>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</si>
  <si>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</si>
  <si>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</si>
  <si>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</si>
  <si>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</si>
  <si>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</si>
  <si>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</si>
  <si>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</si>
  <si>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</si>
  <si>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</si>
  <si>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</si>
  <si>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</si>
  <si>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</si>
  <si>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</si>
  <si>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</si>
  <si>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</si>
  <si>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</si>
  <si>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</si>
  <si>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</si>
  <si>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</si>
  <si>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</si>
  <si>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</si>
  <si>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</si>
  <si>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</si>
  <si>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</si>
  <si>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</si>
  <si>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</si>
  <si>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</si>
  <si>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</si>
  <si>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</si>
  <si>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</si>
  <si>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</si>
  <si>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</si>
  <si>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</si>
  <si>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</si>
  <si>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</si>
  <si>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</si>
  <si>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</si>
  <si>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</si>
  <si>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</si>
  <si>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</si>
  <si>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</si>
  <si>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</si>
  <si>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</si>
  <si>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</si>
  <si>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</si>
  <si>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</si>
  <si>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</si>
  <si>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</si>
  <si>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</si>
  <si>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</si>
  <si>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</si>
  <si>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</si>
  <si>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</si>
  <si>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</si>
  <si>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</si>
  <si>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</si>
  <si>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</si>
  <si>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</si>
  <si>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</si>
  <si>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</si>
  <si>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</si>
  <si>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</si>
  <si>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</si>
  <si>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</si>
  <si>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</si>
  <si>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</si>
  <si>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</si>
  <si>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</si>
  <si>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</si>
  <si>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</si>
  <si>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</si>
  <si>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</si>
  <si>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</si>
  <si>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</si>
  <si>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</si>
  <si>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</si>
  <si>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</si>
  <si>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</si>
  <si>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</si>
  <si>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</si>
  <si>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</si>
  <si>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</si>
  <si>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</si>
  <si>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</si>
  <si>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</si>
  <si>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</si>
  <si>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</si>
  <si>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</si>
  <si>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</si>
  <si>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</si>
  <si>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</si>
  <si>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</si>
  <si>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</si>
  <si>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</si>
  <si>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</si>
  <si>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</si>
  <si>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</si>
  <si>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</si>
  <si>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</si>
  <si>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</si>
  <si>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</si>
  <si>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</si>
  <si>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</si>
  <si>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</si>
  <si>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</si>
  <si>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</si>
  <si>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</si>
  <si>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</si>
  <si>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</si>
  <si>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</si>
  <si>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</si>
  <si>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</si>
  <si>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</si>
  <si>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</si>
  <si>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</si>
  <si>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</si>
  <si>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</si>
  <si>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</si>
  <si>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</si>
  <si>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</si>
  <si>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</si>
  <si>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</si>
  <si>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</si>
  <si>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</si>
  <si>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</si>
  <si>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</si>
  <si>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</si>
  <si>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</si>
  <si>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</si>
  <si>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</si>
  <si>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</si>
  <si>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</si>
  <si>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</si>
  <si>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</si>
  <si>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</si>
  <si>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</si>
  <si>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</si>
  <si>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</si>
  <si>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</si>
  <si>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</si>
  <si>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</si>
  <si>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</si>
  <si>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</si>
  <si>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</si>
  <si>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</si>
  <si>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</si>
  <si>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</si>
  <si>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</si>
  <si>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</si>
  <si>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</si>
  <si>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</si>
  <si>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</si>
  <si>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</si>
  <si>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</si>
  <si>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</si>
  <si>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</si>
  <si>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</si>
  <si>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</si>
  <si>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</si>
  <si>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</si>
  <si>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</si>
  <si>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</si>
  <si>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</si>
  <si>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</si>
  <si>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</si>
  <si>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</si>
  <si>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</si>
  <si>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</si>
  <si>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</si>
  <si>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</si>
  <si>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</si>
  <si>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</si>
  <si>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</si>
  <si>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</si>
  <si>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</si>
  <si>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</si>
  <si>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</si>
  <si>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</si>
  <si>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</si>
  <si>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</si>
  <si>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</si>
  <si>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</si>
  <si>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</si>
  <si>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</si>
  <si>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</si>
  <si>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</si>
  <si>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</si>
  <si>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</si>
  <si>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</si>
  <si>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</si>
  <si>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</si>
  <si>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</si>
  <si>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</si>
  <si>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</si>
  <si>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</si>
  <si>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</si>
  <si>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</si>
  <si>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</si>
  <si>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</si>
  <si>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</si>
  <si>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</si>
  <si>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</si>
  <si>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</si>
  <si>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</si>
  <si>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</si>
  <si>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</si>
  <si>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</si>
  <si>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</si>
  <si>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</si>
  <si>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</si>
  <si>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</si>
  <si>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</si>
  <si>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</si>
  <si>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</si>
  <si>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</si>
  <si>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</si>
  <si>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</si>
  <si>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</si>
  <si>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</si>
  <si>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</si>
  <si>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</si>
  <si>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</si>
  <si>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</si>
  <si>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</si>
  <si>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</si>
  <si>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</si>
  <si>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</si>
  <si>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</si>
  <si>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</si>
  <si>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</si>
  <si>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</si>
  <si>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</si>
  <si>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</si>
  <si>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</si>
  <si>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</si>
  <si>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</si>
  <si>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</si>
  <si>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</si>
  <si>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</si>
  <si>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</si>
  <si>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</si>
  <si>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</si>
  <si>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</si>
  <si>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</si>
  <si>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</si>
  <si>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</si>
  <si>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</si>
  <si>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</si>
  <si>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</si>
  <si>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</si>
  <si>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</si>
  <si>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</si>
  <si>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</si>
  <si>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</si>
  <si>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</si>
  <si>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</si>
  <si>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</si>
  <si>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</si>
  <si>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</si>
  <si>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</si>
  <si>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</si>
  <si>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</si>
  <si>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</si>
  <si>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</si>
  <si>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</si>
  <si>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</si>
  <si>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</si>
  <si>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</si>
  <si>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</si>
  <si>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</si>
  <si>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</si>
  <si>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</si>
  <si>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</si>
  <si>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</si>
  <si>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</si>
  <si>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</si>
  <si>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</si>
  <si>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</si>
  <si>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</si>
  <si>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</si>
  <si>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</si>
  <si>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</si>
  <si>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</si>
  <si>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</si>
  <si>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</si>
  <si>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</si>
  <si>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</si>
  <si>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</si>
  <si>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</si>
  <si>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</si>
  <si>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</si>
  <si>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</si>
  <si>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</si>
  <si>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</si>
  <si>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</si>
  <si>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</si>
  <si>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</si>
  <si>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</si>
  <si>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</si>
  <si>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</si>
  <si>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</si>
  <si>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</si>
  <si>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</si>
  <si>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</si>
  <si>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</si>
  <si>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</si>
  <si>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</si>
  <si>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</si>
  <si>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</si>
  <si>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</si>
  <si>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</si>
  <si>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</si>
  <si>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</si>
  <si>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</si>
  <si>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</si>
  <si>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</si>
  <si>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</si>
  <si>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</si>
  <si>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</si>
  <si>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</si>
  <si>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</si>
  <si>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</si>
  <si>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</si>
  <si>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</si>
  <si>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</si>
  <si>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</si>
  <si>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</si>
  <si>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</si>
  <si>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</si>
  <si>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</si>
  <si>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</si>
  <si>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</si>
  <si>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</si>
  <si>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</si>
  <si>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</si>
  <si>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</si>
  <si>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</si>
  <si>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</si>
  <si>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</si>
  <si>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</si>
  <si>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</si>
  <si>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</si>
  <si>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</si>
  <si>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</si>
  <si>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</si>
  <si>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</si>
  <si>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</si>
  <si>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</si>
  <si>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</si>
  <si>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</si>
  <si>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</si>
  <si>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</si>
  <si>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</si>
  <si>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</si>
  <si>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</si>
  <si>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</si>
  <si>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</si>
  <si>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</si>
  <si>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</si>
  <si>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</si>
  <si>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</si>
  <si>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</si>
  <si>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</si>
  <si>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</si>
  <si>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</si>
  <si>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</si>
  <si>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</si>
  <si>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</si>
  <si>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</si>
  <si>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</si>
  <si>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</si>
  <si>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</si>
  <si>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</si>
  <si>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</si>
  <si>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</si>
  <si>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</si>
  <si>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</si>
  <si>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</si>
  <si>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</si>
  <si>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</si>
  <si>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</si>
  <si>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</si>
  <si>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</si>
  <si>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</si>
  <si>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</si>
  <si>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</si>
  <si>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</si>
  <si>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</si>
  <si>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</si>
  <si>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</si>
  <si>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</si>
  <si>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</si>
  <si>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</si>
  <si>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</si>
  <si>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</si>
  <si>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</si>
  <si>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</si>
  <si>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</si>
  <si>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</si>
  <si>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</si>
  <si>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</si>
  <si>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</si>
  <si>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</si>
  <si>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</si>
  <si>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</si>
  <si>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</si>
  <si>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</si>
  <si>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</si>
  <si>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</si>
  <si>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</si>
  <si>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</si>
  <si>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</si>
  <si>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</si>
  <si>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</si>
  <si>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</si>
  <si>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</si>
  <si>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</si>
  <si>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</si>
  <si>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</si>
  <si>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</si>
  <si>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</si>
  <si>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</si>
  <si>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</si>
  <si>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</si>
  <si>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</si>
  <si>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</si>
  <si>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</si>
  <si>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</si>
  <si>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</si>
  <si>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</si>
  <si>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</si>
  <si>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</si>
  <si>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</si>
  <si>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</si>
  <si>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</si>
  <si>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</si>
  <si>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</si>
  <si>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</si>
  <si>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</si>
  <si>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</si>
  <si>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</si>
  <si>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</si>
  <si>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</si>
  <si>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</si>
  <si>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</si>
  <si>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</si>
  <si>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</si>
  <si>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</si>
  <si>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</si>
  <si>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</si>
  <si>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</si>
  <si>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</si>
  <si>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</si>
  <si>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</si>
  <si>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</si>
  <si>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</si>
  <si>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</si>
  <si>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</si>
  <si>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</si>
  <si>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</si>
  <si>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</si>
  <si>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</si>
  <si>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</si>
  <si>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</si>
  <si>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</si>
  <si>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</si>
  <si>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</si>
  <si>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</si>
  <si>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</si>
  <si>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</si>
  <si>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</si>
  <si>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</si>
  <si>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</si>
  <si>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</si>
  <si>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</si>
  <si>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</si>
  <si>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</si>
  <si>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</si>
  <si>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</si>
  <si>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</si>
  <si>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</si>
  <si>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</si>
  <si>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</si>
  <si>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</si>
  <si>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</si>
  <si>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</si>
  <si>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</si>
  <si>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</si>
  <si>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</si>
  <si>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</si>
  <si>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</si>
  <si>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</si>
  <si>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</si>
  <si>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</si>
  <si>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</si>
  <si>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</si>
  <si>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</si>
  <si>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</si>
  <si>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</si>
  <si>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</si>
  <si>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</si>
  <si>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</si>
  <si>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</si>
  <si>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</si>
  <si>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</si>
  <si>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</si>
  <si>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</si>
  <si>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</si>
  <si>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</si>
  <si>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</si>
  <si>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</si>
  <si>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</si>
  <si>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</si>
  <si>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</si>
  <si>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</si>
  <si>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</si>
  <si>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</si>
  <si>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</si>
  <si>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</si>
  <si>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</si>
  <si>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</si>
  <si>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</si>
  <si>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</si>
  <si>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</si>
  <si>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</si>
  <si>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</si>
  <si>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</si>
  <si>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</si>
  <si>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</si>
  <si>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</si>
  <si>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</si>
  <si>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</si>
  <si>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</si>
  <si>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</si>
  <si>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</si>
  <si>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</si>
  <si>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</si>
  <si>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</si>
  <si>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</si>
  <si>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</si>
  <si>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</si>
  <si>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</si>
  <si>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</si>
  <si>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</si>
  <si>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</si>
  <si>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</si>
  <si>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</si>
  <si>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</si>
  <si>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</si>
  <si>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</si>
  <si>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</si>
  <si>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</si>
  <si>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</si>
  <si>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</si>
  <si>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</si>
  <si>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</si>
  <si>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</si>
  <si>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</si>
  <si>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</si>
  <si>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</si>
  <si>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</si>
  <si>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</si>
  <si>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</si>
  <si>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</si>
  <si>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</si>
  <si>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</si>
  <si>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</si>
  <si>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</si>
  <si>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</si>
  <si>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</si>
  <si>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</si>
  <si>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</si>
  <si>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</si>
  <si>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</si>
  <si>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</si>
  <si>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</si>
  <si>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</si>
  <si>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</si>
  <si>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</si>
  <si>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</si>
  <si>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</si>
  <si>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</si>
  <si>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</si>
  <si>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</si>
  <si>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</si>
  <si>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</si>
  <si>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</si>
  <si>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</si>
  <si>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</si>
  <si>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</si>
  <si>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</si>
  <si>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</si>
  <si>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</si>
  <si>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</si>
  <si>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</si>
  <si>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</si>
  <si>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</si>
  <si>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</si>
  <si>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</si>
  <si>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</si>
  <si>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</si>
  <si>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</si>
  <si>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</si>
  <si>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</si>
  <si>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</si>
  <si>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</si>
  <si>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</si>
  <si>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</si>
  <si>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</si>
  <si>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</si>
  <si>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</si>
  <si>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</si>
  <si>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</si>
  <si>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</si>
  <si>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</si>
  <si>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</si>
  <si>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</si>
  <si>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</si>
  <si>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</si>
  <si>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</si>
  <si>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</si>
  <si>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</si>
  <si>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</si>
  <si>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</si>
  <si>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</si>
  <si>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</si>
  <si>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</si>
  <si>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</si>
  <si>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</si>
  <si>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</si>
  <si>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</si>
  <si>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</si>
  <si>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</si>
  <si>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</si>
  <si>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</si>
  <si>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</si>
  <si>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</si>
  <si>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</si>
  <si>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</si>
  <si>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</si>
  <si>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</si>
  <si>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</si>
  <si>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</si>
  <si>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</si>
  <si>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</si>
  <si>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</si>
  <si>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</si>
  <si>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</si>
  <si>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</si>
  <si>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</si>
  <si>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</si>
  <si>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</si>
  <si>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</si>
  <si>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</si>
  <si>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</si>
  <si>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</si>
  <si>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</si>
  <si>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</si>
  <si>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</si>
  <si>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</si>
  <si>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</si>
  <si>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</si>
  <si>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</si>
  <si>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</si>
  <si>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</si>
  <si>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</si>
  <si>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</si>
  <si>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</si>
  <si>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</si>
  <si>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</si>
  <si>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</si>
  <si>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</si>
  <si>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</si>
  <si>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</si>
  <si>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</si>
  <si>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</si>
  <si>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</si>
  <si>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</si>
  <si>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</si>
  <si>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</si>
  <si>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</si>
  <si>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</si>
  <si>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</si>
  <si>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</si>
  <si>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</si>
  <si>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</si>
  <si>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</si>
  <si>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</si>
  <si>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</si>
  <si>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</si>
  <si>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</si>
  <si>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</si>
  <si>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</si>
  <si>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</si>
  <si>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</si>
  <si>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</si>
  <si>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</si>
  <si>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</si>
  <si>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</si>
  <si>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</si>
  <si>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</si>
  <si>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</si>
  <si>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</si>
  <si>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</si>
  <si>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</si>
  <si>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</si>
  <si>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</si>
  <si>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</si>
  <si>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</si>
  <si>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</si>
  <si>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</si>
  <si>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</si>
  <si>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</si>
  <si>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</si>
  <si>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</si>
  <si>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</si>
  <si>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</si>
  <si>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</si>
  <si>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</si>
  <si>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</si>
  <si>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</si>
  <si>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</si>
  <si>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</si>
  <si>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</si>
  <si>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</si>
  <si>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</si>
  <si>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</si>
  <si>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</si>
  <si>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</si>
  <si>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</si>
  <si>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</si>
  <si>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</si>
  <si>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</si>
  <si>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</si>
  <si>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</si>
  <si>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</si>
  <si>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</si>
  <si>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</si>
  <si>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</si>
  <si>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</si>
  <si>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</si>
  <si>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</si>
  <si>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</si>
  <si>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</si>
  <si>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</si>
  <si>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</si>
  <si>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</si>
  <si>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</si>
  <si>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</si>
  <si>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</si>
  <si>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</si>
  <si>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</si>
  <si>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</si>
  <si>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</si>
  <si>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</si>
  <si>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</si>
  <si>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</si>
  <si>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</si>
  <si>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</si>
  <si>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</si>
  <si>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</si>
  <si>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</si>
  <si>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</si>
  <si>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</si>
  <si>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</si>
  <si>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</si>
  <si>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</si>
  <si>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</si>
  <si>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</si>
  <si>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</si>
  <si>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</si>
  <si>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</si>
  <si>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</si>
  <si>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</si>
  <si>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</si>
  <si>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</si>
  <si>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</si>
  <si>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</si>
  <si>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</si>
  <si>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</si>
  <si>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</si>
  <si>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</si>
  <si>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</si>
  <si>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</si>
  <si>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</si>
  <si>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</si>
  <si>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</si>
  <si>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</si>
  <si>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</si>
  <si>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</si>
  <si>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</si>
  <si>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</si>
  <si>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</si>
  <si>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</si>
  <si>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</si>
  <si>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</si>
  <si>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</si>
  <si>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</si>
  <si>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</si>
  <si>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</si>
  <si>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</si>
  <si>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</si>
  <si>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</si>
  <si>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</si>
  <si>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</si>
  <si>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</si>
  <si>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</si>
  <si>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</si>
  <si>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</si>
  <si>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</si>
  <si>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</si>
  <si>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</si>
  <si>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</si>
  <si>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</si>
  <si>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</si>
  <si>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</si>
  <si>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</si>
  <si>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</si>
  <si>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</si>
  <si>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</si>
  <si>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</si>
  <si>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</si>
  <si>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</si>
  <si>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</si>
  <si>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</si>
  <si>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</si>
  <si>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</si>
  <si>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</si>
  <si>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</si>
  <si>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</si>
  <si>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</si>
  <si>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</si>
  <si>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</si>
  <si>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</si>
  <si>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</si>
  <si>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</si>
  <si>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</si>
  <si>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</si>
  <si>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</si>
  <si>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</si>
  <si>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</si>
  <si>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</si>
  <si>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</si>
  <si>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</si>
  <si>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</si>
  <si>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</si>
  <si>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</si>
  <si>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</si>
  <si>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</si>
  <si>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</si>
  <si>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</si>
  <si>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</si>
  <si>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</si>
  <si>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</si>
  <si>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</si>
  <si>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</si>
  <si>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</si>
  <si>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</si>
  <si>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</si>
  <si>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</si>
  <si>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</si>
  <si>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</si>
  <si>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</si>
  <si>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</si>
  <si>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</si>
  <si>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</si>
  <si>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</si>
  <si>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</si>
  <si>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</si>
  <si>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</si>
  <si>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</si>
  <si>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</si>
  <si>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</si>
  <si>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</si>
  <si>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</si>
  <si>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</si>
  <si>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</si>
  <si>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</si>
  <si>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</si>
  <si>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</si>
  <si>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</si>
  <si>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</si>
  <si>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</si>
  <si>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</si>
  <si>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</si>
  <si>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</si>
  <si>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</si>
  <si>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</si>
  <si>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</si>
  <si>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</si>
  <si>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</si>
  <si>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</si>
  <si>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</si>
  <si>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</si>
  <si>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</si>
  <si>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</si>
  <si>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</si>
  <si>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</si>
  <si>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</si>
  <si>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</si>
  <si>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</si>
  <si>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</si>
  <si>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</si>
  <si>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</si>
  <si>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</si>
  <si>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</si>
  <si>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</si>
  <si>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</si>
  <si>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</si>
  <si>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</si>
  <si>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</si>
  <si>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</si>
  <si>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</si>
  <si>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</si>
  <si>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</si>
  <si>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</si>
  <si>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</si>
  <si>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</si>
  <si>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</si>
  <si>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</si>
  <si>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</si>
  <si>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</si>
  <si>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</si>
  <si>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</si>
  <si>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</si>
  <si>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</si>
  <si>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</si>
  <si>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</si>
  <si>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</si>
  <si>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</si>
  <si>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</si>
  <si>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</si>
  <si>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</si>
  <si>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</si>
  <si>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</si>
  <si>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</si>
  <si>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</si>
  <si>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</si>
  <si>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</si>
  <si>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</si>
  <si>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</si>
  <si>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</si>
  <si>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</si>
  <si>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</si>
  <si>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</si>
  <si>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</si>
  <si>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</si>
  <si>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</si>
  <si>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</si>
  <si>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</si>
  <si>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</si>
  <si>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</si>
  <si>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</si>
  <si>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</si>
  <si>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</si>
  <si>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</si>
  <si>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</si>
  <si>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</si>
  <si>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</si>
  <si>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</si>
  <si>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</si>
  <si>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</si>
  <si>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</si>
  <si>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</si>
  <si>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</si>
  <si>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</si>
  <si>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</si>
  <si>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</si>
  <si>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</si>
  <si>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</si>
  <si>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</si>
  <si>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</si>
  <si>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</si>
  <si>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</si>
  <si>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</si>
  <si>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</si>
  <si>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</si>
  <si>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</si>
  <si>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</si>
  <si>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</si>
  <si>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</si>
  <si>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</si>
  <si>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</si>
  <si>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</si>
  <si>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</si>
  <si>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</si>
  <si>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</si>
  <si>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</si>
  <si>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</si>
  <si>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</si>
  <si>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</si>
  <si>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</si>
  <si>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</si>
  <si>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</si>
  <si>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</si>
  <si>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</si>
  <si>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</si>
  <si>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</si>
  <si>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</si>
  <si>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</si>
  <si>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</si>
  <si>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</si>
  <si>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</si>
  <si>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</si>
  <si>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</si>
  <si>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</si>
  <si>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</si>
  <si>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</si>
  <si>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</si>
  <si>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</si>
  <si>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</si>
  <si>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</si>
  <si>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</si>
  <si>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</si>
  <si>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</si>
  <si>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</si>
  <si>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</si>
  <si>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</si>
  <si>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</si>
  <si>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</si>
  <si>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</si>
  <si>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</si>
  <si>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</si>
  <si>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</si>
  <si>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</si>
  <si>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</si>
  <si>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</si>
  <si>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</si>
  <si>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</si>
  <si>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</si>
  <si>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</si>
  <si>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</si>
  <si>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</si>
  <si>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</si>
  <si>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</si>
  <si>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</si>
  <si>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</si>
  <si>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</si>
  <si>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</si>
  <si>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</si>
  <si>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</si>
  <si>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</si>
  <si>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</si>
  <si>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</si>
  <si>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</si>
  <si>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</si>
  <si>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</si>
  <si>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</si>
  <si>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</si>
  <si>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</si>
  <si>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</si>
  <si>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</si>
  <si>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</si>
  <si>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</si>
  <si>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</si>
  <si>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</si>
  <si>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</si>
  <si>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</si>
  <si>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</si>
  <si>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</si>
  <si>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</si>
  <si>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</si>
  <si>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</si>
  <si>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</si>
  <si>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</si>
  <si>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</si>
  <si>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</si>
  <si>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</si>
  <si>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</si>
  <si>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</si>
  <si>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</si>
  <si>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</si>
  <si>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</si>
  <si>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</si>
  <si>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</si>
  <si>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</si>
  <si>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</si>
  <si>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</si>
  <si>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</si>
  <si>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</si>
  <si>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</si>
  <si>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</si>
  <si>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</si>
  <si>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</si>
  <si>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</si>
  <si>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</si>
  <si>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</si>
  <si>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</si>
  <si>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</si>
  <si>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</si>
  <si>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</si>
  <si>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</si>
  <si>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</si>
  <si>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</si>
  <si>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</si>
  <si>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</si>
  <si>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</si>
  <si>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</si>
  <si>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</si>
  <si>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</si>
  <si>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</si>
  <si>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</si>
  <si>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</si>
  <si>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</si>
  <si>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</si>
  <si>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</si>
  <si>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</si>
  <si>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</si>
  <si>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</si>
  <si>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</si>
  <si>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</si>
  <si>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</si>
  <si>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</si>
  <si>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</si>
  <si>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</si>
  <si>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</si>
  <si>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</si>
  <si>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</si>
  <si>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</si>
  <si>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</si>
  <si>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</si>
  <si>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</si>
  <si>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</si>
  <si>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</si>
  <si>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</si>
  <si>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</si>
  <si>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</si>
  <si>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</si>
  <si>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</si>
  <si>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</si>
  <si>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</si>
  <si>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</si>
  <si>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</si>
  <si>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</si>
  <si>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</si>
  <si>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</si>
  <si>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</si>
  <si>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</si>
  <si>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</si>
  <si>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</si>
  <si>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</si>
  <si>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</si>
  <si>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</si>
  <si>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</si>
  <si>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</si>
  <si>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</si>
  <si>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</si>
  <si>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</si>
  <si>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</si>
  <si>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</si>
  <si>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</si>
  <si>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</si>
  <si>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</si>
  <si>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</si>
  <si>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</si>
  <si>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</si>
  <si>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</si>
  <si>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</si>
  <si>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</si>
  <si>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</si>
  <si>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</si>
  <si>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</si>
  <si>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</si>
  <si>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序号</t>
    <phoneticPr fontId="140" type="noConversion"/>
  </si>
  <si>
    <t>证号</t>
    <phoneticPr fontId="140" type="noConversion"/>
  </si>
  <si>
    <t>坐落</t>
    <phoneticPr fontId="140" type="noConversion"/>
  </si>
  <si>
    <t>面积</t>
    <phoneticPr fontId="140" type="noConversion"/>
  </si>
  <si>
    <t>楼层</t>
    <phoneticPr fontId="140" type="noConversion"/>
  </si>
  <si>
    <t>用途</t>
    <phoneticPr fontId="140" type="noConversion"/>
  </si>
  <si>
    <r>
      <t>4号楼</t>
    </r>
    <r>
      <rPr>
        <sz val="11"/>
        <color theme="1"/>
        <rFont val="宋体"/>
        <family val="3"/>
        <charset val="134"/>
        <scheme val="minor"/>
      </rPr>
      <t>1层4-1</t>
    </r>
    <phoneticPr fontId="140" type="noConversion"/>
  </si>
  <si>
    <t>商业</t>
    <phoneticPr fontId="140" type="noConversion"/>
  </si>
  <si>
    <t>1层</t>
  </si>
  <si>
    <t>5号楼</t>
    <phoneticPr fontId="140" type="noConversion"/>
  </si>
  <si>
    <t>车位</t>
    <phoneticPr fontId="140" type="noConversion"/>
  </si>
  <si>
    <t>套数</t>
    <phoneticPr fontId="140" type="noConversion"/>
  </si>
  <si>
    <t>1号楼</t>
    <phoneticPr fontId="140" type="noConversion"/>
  </si>
  <si>
    <t>办公</t>
    <phoneticPr fontId="140" type="noConversion"/>
  </si>
  <si>
    <t>2号楼</t>
    <phoneticPr fontId="140" type="noConversion"/>
  </si>
  <si>
    <r>
      <t>京（2</t>
    </r>
    <r>
      <rPr>
        <sz val="11"/>
        <color theme="1"/>
        <rFont val="宋体"/>
        <family val="3"/>
        <charset val="134"/>
        <scheme val="minor"/>
      </rPr>
      <t>020</t>
    </r>
    <r>
      <rPr>
        <sz val="11"/>
        <color theme="1"/>
        <rFont val="宋体"/>
        <charset val="134"/>
        <scheme val="minor"/>
      </rPr>
      <t>）通不动产权第</t>
    </r>
    <r>
      <rPr>
        <sz val="11"/>
        <color theme="1"/>
        <rFont val="宋体"/>
        <family val="3"/>
        <charset val="134"/>
        <scheme val="minor"/>
      </rPr>
      <t>0015117号</t>
    </r>
    <phoneticPr fontId="140" type="noConversion"/>
  </si>
  <si>
    <r>
      <t>京（2020</t>
    </r>
    <r>
      <rPr>
        <sz val="11"/>
        <color theme="1"/>
        <rFont val="宋体"/>
        <charset val="134"/>
        <scheme val="minor"/>
      </rPr>
      <t>）通不动产权第</t>
    </r>
    <r>
      <rPr>
        <sz val="11"/>
        <color theme="1"/>
        <rFont val="宋体"/>
        <family val="3"/>
        <charset val="134"/>
        <scheme val="minor"/>
      </rPr>
      <t>0015113号</t>
    </r>
    <phoneticPr fontId="140" type="noConversion"/>
  </si>
  <si>
    <r>
      <t>京（2020</t>
    </r>
    <r>
      <rPr>
        <sz val="11"/>
        <color theme="1"/>
        <rFont val="宋体"/>
        <charset val="134"/>
        <scheme val="minor"/>
      </rPr>
      <t>）通不动产权第</t>
    </r>
    <r>
      <rPr>
        <sz val="11"/>
        <color theme="1"/>
        <rFont val="宋体"/>
        <family val="3"/>
        <charset val="134"/>
        <scheme val="minor"/>
      </rPr>
      <t>0015114号</t>
    </r>
    <phoneticPr fontId="140" type="noConversion"/>
  </si>
  <si>
    <r>
      <t>京（2020</t>
    </r>
    <r>
      <rPr>
        <sz val="11"/>
        <color theme="1"/>
        <rFont val="宋体"/>
        <charset val="134"/>
        <scheme val="minor"/>
      </rPr>
      <t>）通不动产权第</t>
    </r>
    <r>
      <rPr>
        <sz val="11"/>
        <color theme="1"/>
        <rFont val="宋体"/>
        <family val="3"/>
        <charset val="134"/>
        <scheme val="minor"/>
      </rPr>
      <t>0015116号</t>
    </r>
    <phoneticPr fontId="140" type="noConversion"/>
  </si>
  <si>
    <t>楼层</t>
    <phoneticPr fontId="140" type="noConversion"/>
  </si>
  <si>
    <t>面积</t>
    <phoneticPr fontId="140" type="noConversion"/>
  </si>
  <si>
    <t>办公</t>
    <phoneticPr fontId="140" type="noConversion"/>
  </si>
  <si>
    <t>车位</t>
    <phoneticPr fontId="140" type="noConversion"/>
  </si>
  <si>
    <t>出让</t>
  </si>
  <si>
    <t>抵押</t>
  </si>
  <si>
    <t>房地产抵押价值</t>
  </si>
  <si>
    <r>
      <t>1</t>
    </r>
    <r>
      <rPr>
        <sz val="10"/>
        <color indexed="8"/>
        <rFont val="宋体"/>
        <family val="3"/>
        <charset val="134"/>
      </rPr>
      <t>号楼</t>
    </r>
    <phoneticPr fontId="3" type="noConversion"/>
  </si>
  <si>
    <t>是</t>
  </si>
  <si>
    <t>地上</t>
  </si>
  <si>
    <r>
      <t>4</t>
    </r>
    <r>
      <rPr>
        <sz val="10"/>
        <color indexed="8"/>
        <rFont val="宋体"/>
        <family val="3"/>
        <charset val="134"/>
      </rPr>
      <t>号楼</t>
    </r>
    <phoneticPr fontId="3" type="noConversion"/>
  </si>
  <si>
    <r>
      <t>5</t>
    </r>
    <r>
      <rPr>
        <sz val="10"/>
        <color indexed="8"/>
        <rFont val="宋体"/>
        <family val="3"/>
        <charset val="134"/>
      </rPr>
      <t>号楼</t>
    </r>
    <phoneticPr fontId="3" type="noConversion"/>
  </si>
  <si>
    <t>地下</t>
  </si>
  <si>
    <t>车库</t>
  </si>
  <si>
    <r>
      <t>2</t>
    </r>
    <r>
      <rPr>
        <sz val="10"/>
        <color indexed="8"/>
        <rFont val="宋体"/>
        <family val="3"/>
        <charset val="134"/>
      </rPr>
      <t>号楼</t>
    </r>
    <phoneticPr fontId="3" type="noConversion"/>
  </si>
  <si>
    <t>商业4-1</t>
  </si>
  <si>
    <t>商业4-1</t>
    <phoneticPr fontId="7" type="noConversion"/>
  </si>
  <si>
    <t>商业其他</t>
    <phoneticPr fontId="7" type="noConversion"/>
  </si>
  <si>
    <t>办公</t>
    <phoneticPr fontId="7" type="noConversion"/>
  </si>
  <si>
    <t>车库</t>
    <phoneticPr fontId="7" type="noConversion"/>
  </si>
  <si>
    <t>利息：取LPR加浮动点数</t>
  </si>
  <si>
    <t>北京市</t>
  </si>
  <si>
    <t>企业</t>
  </si>
  <si>
    <t>成新度</t>
  </si>
  <si>
    <t>收益法</t>
  </si>
  <si>
    <t>押一</t>
  </si>
  <si>
    <t>按租金收入计税</t>
  </si>
  <si>
    <t>钢混</t>
  </si>
  <si>
    <t>非生产用房</t>
  </si>
  <si>
    <t>售价</t>
  </si>
  <si>
    <t>正常</t>
  </si>
  <si>
    <t>比较法-商业</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</si>
  <si>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</si>
  <si>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</si>
  <si>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</si>
  <si>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b/>
        <sz val="10"/>
        <color indexed="10"/>
        <rFont val="宋体"/>
        <family val="3"/>
        <charset val="134"/>
      </rPr>
      <t>号楼</t>
    </r>
    <r>
      <rPr>
        <b/>
        <sz val="10"/>
        <color indexed="10"/>
        <rFont val="Arial"/>
        <family val="2"/>
      </rPr>
      <t>4-1</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</si>
  <si>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</si>
  <si>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2层</t>
  </si>
  <si>
    <t>3层</t>
  </si>
  <si>
    <t>地下1层</t>
  </si>
  <si>
    <t>收益法(办公)</t>
  </si>
  <si>
    <t>收益法(办公)</t>
    <phoneticPr fontId="16" type="noConversion"/>
  </si>
  <si>
    <t>比较法-办公</t>
  </si>
  <si>
    <t>总价</t>
  </si>
  <si>
    <t>收益法(车位)</t>
  </si>
  <si>
    <t>收益法(车位)</t>
    <phoneticPr fontId="16" type="noConversion"/>
  </si>
  <si>
    <t>自定义</t>
  </si>
  <si>
    <t>比较法-车位</t>
  </si>
  <si>
    <t>成本比率</t>
  </si>
  <si>
    <t>商业</t>
    <phoneticPr fontId="140" type="noConversion"/>
  </si>
  <si>
    <t>办公</t>
    <phoneticPr fontId="140" type="noConversion"/>
  </si>
  <si>
    <t>车位</t>
    <phoneticPr fontId="140" type="noConversion"/>
  </si>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</sst>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lignment vertical="center"/>
    </xf>
    <xf numFmtId="58" fontId="0" fillId="0" borderId="0" xfId="0" applyNumberFormat="1">
      <alignment vertical="center"/>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58" fontId="62" fillId="0" borderId="1" xfId="0" applyNumberFormat="1" applyFont="1" applyFill="1" applyBorder="1" applyAlignment="1" applyProtection="1">
      <alignment horizontal="center" vertical="center"/>
      <protection locked="0"/>
    </xf>
    <xf numFmtId="10" fontId="46" fillId="0" borderId="37"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估价对象为北京市房地产，为所有。根据《国有土地使用证》[]，估价对象（分摊）出让国有建设用地使用权面积为0平方米，建筑面积为71609.74平方米。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估价对象为北京市房地产,属开发建设的，该项目尚在开发建设中。根据《国有土地使用证》[]，估价对象（分摊）出让国有建设用地使用权面积为0平方米，规划建筑面积为71609.74平方米。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2022年7月27日</v>
      </c>
    </row>
    <row r="13" spans="1:2" s="1318" customFormat="1">
      <c r="A13" s="1316" t="s">
        <v>954</v>
      </c>
      <c r="B13" s="1317" t="str">
        <f>'预评函-1'!A18</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本次评估采用的主估价方法为比较法和收益法。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t="e">
        <f ca="1">'预评函-2'!D5</f>
        <v>#REF!</v>
      </c>
    </row>
    <row r="21" spans="1:2" s="1318" customFormat="1">
      <c r="A21" s="1316" t="s">
        <v>962</v>
      </c>
      <c r="B21" s="1317" t="e">
        <f ca="1">'预评函-2'!D7</f>
        <v>#REF!</v>
      </c>
    </row>
    <row r="22" spans="1:2" s="1318" customFormat="1">
      <c r="A22" s="1316" t="s">
        <v>963</v>
      </c>
      <c r="B22" s="1317" t="e">
        <f ca="1">'预评函-2'!D6</f>
        <v>#REF!</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t="e">
        <f ca="1">'预评函-2'!D13</f>
        <v>#REF!</v>
      </c>
    </row>
    <row r="31" spans="1:2" s="1318" customFormat="1">
      <c r="A31" s="1316" t="s">
        <v>1001</v>
      </c>
      <c r="B31" s="1317" t="e">
        <f ca="1">'预评函-2'!D15</f>
        <v>#REF!</v>
      </c>
    </row>
    <row r="32" spans="1:2" s="1318" customFormat="1">
      <c r="A32" s="1316" t="s">
        <v>968</v>
      </c>
      <c r="B32" s="1317" t="e">
        <f ca="1">'预评函-2'!D14</f>
        <v>#REF!</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71609.739999999991</v>
      </c>
    </row>
    <row r="44" spans="1:2" s="1318" customFormat="1">
      <c r="A44" s="1316" t="s">
        <v>1000</v>
      </c>
      <c r="B44" s="1317" t="str">
        <f>'预评函-3'!C2</f>
        <v>(分摊)土地面积</v>
      </c>
    </row>
    <row r="45" spans="1:2" s="1318" customFormat="1">
      <c r="A45" s="1316" t="s">
        <v>972</v>
      </c>
      <c r="B45" s="1317">
        <f>'预评函-3'!C4</f>
        <v>0</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2" sqref="D22"/>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3234</v>
      </c>
      <c r="C19" s="1683"/>
    </row>
    <row r="20" spans="1:3">
      <c r="A20" s="1682" t="s">
        <v>1493</v>
      </c>
      <c r="B20" s="1682" t="s">
        <v>3238</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96"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6"/>
      <c r="B54" s="1690" t="s">
        <v>651</v>
      </c>
      <c r="C54" s="1687" t="s">
        <v>1008</v>
      </c>
    </row>
    <row r="55" spans="1:4">
      <c r="A55" s="3296"/>
      <c r="B55" s="1690" t="s">
        <v>652</v>
      </c>
      <c r="C55" s="1687" t="s">
        <v>1009</v>
      </c>
    </row>
    <row r="56" spans="1:4">
      <c r="A56" s="3296"/>
      <c r="B56" s="1690" t="s">
        <v>653</v>
      </c>
      <c r="C56" s="1687" t="s">
        <v>1013</v>
      </c>
    </row>
    <row r="57" spans="1:4">
      <c r="A57" s="3296"/>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Normal="100" zoomScaleSheetLayoutView="100" workbookViewId="0">
      <selection activeCell="B11" sqref="B11"/>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5"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305" t="str">
        <f>IF(B10="北京市","北京市",C10)&amp;F10&amp;IF(结果表!G1="在建","出让国有建设用地使用权及在建建筑物",IF(结果表!G1="土地","出让国有建设用地使用权",))&amp;B9&amp;"预评估"</f>
        <v>北京市房地产抵押价值预评估</v>
      </c>
      <c r="C1" s="3306"/>
      <c r="D1" s="3306"/>
      <c r="E1" s="3306"/>
      <c r="F1" s="3306"/>
      <c r="G1" s="3306"/>
      <c r="H1" s="3306"/>
      <c r="I1" s="3307"/>
      <c r="J1" s="2646"/>
      <c r="K1" s="2541"/>
      <c r="L1" s="2542"/>
      <c r="M1" s="2542"/>
      <c r="N1" s="2543"/>
      <c r="O1" s="1712"/>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2669</v>
      </c>
      <c r="B2" s="2544"/>
      <c r="C2" s="2545"/>
      <c r="D2" s="2848"/>
      <c r="E2" s="2838"/>
      <c r="F2" s="2838"/>
      <c r="G2" s="2839"/>
      <c r="H2" s="2839"/>
      <c r="I2" s="2839"/>
      <c r="J2" s="2646"/>
      <c r="K2" s="2541"/>
      <c r="L2" s="2542"/>
      <c r="M2" s="2542"/>
      <c r="N2" s="2543"/>
      <c r="O2" s="1712"/>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8" t="s">
        <v>2670</v>
      </c>
      <c r="B3" s="2546"/>
      <c r="C3" s="2547" t="s">
        <v>2671</v>
      </c>
      <c r="D3" s="2546">
        <v>44769</v>
      </c>
      <c r="E3" s="2839"/>
      <c r="F3" s="2839"/>
      <c r="G3" s="2839"/>
      <c r="H3" s="2839"/>
      <c r="I3" s="2839"/>
      <c r="J3" s="2646"/>
      <c r="K3" s="2541"/>
      <c r="L3" s="2542"/>
      <c r="M3" s="2542"/>
      <c r="N3" s="2543"/>
      <c r="O3" s="1712"/>
      <c r="P3" s="2543"/>
      <c r="Q3" s="2543"/>
      <c r="R3" s="2543"/>
      <c r="S3" s="1818"/>
      <c r="T3" s="1881"/>
      <c r="U3" s="1881"/>
      <c r="V3" s="1881"/>
      <c r="W3" s="1881"/>
      <c r="X3" s="1881"/>
      <c r="Y3" s="1881"/>
      <c r="Z3" s="1881"/>
      <c r="AA3" s="1881"/>
      <c r="AB3" s="1881"/>
    </row>
    <row r="4" spans="1:28" ht="13.5" thickBot="1">
      <c r="A4" s="1203" t="s">
        <v>2672</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2"/>
      <c r="P4" s="2543"/>
      <c r="Q4" s="2543"/>
      <c r="R4" s="2543"/>
      <c r="S4" s="1818"/>
      <c r="T4" s="1881"/>
      <c r="U4" s="1881"/>
      <c r="V4" s="1881"/>
      <c r="W4" s="1881"/>
      <c r="X4" s="1881"/>
      <c r="Y4" s="1881"/>
      <c r="Z4" s="1881"/>
      <c r="AA4" s="1881"/>
      <c r="AB4" s="1881"/>
    </row>
    <row r="5" spans="1:28" ht="13.5"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2"/>
      <c r="P5" s="2543"/>
      <c r="Q5" s="2543"/>
      <c r="R5" s="2543"/>
      <c r="S5" s="1881"/>
      <c r="T5" s="1881"/>
      <c r="U5" s="1881"/>
      <c r="V5" s="1881"/>
      <c r="W5" s="1881"/>
      <c r="X5" s="1881"/>
      <c r="Y5" s="1881"/>
      <c r="Z5" s="1881"/>
      <c r="AA5" s="1881"/>
      <c r="AB5" s="1881"/>
    </row>
    <row r="6" spans="1:28">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2675</v>
      </c>
      <c r="B7" s="2560"/>
      <c r="C7" s="2558"/>
      <c r="D7" s="2559"/>
      <c r="E7" s="2838"/>
      <c r="F7" s="2840"/>
      <c r="G7" s="2840"/>
      <c r="H7" s="2840"/>
      <c r="I7" s="2840"/>
      <c r="J7" s="2614"/>
      <c r="K7" s="2791"/>
      <c r="L7" s="2788"/>
      <c r="M7" s="2788"/>
      <c r="N7" s="2614"/>
      <c r="O7" s="2625"/>
      <c r="P7" s="2614"/>
      <c r="Q7" s="2614"/>
      <c r="R7" s="2614"/>
    </row>
    <row r="8" spans="1:28">
      <c r="A8" s="2561" t="s">
        <v>2676</v>
      </c>
      <c r="B8" s="2562" t="s">
        <v>3198</v>
      </c>
      <c r="C8" s="2563"/>
      <c r="D8" s="3308" t="s">
        <v>2677</v>
      </c>
      <c r="E8" s="2564" t="s">
        <v>3199</v>
      </c>
      <c r="F8" s="2565"/>
      <c r="G8" s="2839"/>
      <c r="H8" s="2839"/>
      <c r="I8" s="2839"/>
      <c r="J8" s="2614"/>
      <c r="K8" s="2789"/>
      <c r="L8" s="2788"/>
      <c r="M8" s="2788"/>
      <c r="N8" s="2614"/>
      <c r="O8" s="2625"/>
      <c r="P8" s="2614"/>
      <c r="Q8" s="2614"/>
      <c r="R8" s="2614"/>
    </row>
    <row r="9" spans="1:28" ht="13.5" thickBot="1">
      <c r="A9" s="2566" t="s">
        <v>2678</v>
      </c>
      <c r="B9" s="2567" t="s">
        <v>3199</v>
      </c>
      <c r="C9" s="2568"/>
      <c r="D9" s="3309"/>
      <c r="E9" s="2567" t="s">
        <v>70</v>
      </c>
      <c r="F9" s="2569"/>
      <c r="G9" s="2841"/>
      <c r="H9" s="2841"/>
      <c r="I9" s="2841"/>
      <c r="J9" s="2614"/>
      <c r="K9" s="2791"/>
      <c r="L9" s="2788"/>
      <c r="M9" s="2788"/>
      <c r="N9" s="2614"/>
      <c r="O9" s="2625"/>
      <c r="P9" s="2614"/>
      <c r="Q9" s="2614"/>
      <c r="R9" s="2614"/>
    </row>
    <row r="10" spans="1:28" ht="13.5" thickTop="1">
      <c r="A10" s="2570" t="s">
        <v>2679</v>
      </c>
      <c r="B10" s="2571" t="s">
        <v>3214</v>
      </c>
      <c r="C10" s="2572"/>
      <c r="D10" s="2555"/>
      <c r="E10" s="2573" t="s">
        <v>2680</v>
      </c>
      <c r="F10" s="2842"/>
      <c r="G10" s="2843"/>
      <c r="H10" s="2844"/>
      <c r="I10" s="2845"/>
      <c r="J10" s="2614"/>
      <c r="K10" s="2791"/>
      <c r="L10" s="2788"/>
      <c r="M10" s="2788"/>
      <c r="N10" s="2614"/>
      <c r="O10" s="2625"/>
      <c r="P10" s="2614"/>
      <c r="Q10" s="2614"/>
      <c r="R10" s="2614"/>
    </row>
    <row r="11" spans="1:28">
      <c r="A11" s="2574" t="s">
        <v>2681</v>
      </c>
      <c r="B11" s="2575" t="s">
        <v>3215</v>
      </c>
      <c r="C11" s="2576"/>
      <c r="D11" s="2577"/>
      <c r="E11" s="2543"/>
      <c r="F11" s="2543"/>
      <c r="G11" s="2543"/>
      <c r="H11" s="2543"/>
      <c r="I11" s="2543"/>
      <c r="J11" s="2614"/>
      <c r="K11" s="2791"/>
      <c r="L11" s="2788"/>
      <c r="M11" s="2788"/>
      <c r="N11" s="2614"/>
      <c r="O11" s="2625"/>
      <c r="P11" s="2614"/>
      <c r="Q11" s="2614"/>
      <c r="R11" s="2614"/>
    </row>
    <row r="12" spans="1:28">
      <c r="A12" s="2578" t="s">
        <v>2682</v>
      </c>
      <c r="B12" s="2575" t="s">
        <v>3197</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4"/>
      <c r="B13" s="2580"/>
      <c r="C13" s="2581" t="s">
        <v>2690</v>
      </c>
      <c r="D13" s="946"/>
      <c r="E13" s="946">
        <v>56240</v>
      </c>
      <c r="F13" s="946">
        <v>59892</v>
      </c>
      <c r="G13" s="946">
        <f>F13</f>
        <v>59892</v>
      </c>
      <c r="H13" s="946"/>
      <c r="I13" s="946"/>
      <c r="J13" s="2614"/>
      <c r="K13" s="2791"/>
      <c r="L13" s="2788"/>
      <c r="M13" s="2788"/>
      <c r="N13" s="2614"/>
      <c r="O13" s="2625"/>
      <c r="P13" s="2614"/>
      <c r="Q13" s="2614"/>
      <c r="R13" s="2614"/>
    </row>
    <row r="14" spans="1:28">
      <c r="A14" s="1194"/>
      <c r="B14" s="2580"/>
      <c r="C14" s="2581" t="s">
        <v>2691</v>
      </c>
      <c r="D14" s="2582"/>
      <c r="E14" s="2582">
        <v>40</v>
      </c>
      <c r="F14" s="2582">
        <v>50</v>
      </c>
      <c r="G14" s="2582">
        <v>50</v>
      </c>
      <c r="H14" s="2582"/>
      <c r="I14" s="2582"/>
      <c r="J14" s="2614"/>
      <c r="K14" s="2792"/>
      <c r="L14" s="2788"/>
      <c r="M14" s="2788"/>
      <c r="N14" s="2614"/>
      <c r="O14" s="2625"/>
      <c r="P14" s="2614"/>
      <c r="Q14" s="2614"/>
      <c r="R14" s="2614"/>
    </row>
    <row r="15" spans="1:28">
      <c r="A15" s="326"/>
      <c r="B15" s="2583"/>
      <c r="C15" s="2584" t="s">
        <v>2692</v>
      </c>
      <c r="D15" s="2585" t="str">
        <f>IF(B12="出让",IF(D13="","",ROUNDDOWN(MIN((D13-$D$3)/365,D14),2)),D14)</f>
        <v/>
      </c>
      <c r="E15" s="2585">
        <f>IF(B12="出让",IF(E13="","",ROUNDDOWN(MIN((E13-$D$3)/365,E14),2)),E14)</f>
        <v>31.42</v>
      </c>
      <c r="F15" s="2585">
        <f>IF(B12="出让",IF(F13="","",ROUNDDOWN(MIN((F13-$D$3)/365,F14),2)),F14)</f>
        <v>41.43</v>
      </c>
      <c r="G15" s="2585">
        <f>IF(B12="出让",IF(G13="","",ROUNDDOWN(MIN((G13-$D$3)/365,G14),2)),G14)</f>
        <v>41.43</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2693</v>
      </c>
      <c r="B16" s="3315"/>
      <c r="C16" s="3316"/>
      <c r="D16" s="3317"/>
      <c r="E16" s="2588" t="s">
        <v>2694</v>
      </c>
      <c r="F16" s="3318"/>
      <c r="G16" s="3319"/>
      <c r="H16" s="3319"/>
      <c r="I16" s="3320"/>
      <c r="J16" s="2614"/>
      <c r="K16" s="2793"/>
      <c r="L16" s="2626"/>
      <c r="M16" s="2626"/>
      <c r="N16" s="2684"/>
      <c r="O16" s="2626"/>
      <c r="P16" s="2684"/>
      <c r="Q16" s="2614"/>
      <c r="R16" s="2614"/>
    </row>
    <row r="17" spans="1:28">
      <c r="A17" s="319" t="s">
        <v>2695</v>
      </c>
      <c r="B17" s="308" t="s">
        <v>2696</v>
      </c>
      <c r="C17" s="11">
        <f>'数据-汇总表'!E3</f>
        <v>71609.739999999991</v>
      </c>
      <c r="D17" s="2495" t="s">
        <v>2697</v>
      </c>
      <c r="E17" s="3321" t="s">
        <v>2698</v>
      </c>
      <c r="F17" s="3322"/>
      <c r="G17" s="3322"/>
      <c r="H17" s="3322"/>
      <c r="I17" s="3323"/>
      <c r="J17" s="2614"/>
      <c r="K17" s="2794"/>
      <c r="L17" s="2626"/>
      <c r="M17" s="2626"/>
      <c r="N17" s="2684"/>
      <c r="O17" s="2626"/>
      <c r="P17" s="2684"/>
      <c r="Q17" s="2614"/>
      <c r="R17" s="2614"/>
      <c r="S17" s="2614"/>
      <c r="T17" s="2614"/>
      <c r="U17" s="2614"/>
      <c r="V17" s="2614"/>
    </row>
    <row r="18" spans="1:28" ht="24.75" thickBot="1">
      <c r="A18" s="2589" t="s">
        <v>2699</v>
      </c>
      <c r="B18" s="1203" t="s">
        <v>2700</v>
      </c>
      <c r="C18" s="2590">
        <f>'数据-汇总表'!D3</f>
        <v>0</v>
      </c>
      <c r="D18" s="1205" t="s">
        <v>2701</v>
      </c>
      <c r="E18" s="3324" t="s">
        <v>2702</v>
      </c>
      <c r="F18" s="3325"/>
      <c r="G18" s="3325"/>
      <c r="H18" s="3325"/>
      <c r="I18" s="3326"/>
      <c r="J18" s="2614"/>
      <c r="K18" s="2794"/>
      <c r="L18" s="2626"/>
      <c r="M18" s="2626"/>
      <c r="N18" s="2684"/>
      <c r="O18" s="2626"/>
      <c r="P18" s="2684"/>
      <c r="Q18" s="2614"/>
      <c r="R18" s="2614"/>
      <c r="S18" s="2614"/>
      <c r="T18" s="2614"/>
      <c r="U18" s="2614"/>
      <c r="V18" s="2614"/>
    </row>
    <row r="19" spans="1:28" ht="37.5" thickTop="1" thickBot="1">
      <c r="A19" s="333" t="s">
        <v>1500</v>
      </c>
      <c r="B19" s="313" t="s">
        <v>2703</v>
      </c>
      <c r="C19" s="1699"/>
      <c r="D19" s="1700" t="s">
        <v>2704</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2705</v>
      </c>
      <c r="B20" s="3311" t="s">
        <v>2706</v>
      </c>
      <c r="C20" s="3312"/>
      <c r="D20" s="3313" t="s">
        <v>2707</v>
      </c>
      <c r="E20" s="3314"/>
      <c r="F20" s="2823" t="s">
        <v>1501</v>
      </c>
      <c r="G20" s="2840"/>
      <c r="H20" s="2840"/>
      <c r="I20" s="2840"/>
      <c r="J20" s="2614"/>
      <c r="K20" s="3310"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2709</v>
      </c>
      <c r="C21" s="2810" t="s">
        <v>1502</v>
      </c>
      <c r="D21" s="1704" t="s">
        <v>2710</v>
      </c>
      <c r="E21" s="2811" t="s">
        <v>1502</v>
      </c>
      <c r="F21" s="2824"/>
      <c r="G21" s="2840"/>
      <c r="H21" s="2840"/>
      <c r="I21" s="2840"/>
      <c r="J21" s="2614"/>
      <c r="K21" s="331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2711</v>
      </c>
      <c r="C22" s="2810" t="s">
        <v>1503</v>
      </c>
      <c r="D22" s="2839"/>
      <c r="E22" s="2839"/>
      <c r="F22" s="2839"/>
      <c r="G22" s="2840"/>
      <c r="H22" s="2840"/>
      <c r="I22" s="2840"/>
      <c r="J22" s="2614"/>
      <c r="K22" s="331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298"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298"/>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298"/>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299"/>
      <c r="B30" s="308" t="s">
        <v>2718</v>
      </c>
      <c r="C30" s="3300"/>
      <c r="D30" s="3301"/>
      <c r="E30" s="2840"/>
      <c r="F30" s="2840"/>
      <c r="G30" s="2840"/>
      <c r="H30" s="2840"/>
      <c r="I30" s="2840"/>
      <c r="J30" s="2614"/>
      <c r="K30" s="2791"/>
      <c r="L30" s="2788"/>
      <c r="M30" s="2788"/>
      <c r="N30" s="2614"/>
      <c r="O30" s="2625"/>
      <c r="P30" s="2614"/>
      <c r="Q30" s="2614"/>
      <c r="R30" s="2614"/>
      <c r="S30" s="2614"/>
      <c r="T30" s="2614"/>
      <c r="U30" s="2614"/>
      <c r="V30" s="2614"/>
    </row>
    <row r="31" spans="1:28">
      <c r="A31" s="3302" t="s">
        <v>2719</v>
      </c>
      <c r="B31" s="2597"/>
      <c r="C31" s="2496" t="str">
        <f>IF(B31="现房","成新及维护状况正常否",IF(B31="在建","工程状态是否正常",IF(B31="土地","是否闲置","-")))</f>
        <v>-</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303"/>
      <c r="B32" s="2597"/>
      <c r="C32" s="2496"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303"/>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297" t="s">
        <v>2728</v>
      </c>
      <c r="T34" s="2603" t="str">
        <f>NUMBERSTRING(7-K34,1)&amp;"通"</f>
        <v>七通</v>
      </c>
      <c r="U34" s="2614"/>
      <c r="V34" s="2614"/>
    </row>
    <row r="35" spans="1:30">
      <c r="A35" s="2604"/>
      <c r="B35" s="3304" t="s">
        <v>2729</v>
      </c>
      <c r="C35" s="3304"/>
      <c r="D35" s="3304"/>
      <c r="E35" s="3304"/>
      <c r="F35" s="673">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7"/>
      <c r="T35" s="335" t="str">
        <f>IF(T34="一通",L35,IF(T34="二通",M35,IF(T34="三通",N35,IF(T34="四通",O35,IF(T34="五通",P35,IF(T34="六通",Q35,R35))))))</f>
        <v>、、、、、、</v>
      </c>
      <c r="U35" s="2614"/>
      <c r="V35" s="2614"/>
    </row>
    <row r="36" spans="1:30">
      <c r="A36" s="2605"/>
      <c r="B36" s="673" t="s">
        <v>2685</v>
      </c>
      <c r="C36" s="673" t="s">
        <v>2686</v>
      </c>
      <c r="D36" s="673" t="s">
        <v>2684</v>
      </c>
      <c r="E36" s="673"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4"/>
      <c r="J40" s="2684"/>
      <c r="K40" s="2790"/>
      <c r="L40" s="2626"/>
      <c r="M40" s="2626"/>
      <c r="N40" s="2684"/>
      <c r="O40" s="2626"/>
      <c r="P40" s="2614"/>
      <c r="Q40" s="2614"/>
      <c r="R40" s="2614"/>
      <c r="S40" s="2614"/>
      <c r="T40" s="2614"/>
      <c r="U40" s="2614"/>
      <c r="V40" s="2614"/>
    </row>
    <row r="41" spans="1:30">
      <c r="A41" s="2611" t="s">
        <v>2733</v>
      </c>
      <c r="B41" s="1893"/>
      <c r="C41" s="1508"/>
      <c r="D41" s="2543"/>
      <c r="E41" s="2543"/>
      <c r="F41" s="2543"/>
      <c r="G41" s="2543"/>
      <c r="H41" s="2543"/>
      <c r="I41" s="1712"/>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79"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79"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79"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79"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79"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79"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79"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79" customFormat="1">
      <c r="A51" s="1706"/>
      <c r="B51" s="1706"/>
      <c r="C51" s="1163"/>
      <c r="D51" s="1163"/>
      <c r="E51" s="1163"/>
      <c r="F51" s="1163"/>
      <c r="G51" s="1163"/>
      <c r="H51" s="1163"/>
      <c r="I51" s="1163"/>
      <c r="J51" s="2612"/>
      <c r="K51" s="2613"/>
      <c r="L51" s="2613"/>
      <c r="M51" s="1163"/>
      <c r="N51" s="1163"/>
      <c r="O51" s="1163"/>
      <c r="P51" s="1163"/>
      <c r="Q51" s="1163"/>
      <c r="R51" s="1163"/>
    </row>
    <row r="52" spans="1:22" s="1879" customFormat="1">
      <c r="A52" s="1706"/>
      <c r="B52" s="1706"/>
      <c r="C52" s="1706"/>
      <c r="D52" s="1706"/>
      <c r="E52" s="1706"/>
      <c r="F52" s="1163"/>
      <c r="G52" s="1706"/>
      <c r="H52" s="1706"/>
      <c r="I52" s="1706"/>
      <c r="J52" s="2615"/>
      <c r="K52" s="2613"/>
      <c r="L52" s="2613"/>
      <c r="M52" s="2613"/>
      <c r="N52" s="1706"/>
      <c r="O52" s="1706"/>
      <c r="P52" s="1706"/>
      <c r="Q52" s="1706"/>
      <c r="R52" s="1706"/>
    </row>
    <row r="53" spans="1:22" s="1879" customFormat="1">
      <c r="A53" s="1706"/>
      <c r="B53" s="1706"/>
      <c r="C53" s="1706"/>
      <c r="D53" s="1706"/>
      <c r="E53" s="1706"/>
      <c r="F53" s="1163"/>
      <c r="G53" s="1706"/>
      <c r="H53" s="1706"/>
      <c r="I53" s="1706"/>
      <c r="J53" s="2615"/>
      <c r="K53" s="2613"/>
      <c r="L53" s="2613"/>
      <c r="M53" s="2613"/>
      <c r="N53" s="1706"/>
      <c r="O53" s="1706"/>
      <c r="P53" s="1706"/>
      <c r="Q53" s="1706"/>
      <c r="R53" s="1706"/>
    </row>
    <row r="54" spans="1:22" s="1879" customFormat="1">
      <c r="A54" s="1706"/>
      <c r="B54" s="1706"/>
      <c r="C54" s="1706"/>
      <c r="D54" s="1706"/>
      <c r="E54" s="1706"/>
      <c r="F54" s="1163"/>
      <c r="G54" s="1706"/>
      <c r="H54" s="1706"/>
      <c r="I54" s="1706"/>
      <c r="J54" s="2615"/>
      <c r="K54" s="2613"/>
      <c r="L54" s="2613"/>
      <c r="M54" s="2613"/>
      <c r="N54" s="1706"/>
      <c r="O54" s="1706"/>
      <c r="P54" s="1706"/>
      <c r="Q54" s="1706"/>
      <c r="R54" s="1706"/>
    </row>
    <row r="55" spans="1:22" s="1879" customFormat="1">
      <c r="A55" s="1706"/>
      <c r="B55" s="1706"/>
      <c r="C55" s="1706"/>
      <c r="D55" s="1706"/>
      <c r="E55" s="1706"/>
      <c r="F55" s="1163"/>
      <c r="G55" s="1706"/>
      <c r="H55" s="1706"/>
      <c r="I55" s="1706"/>
      <c r="J55" s="2615"/>
      <c r="K55" s="2613"/>
      <c r="L55" s="2613"/>
      <c r="M55" s="2613"/>
      <c r="N55" s="1706"/>
      <c r="O55" s="1706"/>
      <c r="P55" s="1706"/>
      <c r="Q55" s="1706"/>
      <c r="R55" s="1706"/>
    </row>
    <row r="56" spans="1:22" s="1879"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c r="B3" s="14">
        <f>IF(C3="否",G5-AT5,G5)</f>
        <v>71609.739999999991</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71609.739999999991</v>
      </c>
      <c r="H5" s="16">
        <f t="shared" ref="H5:AT5" si="0">SUM(H13:H656)</f>
        <v>71609.739999999991</v>
      </c>
      <c r="I5" s="16">
        <f t="shared" si="0"/>
        <v>5896.1399999999994</v>
      </c>
      <c r="J5" s="16">
        <f t="shared" si="0"/>
        <v>0</v>
      </c>
      <c r="K5" s="16">
        <f t="shared" si="0"/>
        <v>2840.59</v>
      </c>
      <c r="L5" s="16">
        <f t="shared" si="0"/>
        <v>0</v>
      </c>
      <c r="M5" s="16">
        <f t="shared" si="0"/>
        <v>6318.51</v>
      </c>
      <c r="N5" s="16">
        <f t="shared" si="0"/>
        <v>0</v>
      </c>
      <c r="O5" s="16">
        <f t="shared" si="0"/>
        <v>56554.499999999993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71609.739999999991</v>
      </c>
      <c r="BA5" s="18">
        <f t="shared" si="1"/>
        <v>71609.739999999991</v>
      </c>
      <c r="BB5" s="18">
        <f t="shared" si="1"/>
        <v>5896.1399999999994</v>
      </c>
      <c r="BC5" s="18">
        <f t="shared" si="1"/>
        <v>2840.59</v>
      </c>
      <c r="BD5" s="18">
        <f t="shared" si="1"/>
        <v>6318.51</v>
      </c>
      <c r="BE5" s="18">
        <f t="shared" si="1"/>
        <v>56554.499999999993</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3202</v>
      </c>
      <c r="J9" s="899"/>
      <c r="K9" s="1739" t="s">
        <v>3205</v>
      </c>
      <c r="L9" s="899"/>
      <c r="M9" s="1739" t="s">
        <v>3205</v>
      </c>
      <c r="N9" s="899"/>
      <c r="O9" s="1739" t="s">
        <v>3202</v>
      </c>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t="s">
        <v>3206</v>
      </c>
      <c r="N10" s="899"/>
      <c r="O10" s="1745" t="s">
        <v>27</v>
      </c>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t="str">
        <f>M9</f>
        <v>地下</v>
      </c>
      <c r="BE10" s="29" t="str">
        <f>O9</f>
        <v>地上</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t="str">
        <f>M10</f>
        <v>车库</v>
      </c>
      <c r="BE11" s="1735" t="str">
        <f>O10</f>
        <v>办公</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t="s">
        <v>3203</v>
      </c>
      <c r="D13" s="1761" t="s">
        <v>3201</v>
      </c>
      <c r="E13" s="16">
        <f>IF($C$3="是",ROUND($A$3*G13/$B$3,2),ROUND($A$3*(G13-AT13)/$B$3,2))</f>
        <v>0</v>
      </c>
      <c r="F13" s="32"/>
      <c r="G13" s="33">
        <f>H13+AC13+AT13</f>
        <v>529.9</v>
      </c>
      <c r="H13" s="20">
        <f>SUMIF(I$12:AB$12,"总值",I13:AB13)</f>
        <v>529.9</v>
      </c>
      <c r="I13" s="1762">
        <f>面积清单!D2</f>
        <v>529.9</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4号楼</v>
      </c>
      <c r="AY13" s="1484">
        <f>ROUND($AY$6*AZ13/$AZ$5,2)</f>
        <v>0</v>
      </c>
      <c r="AZ13" s="16">
        <f>BA13+BL13</f>
        <v>529.9</v>
      </c>
      <c r="BA13" s="16">
        <f>SUM(BB13:BK13)</f>
        <v>529.9</v>
      </c>
      <c r="BB13" s="16">
        <f>IF($D13="是",I13-J13,0)</f>
        <v>529.9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t="s">
        <v>3204</v>
      </c>
      <c r="D14" s="1761" t="s">
        <v>3201</v>
      </c>
      <c r="E14" s="16">
        <f>IF($C$3="是",ROUND($A$3*G14/$B$3,2),ROUND($A$3*(G14-AT14)/$B$3,2))</f>
        <v>0</v>
      </c>
      <c r="F14" s="32"/>
      <c r="G14" s="33">
        <f>H14+AC14+AT14</f>
        <v>9159.1</v>
      </c>
      <c r="H14" s="20">
        <f>SUMIF(I$12:AB$12,"总值",I14:AB14)</f>
        <v>9159.1</v>
      </c>
      <c r="I14" s="1762"/>
      <c r="J14" s="1762"/>
      <c r="K14" s="1762">
        <f>面积清单!D3</f>
        <v>2840.59</v>
      </c>
      <c r="L14" s="1762"/>
      <c r="M14" s="1762">
        <f>面积清单!D4</f>
        <v>6318.51</v>
      </c>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5号楼</v>
      </c>
      <c r="AY14" s="1484">
        <f>ROUND($AY$6*AZ14/$AZ$5,2)</f>
        <v>0</v>
      </c>
      <c r="AZ14" s="16">
        <f>BA14+BL14</f>
        <v>9159.1</v>
      </c>
      <c r="BA14" s="16">
        <f>SUM(BB14:BK14)</f>
        <v>9159.1</v>
      </c>
      <c r="BB14" s="16">
        <f>IF($D14="是",I14-J14,0)</f>
        <v>0</v>
      </c>
      <c r="BC14" s="16">
        <f>IF($D14="是",K14-L14,0)</f>
        <v>2840.59</v>
      </c>
      <c r="BD14" s="16">
        <f>IF($D14="是",M14-N14,0)</f>
        <v>6318.51</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t="s">
        <v>3200</v>
      </c>
      <c r="D15" s="1761" t="s">
        <v>3201</v>
      </c>
      <c r="E15" s="16">
        <f>IF($C$3="是",ROUND($A$3*G15/$B$3,2),ROUND($A$3*(G15-AT15)/$B$3,2))</f>
        <v>0</v>
      </c>
      <c r="F15" s="32"/>
      <c r="G15" s="33">
        <f>H15+AC15+AT15</f>
        <v>40516.359999999993</v>
      </c>
      <c r="H15" s="20">
        <f>SUMIF(I$12:AB$12,"总值",I15:AB15)</f>
        <v>40516.359999999993</v>
      </c>
      <c r="I15" s="1762">
        <f>面积清单!D6+面积清单!D7</f>
        <v>1888.8899999999999</v>
      </c>
      <c r="J15" s="1762"/>
      <c r="K15" s="1762"/>
      <c r="L15" s="1762"/>
      <c r="M15" s="1762"/>
      <c r="N15" s="1762"/>
      <c r="O15" s="1762">
        <f>SUM(面积清单!D8:D28)</f>
        <v>38627.469999999994</v>
      </c>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t="str">
        <f t="shared" si="6"/>
        <v>1号楼</v>
      </c>
      <c r="AY15" s="1484">
        <f>ROUND($AY$6*AZ15/$AZ$5,2)</f>
        <v>0</v>
      </c>
      <c r="AZ15" s="16">
        <f>BA15+BL15</f>
        <v>40516.359999999993</v>
      </c>
      <c r="BA15" s="16">
        <f>SUM(BB15:BK15)</f>
        <v>40516.359999999993</v>
      </c>
      <c r="BB15" s="16">
        <f>IF($D15="是",I15-J15,0)</f>
        <v>1888.8899999999999</v>
      </c>
      <c r="BC15" s="16">
        <f>IF($D15="是",K15-L15,0)</f>
        <v>0</v>
      </c>
      <c r="BD15" s="16">
        <f>IF($D15="是",M15-N15,0)</f>
        <v>0</v>
      </c>
      <c r="BE15" s="16">
        <f>IF($D15="是",O15-P15,0)</f>
        <v>38627.469999999994</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t="s">
        <v>3207</v>
      </c>
      <c r="D16" s="1761" t="s">
        <v>3201</v>
      </c>
      <c r="E16" s="16">
        <f>IF($C$3="是",ROUND($A$3*G16/$B$3,2),ROUND($A$3*(G16-AT16)/$B$3,2))</f>
        <v>0</v>
      </c>
      <c r="F16" s="32"/>
      <c r="G16" s="33">
        <f>H16+AC16+AT16</f>
        <v>21404.379999999997</v>
      </c>
      <c r="H16" s="20">
        <f>SUMIF(I$12:AB$12,"总值",I16:AB16)</f>
        <v>21404.379999999997</v>
      </c>
      <c r="I16" s="1762">
        <f>面积清单!D29+面积清单!D30+面积清单!D31</f>
        <v>3477.35</v>
      </c>
      <c r="J16" s="1762"/>
      <c r="K16" s="1762"/>
      <c r="L16" s="1762"/>
      <c r="M16" s="1762"/>
      <c r="N16" s="1762"/>
      <c r="O16" s="1762">
        <f>SUM(面积清单!D32:D45)</f>
        <v>17927.03</v>
      </c>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t="str">
        <f t="shared" si="6"/>
        <v>2号楼</v>
      </c>
      <c r="AY16" s="1484">
        <f>ROUND($AY$6*AZ16/$AZ$5,2)</f>
        <v>0</v>
      </c>
      <c r="AZ16" s="16">
        <f>BA16+BL16</f>
        <v>21404.379999999997</v>
      </c>
      <c r="BA16" s="16">
        <f>SUM(BB16:BK16)</f>
        <v>21404.379999999997</v>
      </c>
      <c r="BB16" s="16">
        <f>IF($D16="是",I16-J16,0)</f>
        <v>3477.35</v>
      </c>
      <c r="BC16" s="16">
        <f>IF($D16="是",K16-L16,0)</f>
        <v>0</v>
      </c>
      <c r="BD16" s="16">
        <f>IF($D16="是",M16-N16,0)</f>
        <v>0</v>
      </c>
      <c r="BE16" s="16">
        <f>IF($D16="是",O16-P16,0)</f>
        <v>17927.03</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7" t="s">
        <v>0</v>
      </c>
      <c r="B1" s="3327" t="s">
        <v>4</v>
      </c>
      <c r="C1" s="3327" t="s">
        <v>5</v>
      </c>
      <c r="D1" s="3328" t="s">
        <v>53</v>
      </c>
      <c r="E1" s="3328" t="s">
        <v>54</v>
      </c>
      <c r="F1" s="3328"/>
      <c r="G1" s="3328"/>
      <c r="H1" s="3328"/>
      <c r="I1" s="3328"/>
      <c r="J1" s="3328"/>
      <c r="K1" s="3328"/>
      <c r="L1" s="3328"/>
      <c r="M1" s="3328"/>
    </row>
    <row r="2" spans="1:13" ht="27" customHeight="1">
      <c r="A2" s="3327"/>
      <c r="B2" s="3327"/>
      <c r="C2" s="3327"/>
      <c r="D2" s="3328"/>
      <c r="E2" s="3328" t="s">
        <v>37</v>
      </c>
      <c r="F2" s="3328" t="s">
        <v>38</v>
      </c>
      <c r="G2" s="3328"/>
      <c r="H2" s="3328"/>
      <c r="I2" s="3328"/>
      <c r="J2" s="3328" t="s">
        <v>39</v>
      </c>
      <c r="K2" s="3328"/>
      <c r="L2" s="3328"/>
      <c r="M2" s="3328"/>
    </row>
    <row r="3" spans="1:13" ht="28.5">
      <c r="A3" s="3327"/>
      <c r="B3" s="3327"/>
      <c r="C3" s="3327"/>
      <c r="D3" s="3328"/>
      <c r="E3" s="33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8" t="s">
        <v>55</v>
      </c>
      <c r="B9" s="3328"/>
      <c r="C9" s="33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6"/>
  <sheetViews>
    <sheetView topLeftCell="A25" workbookViewId="0">
      <selection activeCell="I24" sqref="I24"/>
    </sheetView>
  </sheetViews>
  <sheetFormatPr defaultRowHeight="13.5"/>
  <cols>
    <col min="2" max="2" width="24.375" customWidth="1"/>
    <col min="3" max="3" width="13" customWidth="1"/>
    <col min="4" max="4" width="10.75" customWidth="1"/>
  </cols>
  <sheetData>
    <row r="1" spans="1:12">
      <c r="A1" s="3601" t="s">
        <v>3174</v>
      </c>
      <c r="B1" s="3601" t="s">
        <v>3175</v>
      </c>
      <c r="C1" s="3601" t="s">
        <v>3176</v>
      </c>
      <c r="D1" s="3601" t="s">
        <v>3177</v>
      </c>
      <c r="E1" s="3601" t="s">
        <v>3179</v>
      </c>
      <c r="F1" s="3601" t="s">
        <v>3178</v>
      </c>
      <c r="G1" s="3601" t="s">
        <v>3185</v>
      </c>
    </row>
    <row r="2" spans="1:12">
      <c r="A2">
        <v>1</v>
      </c>
      <c r="B2" s="3601" t="s">
        <v>3190</v>
      </c>
      <c r="C2" s="3601" t="s">
        <v>3180</v>
      </c>
      <c r="D2">
        <v>529.9</v>
      </c>
      <c r="E2" s="3601" t="s">
        <v>3181</v>
      </c>
      <c r="F2" s="3601">
        <v>1</v>
      </c>
      <c r="G2">
        <v>1</v>
      </c>
      <c r="K2" s="3601" t="s">
        <v>3193</v>
      </c>
      <c r="L2" s="3601" t="s">
        <v>3194</v>
      </c>
    </row>
    <row r="3" spans="1:12">
      <c r="A3">
        <v>2</v>
      </c>
      <c r="B3" s="3601" t="s">
        <v>3191</v>
      </c>
      <c r="C3" s="3601" t="s">
        <v>3183</v>
      </c>
      <c r="D3">
        <v>2840.59</v>
      </c>
      <c r="E3" s="3601" t="s">
        <v>3181</v>
      </c>
      <c r="F3">
        <v>-1</v>
      </c>
      <c r="G3">
        <v>16</v>
      </c>
      <c r="J3" s="3601" t="s">
        <v>3181</v>
      </c>
      <c r="K3">
        <v>1</v>
      </c>
      <c r="L3">
        <f>D2+D6+D29</f>
        <v>4837.78</v>
      </c>
    </row>
    <row r="4" spans="1:12">
      <c r="D4">
        <v>6318.51</v>
      </c>
      <c r="E4" s="3601" t="s">
        <v>3184</v>
      </c>
      <c r="F4">
        <v>-1</v>
      </c>
      <c r="G4">
        <v>27</v>
      </c>
      <c r="K4">
        <v>2</v>
      </c>
      <c r="L4" s="3601">
        <f>D7+D30</f>
        <v>615.06999999999994</v>
      </c>
    </row>
    <row r="5" spans="1:12">
      <c r="F5">
        <v>-2</v>
      </c>
      <c r="G5">
        <v>116</v>
      </c>
      <c r="K5">
        <v>3</v>
      </c>
      <c r="L5">
        <f>D31</f>
        <v>443.29</v>
      </c>
    </row>
    <row r="6" spans="1:12">
      <c r="A6">
        <v>3</v>
      </c>
      <c r="B6" s="3601" t="s">
        <v>3192</v>
      </c>
      <c r="C6" s="3601" t="s">
        <v>3186</v>
      </c>
      <c r="D6">
        <v>1478.32</v>
      </c>
      <c r="E6" s="3601" t="s">
        <v>3181</v>
      </c>
      <c r="F6">
        <v>1</v>
      </c>
      <c r="G6">
        <v>5</v>
      </c>
      <c r="K6">
        <v>-1</v>
      </c>
      <c r="L6">
        <f>D3</f>
        <v>2840.59</v>
      </c>
    </row>
    <row r="7" spans="1:12">
      <c r="D7">
        <v>410.57</v>
      </c>
      <c r="E7" s="3601" t="s">
        <v>3181</v>
      </c>
      <c r="F7">
        <v>2</v>
      </c>
      <c r="G7">
        <v>3</v>
      </c>
      <c r="J7" s="3601" t="s">
        <v>3195</v>
      </c>
      <c r="K7" s="3602"/>
      <c r="L7">
        <f>SUM(D8:D28,D32:D45,)</f>
        <v>56554.500000000015</v>
      </c>
    </row>
    <row r="8" spans="1:12">
      <c r="D8">
        <v>1240.9000000000001</v>
      </c>
      <c r="E8" s="3601" t="s">
        <v>3187</v>
      </c>
      <c r="F8">
        <v>2</v>
      </c>
      <c r="G8">
        <v>5</v>
      </c>
      <c r="J8" s="3601" t="s">
        <v>3196</v>
      </c>
      <c r="L8">
        <f>D4</f>
        <v>6318.51</v>
      </c>
    </row>
    <row r="9" spans="1:12">
      <c r="D9">
        <v>1976.48</v>
      </c>
      <c r="E9" s="3601" t="s">
        <v>3187</v>
      </c>
      <c r="F9">
        <v>3</v>
      </c>
      <c r="G9">
        <v>7</v>
      </c>
    </row>
    <row r="10" spans="1:12">
      <c r="D10">
        <v>1976.31</v>
      </c>
      <c r="E10" s="3601" t="s">
        <v>3187</v>
      </c>
      <c r="F10">
        <v>4</v>
      </c>
      <c r="G10">
        <v>7</v>
      </c>
    </row>
    <row r="11" spans="1:12">
      <c r="D11">
        <v>1979.5</v>
      </c>
      <c r="E11" s="3601" t="s">
        <v>3187</v>
      </c>
      <c r="F11">
        <v>5</v>
      </c>
      <c r="G11">
        <v>7</v>
      </c>
    </row>
    <row r="12" spans="1:12">
      <c r="D12">
        <v>1976.42</v>
      </c>
      <c r="E12" s="3601" t="s">
        <v>3187</v>
      </c>
      <c r="F12">
        <v>6</v>
      </c>
      <c r="G12">
        <v>7</v>
      </c>
    </row>
    <row r="13" spans="1:12">
      <c r="D13">
        <v>1975.76</v>
      </c>
      <c r="E13" s="3601" t="s">
        <v>3187</v>
      </c>
      <c r="F13">
        <v>7</v>
      </c>
      <c r="G13">
        <v>7</v>
      </c>
    </row>
    <row r="14" spans="1:12">
      <c r="D14">
        <v>1708.25</v>
      </c>
      <c r="E14" s="3601" t="s">
        <v>3187</v>
      </c>
      <c r="F14">
        <v>8</v>
      </c>
      <c r="G14">
        <v>7</v>
      </c>
    </row>
    <row r="15" spans="1:12">
      <c r="D15">
        <v>1979.5</v>
      </c>
      <c r="E15" s="3601" t="s">
        <v>3187</v>
      </c>
      <c r="F15">
        <v>9</v>
      </c>
      <c r="G15">
        <v>7</v>
      </c>
    </row>
    <row r="16" spans="1:12">
      <c r="D16">
        <v>1706.3</v>
      </c>
      <c r="E16" s="3601" t="s">
        <v>3187</v>
      </c>
      <c r="F16">
        <v>10</v>
      </c>
      <c r="G16">
        <v>7</v>
      </c>
    </row>
    <row r="17" spans="1:7">
      <c r="D17">
        <v>1975.76</v>
      </c>
      <c r="E17" s="3601" t="s">
        <v>3187</v>
      </c>
      <c r="F17">
        <v>11</v>
      </c>
      <c r="G17">
        <v>7</v>
      </c>
    </row>
    <row r="18" spans="1:7">
      <c r="D18">
        <v>1708.25</v>
      </c>
      <c r="E18" s="3601" t="s">
        <v>3187</v>
      </c>
      <c r="F18">
        <v>12</v>
      </c>
      <c r="G18">
        <v>7</v>
      </c>
    </row>
    <row r="19" spans="1:7">
      <c r="D19">
        <v>1979.5</v>
      </c>
      <c r="E19" s="3601" t="s">
        <v>3187</v>
      </c>
      <c r="F19">
        <v>13</v>
      </c>
      <c r="G19">
        <v>7</v>
      </c>
    </row>
    <row r="20" spans="1:7">
      <c r="D20">
        <v>1705.84</v>
      </c>
      <c r="E20" s="3601" t="s">
        <v>3187</v>
      </c>
      <c r="F20">
        <v>14</v>
      </c>
      <c r="G20">
        <v>7</v>
      </c>
    </row>
    <row r="21" spans="1:7">
      <c r="D21">
        <v>1975.76</v>
      </c>
      <c r="E21" s="3601" t="s">
        <v>3187</v>
      </c>
      <c r="F21">
        <v>15</v>
      </c>
      <c r="G21">
        <v>7</v>
      </c>
    </row>
    <row r="22" spans="1:7">
      <c r="D22">
        <v>1708.25</v>
      </c>
      <c r="E22" s="3601" t="s">
        <v>3187</v>
      </c>
      <c r="F22">
        <v>16</v>
      </c>
      <c r="G22">
        <v>7</v>
      </c>
    </row>
    <row r="23" spans="1:7">
      <c r="D23">
        <v>1979.5</v>
      </c>
      <c r="E23" s="3601" t="s">
        <v>3187</v>
      </c>
      <c r="F23">
        <v>17</v>
      </c>
      <c r="G23">
        <v>7</v>
      </c>
    </row>
    <row r="24" spans="1:7">
      <c r="D24">
        <v>1705.84</v>
      </c>
      <c r="E24" s="3601" t="s">
        <v>3187</v>
      </c>
      <c r="F24">
        <v>18</v>
      </c>
      <c r="G24">
        <v>7</v>
      </c>
    </row>
    <row r="25" spans="1:7">
      <c r="D25">
        <v>1975.76</v>
      </c>
      <c r="E25" s="3601" t="s">
        <v>3187</v>
      </c>
      <c r="F25">
        <v>19</v>
      </c>
      <c r="G25">
        <v>7</v>
      </c>
    </row>
    <row r="26" spans="1:7">
      <c r="D26">
        <v>1708.25</v>
      </c>
      <c r="E26" s="3601" t="s">
        <v>3187</v>
      </c>
      <c r="F26">
        <v>20</v>
      </c>
      <c r="G26">
        <v>7</v>
      </c>
    </row>
    <row r="27" spans="1:7">
      <c r="D27">
        <v>1979.5</v>
      </c>
      <c r="E27" s="3601" t="s">
        <v>3187</v>
      </c>
      <c r="F27">
        <v>21</v>
      </c>
      <c r="G27">
        <v>7</v>
      </c>
    </row>
    <row r="28" spans="1:7">
      <c r="D28">
        <v>1705.84</v>
      </c>
      <c r="E28" s="3601" t="s">
        <v>3187</v>
      </c>
      <c r="F28">
        <v>22</v>
      </c>
      <c r="G28">
        <v>7</v>
      </c>
    </row>
    <row r="29" spans="1:7">
      <c r="A29">
        <v>4</v>
      </c>
      <c r="B29" s="3601" t="s">
        <v>3189</v>
      </c>
      <c r="C29" s="3601" t="s">
        <v>3188</v>
      </c>
      <c r="D29">
        <v>2829.56</v>
      </c>
      <c r="E29" s="3601" t="s">
        <v>3181</v>
      </c>
      <c r="F29">
        <v>1</v>
      </c>
      <c r="G29">
        <v>5</v>
      </c>
    </row>
    <row r="30" spans="1:7">
      <c r="D30">
        <v>204.5</v>
      </c>
      <c r="E30" s="3601" t="s">
        <v>3181</v>
      </c>
      <c r="F30">
        <v>2</v>
      </c>
      <c r="G30">
        <v>1</v>
      </c>
    </row>
    <row r="31" spans="1:7">
      <c r="D31">
        <v>443.29</v>
      </c>
      <c r="E31" s="3601" t="s">
        <v>3181</v>
      </c>
      <c r="F31">
        <v>3</v>
      </c>
      <c r="G31">
        <v>2</v>
      </c>
    </row>
    <row r="32" spans="1:7">
      <c r="D32">
        <v>1080.8800000000001</v>
      </c>
      <c r="E32" s="3601" t="s">
        <v>3187</v>
      </c>
      <c r="F32">
        <v>3</v>
      </c>
      <c r="G32">
        <v>4</v>
      </c>
    </row>
    <row r="33" spans="4:7">
      <c r="D33">
        <v>1328.83</v>
      </c>
      <c r="E33" s="3601" t="s">
        <v>3187</v>
      </c>
      <c r="F33">
        <v>4</v>
      </c>
      <c r="G33">
        <v>5</v>
      </c>
    </row>
    <row r="34" spans="4:7">
      <c r="D34">
        <v>1328.83</v>
      </c>
      <c r="E34" s="3601" t="s">
        <v>3187</v>
      </c>
      <c r="F34">
        <v>5</v>
      </c>
      <c r="G34">
        <v>5</v>
      </c>
    </row>
    <row r="35" spans="4:7">
      <c r="D35">
        <v>1328.83</v>
      </c>
      <c r="E35" s="3601" t="s">
        <v>3187</v>
      </c>
      <c r="F35">
        <v>6</v>
      </c>
      <c r="G35">
        <v>5</v>
      </c>
    </row>
    <row r="36" spans="4:7">
      <c r="D36">
        <v>1328.83</v>
      </c>
      <c r="E36" s="3601" t="s">
        <v>3187</v>
      </c>
      <c r="F36">
        <v>7</v>
      </c>
      <c r="G36">
        <v>5</v>
      </c>
    </row>
    <row r="37" spans="4:7">
      <c r="D37">
        <v>1328.83</v>
      </c>
      <c r="E37" s="3601" t="s">
        <v>3187</v>
      </c>
      <c r="F37">
        <v>8</v>
      </c>
      <c r="G37">
        <v>5</v>
      </c>
    </row>
    <row r="38" spans="4:7">
      <c r="D38">
        <v>1328.83</v>
      </c>
      <c r="E38" s="3601" t="s">
        <v>3187</v>
      </c>
      <c r="F38">
        <v>9</v>
      </c>
      <c r="G38">
        <v>5</v>
      </c>
    </row>
    <row r="39" spans="4:7">
      <c r="D39">
        <v>1328.83</v>
      </c>
      <c r="E39" s="3601" t="s">
        <v>3187</v>
      </c>
      <c r="F39">
        <v>10</v>
      </c>
      <c r="G39">
        <v>5</v>
      </c>
    </row>
    <row r="40" spans="4:7">
      <c r="D40">
        <v>1328.83</v>
      </c>
      <c r="E40" s="3601" t="s">
        <v>3187</v>
      </c>
      <c r="F40">
        <v>11</v>
      </c>
      <c r="G40">
        <v>5</v>
      </c>
    </row>
    <row r="41" spans="4:7">
      <c r="D41">
        <v>1328.83</v>
      </c>
      <c r="E41" s="3601" t="s">
        <v>3187</v>
      </c>
      <c r="F41">
        <v>12</v>
      </c>
      <c r="G41">
        <v>5</v>
      </c>
    </row>
    <row r="42" spans="4:7">
      <c r="D42">
        <v>1328.83</v>
      </c>
      <c r="E42" s="3601" t="s">
        <v>3187</v>
      </c>
      <c r="F42">
        <v>13</v>
      </c>
      <c r="G42">
        <v>5</v>
      </c>
    </row>
    <row r="43" spans="4:7">
      <c r="D43">
        <v>1114.51</v>
      </c>
      <c r="E43" s="3601" t="s">
        <v>3187</v>
      </c>
      <c r="F43">
        <v>14</v>
      </c>
      <c r="G43">
        <v>4</v>
      </c>
    </row>
    <row r="44" spans="4:7">
      <c r="D44">
        <v>1328.83</v>
      </c>
      <c r="E44" s="3601" t="s">
        <v>3187</v>
      </c>
      <c r="F44">
        <v>15</v>
      </c>
      <c r="G44">
        <v>5</v>
      </c>
    </row>
    <row r="45" spans="4:7">
      <c r="D45">
        <v>1114.51</v>
      </c>
      <c r="E45" s="3601" t="s">
        <v>3187</v>
      </c>
      <c r="F45">
        <v>16</v>
      </c>
      <c r="G45">
        <v>4</v>
      </c>
    </row>
    <row r="46" spans="4:7">
      <c r="D46">
        <f>SUM(D2:D45)</f>
        <v>71609.739999999991</v>
      </c>
      <c r="G46">
        <f>SUM(G2:G45)</f>
        <v>388</v>
      </c>
    </row>
  </sheetData>
  <autoFilter ref="A1:G46"/>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G2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38" t="s">
        <v>1576</v>
      </c>
      <c r="B2" s="3338"/>
      <c r="C2" s="3338"/>
      <c r="D2" s="885" t="s">
        <v>1552</v>
      </c>
      <c r="E2" s="1775" t="s">
        <v>1553</v>
      </c>
      <c r="F2" s="2835"/>
      <c r="G2" s="2826"/>
      <c r="H2" s="2827"/>
      <c r="I2" s="2498" t="s">
        <v>1577</v>
      </c>
      <c r="J2" s="2835"/>
      <c r="K2" s="2835"/>
      <c r="L2" s="2835"/>
      <c r="M2" s="2835"/>
      <c r="N2" s="2837"/>
      <c r="O2" s="2835"/>
      <c r="P2" s="2835"/>
    </row>
    <row r="3" spans="1:16" ht="15.75" thickBot="1">
      <c r="A3" s="3339" t="s">
        <v>1550</v>
      </c>
      <c r="B3" s="3339"/>
      <c r="C3" s="3339"/>
      <c r="D3" s="46">
        <f>'数据-基础表'!AY6</f>
        <v>0</v>
      </c>
      <c r="E3" s="46">
        <f>'数据-基础表'!AZ5</f>
        <v>71609.739999999991</v>
      </c>
      <c r="F3" s="2835"/>
      <c r="G3" s="1260"/>
      <c r="H3" s="1138" t="s">
        <v>1551</v>
      </c>
      <c r="I3" s="945" t="e">
        <f>ROUND('数据-基础表'!B3/'数据-基础表'!A3,2)</f>
        <v>#DIV/0!</v>
      </c>
      <c r="J3" s="2835"/>
      <c r="K3" s="2835"/>
      <c r="L3" s="2835"/>
      <c r="M3" s="2835"/>
      <c r="N3" s="2837"/>
      <c r="O3" s="2835"/>
      <c r="P3" s="2835"/>
    </row>
    <row r="4" spans="1:16" ht="15">
      <c r="A4" s="3340"/>
      <c r="B4" s="3341"/>
      <c r="C4" s="3342"/>
      <c r="D4" s="1777" t="s">
        <v>1552</v>
      </c>
      <c r="E4" s="1778" t="s">
        <v>1553</v>
      </c>
      <c r="F4" s="2835"/>
      <c r="G4" s="2828" t="s">
        <v>1578</v>
      </c>
      <c r="H4" s="1138" t="s">
        <v>1558</v>
      </c>
      <c r="I4" s="945" t="e">
        <f>ROUND(SUMIF('数据-基础表'!I9:AS9,"地上",'数据-基础表'!I5:AS5)/'数据-基础表'!A3,2)</f>
        <v>#DIV/0!</v>
      </c>
      <c r="J4" s="2835"/>
      <c r="K4" s="2835"/>
      <c r="L4" s="2835"/>
      <c r="M4" s="2835"/>
      <c r="N4" s="2837"/>
      <c r="O4" s="2835"/>
      <c r="P4" s="2835"/>
    </row>
    <row r="5" spans="1:16">
      <c r="A5" s="47" t="s">
        <v>1554</v>
      </c>
      <c r="B5" s="3343" t="s">
        <v>1555</v>
      </c>
      <c r="C5" s="3343"/>
      <c r="D5" s="48">
        <f>ROUND($D$3*E5/$E$3,2)</f>
        <v>0</v>
      </c>
      <c r="E5" s="49">
        <f>SUMIF('数据-基础表'!$11:$11,"住宅",'数据-基础表'!$5:$5)</f>
        <v>0</v>
      </c>
      <c r="F5" s="2835"/>
      <c r="G5" s="1260"/>
      <c r="H5" s="1138" t="s">
        <v>1551</v>
      </c>
      <c r="I5" s="945" t="e">
        <f>ROUND(E31/D31,2)</f>
        <v>#DIV/0!</v>
      </c>
      <c r="J5" s="2835"/>
      <c r="K5" s="2835"/>
      <c r="L5" s="2835"/>
      <c r="M5" s="2835"/>
      <c r="N5" s="2835"/>
      <c r="O5" s="2835"/>
      <c r="P5" s="2835"/>
    </row>
    <row r="6" spans="1:16" ht="15" thickBot="1">
      <c r="A6" s="1780"/>
      <c r="B6" s="3343" t="s">
        <v>1556</v>
      </c>
      <c r="C6" s="3343"/>
      <c r="D6" s="48">
        <f>ROUND($D$3*E6/$E$3,2)</f>
        <v>0</v>
      </c>
      <c r="E6" s="49">
        <f>E3-E5</f>
        <v>71609.739999999991</v>
      </c>
      <c r="F6" s="2835"/>
      <c r="G6" s="2829" t="s">
        <v>1557</v>
      </c>
      <c r="H6" s="1261" t="s">
        <v>1558</v>
      </c>
      <c r="I6" s="2830" t="e">
        <f>ROUND(F31/D31,2)</f>
        <v>#DIV/0!</v>
      </c>
      <c r="J6" s="2835"/>
      <c r="K6" s="2835"/>
      <c r="L6" s="2835"/>
      <c r="M6" s="2835"/>
      <c r="N6" s="2835"/>
      <c r="O6" s="2835"/>
      <c r="P6" s="2835"/>
    </row>
    <row r="7" spans="1:16" ht="15.75" thickBot="1">
      <c r="A7" s="3335"/>
      <c r="B7" s="3336"/>
      <c r="C7" s="3337"/>
      <c r="D7" s="1777" t="s">
        <v>1552</v>
      </c>
      <c r="E7" s="1781"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0</v>
      </c>
      <c r="E8" s="51">
        <f>SUMIF('数据-基础表'!BB10:BK10,"地上",'数据-基础表'!BB5:BK5)</f>
        <v>62450.639999999992</v>
      </c>
      <c r="F8" s="2835"/>
      <c r="G8" s="2836"/>
      <c r="H8" s="2836"/>
      <c r="I8" s="2835"/>
      <c r="J8" s="2835"/>
      <c r="K8" s="2835"/>
      <c r="L8" s="2835"/>
      <c r="M8" s="2835"/>
      <c r="N8" s="2835"/>
      <c r="O8" s="2835"/>
      <c r="P8" s="2835"/>
    </row>
    <row r="9" spans="1:16">
      <c r="A9" s="1782"/>
      <c r="B9" s="1783"/>
      <c r="C9" s="48" t="s">
        <v>1564</v>
      </c>
      <c r="D9" s="48">
        <f t="shared" si="0"/>
        <v>0</v>
      </c>
      <c r="E9" s="52">
        <v>0</v>
      </c>
      <c r="F9" s="2835"/>
      <c r="G9" s="2836"/>
      <c r="H9" s="2836"/>
      <c r="I9" s="2835"/>
      <c r="J9" s="2835"/>
      <c r="K9" s="2835"/>
      <c r="L9" s="2835"/>
      <c r="M9" s="2835"/>
      <c r="N9" s="2835"/>
      <c r="O9" s="2835"/>
      <c r="P9" s="2835"/>
    </row>
    <row r="10" spans="1:16">
      <c r="A10" s="1782"/>
      <c r="B10" s="1783"/>
      <c r="C10" s="48" t="s">
        <v>1573</v>
      </c>
      <c r="D10" s="48">
        <f t="shared" si="0"/>
        <v>0</v>
      </c>
      <c r="E10" s="51">
        <f>SUMPRODUCT(('数据-基础表'!BB10:BK10="地下")*('数据-基础表'!BB11:BK11="商业")*('数据-基础表'!BB5:BK5))</f>
        <v>2840.59</v>
      </c>
      <c r="F10" s="2835"/>
      <c r="G10" s="2836"/>
      <c r="H10" s="2836"/>
      <c r="I10" s="2835"/>
      <c r="J10" s="2835"/>
      <c r="K10" s="2835"/>
      <c r="L10" s="2835"/>
      <c r="M10" s="2835"/>
      <c r="N10" s="2835"/>
      <c r="O10" s="2835"/>
      <c r="P10" s="2835"/>
    </row>
    <row r="11" spans="1:16">
      <c r="A11" s="1782"/>
      <c r="B11" s="1783"/>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2"/>
      <c r="B13" s="1783"/>
      <c r="C13" s="48" t="s">
        <v>1567</v>
      </c>
      <c r="D13" s="48">
        <f t="shared" si="0"/>
        <v>0</v>
      </c>
      <c r="E13" s="51">
        <f>SUMPRODUCT(('数据-基础表'!BB10:BK10="地下")*('数据-基础表'!BB11:BK11="车库")*('数据-基础表'!BB5:BK5))</f>
        <v>6318.51</v>
      </c>
      <c r="F13" s="2835"/>
      <c r="G13" s="2836"/>
      <c r="H13" s="2836"/>
      <c r="I13" s="2835"/>
      <c r="J13" s="2835"/>
      <c r="K13" s="2835"/>
      <c r="L13" s="2835"/>
      <c r="M13" s="2835"/>
      <c r="N13" s="2835"/>
      <c r="O13" s="2835"/>
      <c r="P13" s="2835"/>
    </row>
    <row r="14" spans="1:16">
      <c r="A14" s="1782"/>
      <c r="B14" s="1783"/>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80"/>
      <c r="B16" s="1783"/>
      <c r="C16" s="50" t="s">
        <v>1568</v>
      </c>
      <c r="D16" s="50">
        <f>SUM(D8:D15)</f>
        <v>0</v>
      </c>
      <c r="E16" s="53">
        <f>SUM(E8:E15)</f>
        <v>71609.739999999991</v>
      </c>
      <c r="F16" s="2835"/>
      <c r="G16" s="2836"/>
      <c r="H16" s="1784" t="s">
        <v>1580</v>
      </c>
      <c r="I16" s="1785"/>
      <c r="J16" s="1254"/>
      <c r="K16" s="3332" t="s">
        <v>1580</v>
      </c>
      <c r="L16" s="3333"/>
      <c r="M16" s="3333"/>
      <c r="N16" s="3333"/>
      <c r="O16" s="3333"/>
      <c r="P16" s="3334"/>
    </row>
    <row r="17" spans="1:19" ht="15">
      <c r="A17" s="1786" t="s">
        <v>1581</v>
      </c>
      <c r="B17" s="1787" t="s">
        <v>1582</v>
      </c>
      <c r="C17" s="1788" t="s">
        <v>1583</v>
      </c>
      <c r="D17" s="1789" t="s">
        <v>1571</v>
      </c>
      <c r="E17" s="1790" t="s">
        <v>1572</v>
      </c>
      <c r="F17" s="1791"/>
      <c r="G17" s="1792"/>
      <c r="H17" s="1793" t="s">
        <v>1584</v>
      </c>
      <c r="I17" s="1794" t="s">
        <v>1569</v>
      </c>
      <c r="J17" s="1254"/>
      <c r="K17" s="3329" t="s">
        <v>1585</v>
      </c>
      <c r="L17" s="3330"/>
      <c r="M17" s="3331"/>
      <c r="N17" s="3329" t="s">
        <v>1586</v>
      </c>
      <c r="O17" s="3330"/>
      <c r="P17" s="3331"/>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603" t="s">
        <v>3209</v>
      </c>
      <c r="D19" s="48">
        <f>ROUND($D$3*E19/$E$3,2)</f>
        <v>0</v>
      </c>
      <c r="E19" s="56">
        <f t="shared" ref="E19:E26" si="1">SUM(F19:G19)</f>
        <v>529.9</v>
      </c>
      <c r="F19" s="2975">
        <f>面积清单!D2</f>
        <v>529.9</v>
      </c>
      <c r="G19" s="2976"/>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4"/>
      <c r="O19" s="1805"/>
      <c r="P19" s="1265">
        <f>N19+O19</f>
        <v>0</v>
      </c>
      <c r="R19" s="1138">
        <f t="shared" ref="R19:S26" si="5">D19+H19</f>
        <v>0</v>
      </c>
      <c r="S19" s="1139">
        <f t="shared" si="5"/>
        <v>529.9</v>
      </c>
    </row>
    <row r="20" spans="1:19">
      <c r="A20" s="1806"/>
      <c r="B20" s="50" t="s">
        <v>1598</v>
      </c>
      <c r="C20" s="3603" t="s">
        <v>3210</v>
      </c>
      <c r="D20" s="48">
        <f t="shared" ref="D20:D26" si="6">ROUND($D$3*E20/$E$3,2)</f>
        <v>0</v>
      </c>
      <c r="E20" s="56">
        <f t="shared" si="1"/>
        <v>8206.83</v>
      </c>
      <c r="F20" s="2975">
        <f>'数据-基础表'!I5-'数据-汇总表'!F19</f>
        <v>5366.24</v>
      </c>
      <c r="G20" s="2976">
        <f>'数据-基础表'!K5</f>
        <v>2840.59</v>
      </c>
      <c r="H20" s="679">
        <f t="shared" ref="H20:H26" si="7">ROUND($D$3*I20/$E$3,2)</f>
        <v>0</v>
      </c>
      <c r="I20" s="51">
        <f t="shared" si="2"/>
        <v>0</v>
      </c>
      <c r="J20" s="1254"/>
      <c r="K20" s="1253">
        <f t="shared" si="3"/>
        <v>0</v>
      </c>
      <c r="L20" s="1138">
        <f t="shared" si="4"/>
        <v>0</v>
      </c>
      <c r="M20" s="1265">
        <f t="shared" ref="M20:M26" si="8">K20+L20</f>
        <v>0</v>
      </c>
      <c r="N20" s="1804"/>
      <c r="O20" s="1805"/>
      <c r="P20" s="1265">
        <f t="shared" ref="P20:P26" si="9">N20+O20</f>
        <v>0</v>
      </c>
      <c r="R20" s="1138">
        <f t="shared" si="5"/>
        <v>0</v>
      </c>
      <c r="S20" s="1139">
        <f t="shared" si="5"/>
        <v>8206.83</v>
      </c>
    </row>
    <row r="21" spans="1:19">
      <c r="A21" s="1806"/>
      <c r="B21" s="50" t="s">
        <v>1598</v>
      </c>
      <c r="C21" s="3603" t="s">
        <v>3211</v>
      </c>
      <c r="D21" s="48">
        <f t="shared" si="6"/>
        <v>0</v>
      </c>
      <c r="E21" s="56">
        <f t="shared" si="1"/>
        <v>56554.499999999993</v>
      </c>
      <c r="F21" s="2975">
        <f>'数据-基础表'!O5</f>
        <v>56554.499999999993</v>
      </c>
      <c r="G21" s="2976"/>
      <c r="H21" s="679">
        <f t="shared" si="7"/>
        <v>0</v>
      </c>
      <c r="I21" s="51">
        <f t="shared" si="2"/>
        <v>0</v>
      </c>
      <c r="J21" s="1254"/>
      <c r="K21" s="1253">
        <f t="shared" si="3"/>
        <v>0</v>
      </c>
      <c r="L21" s="1138">
        <f t="shared" si="4"/>
        <v>0</v>
      </c>
      <c r="M21" s="1265">
        <f t="shared" si="8"/>
        <v>0</v>
      </c>
      <c r="N21" s="1804"/>
      <c r="O21" s="1805"/>
      <c r="P21" s="1265">
        <f t="shared" si="9"/>
        <v>0</v>
      </c>
      <c r="R21" s="1138">
        <f t="shared" si="5"/>
        <v>0</v>
      </c>
      <c r="S21" s="1139">
        <f t="shared" si="5"/>
        <v>56554.499999999993</v>
      </c>
    </row>
    <row r="22" spans="1:19">
      <c r="A22" s="1806"/>
      <c r="B22" s="50" t="s">
        <v>1598</v>
      </c>
      <c r="C22" s="3604" t="s">
        <v>3212</v>
      </c>
      <c r="D22" s="48">
        <f t="shared" si="6"/>
        <v>0</v>
      </c>
      <c r="E22" s="56">
        <f t="shared" si="1"/>
        <v>6318.51</v>
      </c>
      <c r="F22" s="2977"/>
      <c r="G22" s="2978">
        <f>'数据-基础表'!M5</f>
        <v>6318.51</v>
      </c>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6318.51</v>
      </c>
    </row>
    <row r="23" spans="1:19">
      <c r="A23" s="1806"/>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15.75" thickBot="1">
      <c r="A27" s="1806"/>
      <c r="B27" s="48"/>
      <c r="C27" s="1809" t="s">
        <v>1599</v>
      </c>
      <c r="D27" s="1255">
        <f>SUM(D19:D26)</f>
        <v>0</v>
      </c>
      <c r="E27" s="1256">
        <f>IF(SUM(E19:E26)='数据-基础表'!BA5,SUM(E19:E26),IF(F27="地上面积有误","面积有误","地下面积有误"))</f>
        <v>71609.739999999991</v>
      </c>
      <c r="F27" s="1255">
        <f>IF(SUM(F19:F26)=E8,SUM(F19:F26),"地上面积有误")</f>
        <v>62450.639999999992</v>
      </c>
      <c r="G27" s="1257">
        <f>SUM(G19:G26)</f>
        <v>9159.1</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71609.739999999991</v>
      </c>
    </row>
    <row r="28" spans="1:19">
      <c r="A28" s="1806"/>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2"/>
      <c r="B31" s="1813"/>
      <c r="C31" s="925" t="s">
        <v>1603</v>
      </c>
      <c r="D31" s="685">
        <f>D27+D30</f>
        <v>0</v>
      </c>
      <c r="E31" s="685">
        <f>E27+E30</f>
        <v>71609.739999999991</v>
      </c>
      <c r="F31" s="686">
        <f>F27+F30</f>
        <v>62450.639999999992</v>
      </c>
      <c r="G31" s="687">
        <f>G27+G30</f>
        <v>9159.1</v>
      </c>
      <c r="H31" s="2835"/>
      <c r="I31" s="2835"/>
      <c r="J31" s="2835"/>
      <c r="K31" s="2835"/>
      <c r="L31" s="2835"/>
      <c r="M31" s="2835"/>
      <c r="N31" s="2835"/>
      <c r="O31" s="2835"/>
      <c r="P31" s="2835"/>
    </row>
    <row r="32" spans="1:19">
      <c r="A32" s="1779"/>
      <c r="B32" s="1779" t="s">
        <v>1604</v>
      </c>
      <c r="C32" s="1779"/>
      <c r="D32" s="1779"/>
      <c r="E32" s="1165">
        <f>SUMIF(C19:C26,"*住宅*",E19:E26)</f>
        <v>0</v>
      </c>
      <c r="F32" s="1779"/>
      <c r="G32" s="1779"/>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W9" sqref="W9"/>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7"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8"/>
      <c r="C1" s="1306"/>
      <c r="D1" s="1816"/>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19" t="s">
        <v>1606</v>
      </c>
      <c r="B2" s="1157">
        <f>项目基本情况!D3</f>
        <v>44769</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5" customFormat="1" ht="15" thickBot="1">
      <c r="A3" s="1693"/>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5"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8" t="s">
        <v>1611</v>
      </c>
      <c r="AA4" s="1788"/>
      <c r="AB4" s="1788"/>
      <c r="AC4" s="1788"/>
      <c r="AD4" s="1788"/>
      <c r="AE4" s="1786" t="s">
        <v>1612</v>
      </c>
      <c r="AF4" s="1788"/>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6" customFormat="1" ht="42">
      <c r="A5" s="1831" t="s">
        <v>1613</v>
      </c>
      <c r="B5" s="1832" t="s">
        <v>1614</v>
      </c>
      <c r="C5" s="1833" t="s">
        <v>1615</v>
      </c>
      <c r="D5" s="1834" t="s">
        <v>1616</v>
      </c>
      <c r="E5" s="1159" t="s">
        <v>1617</v>
      </c>
      <c r="F5" s="1835" t="s">
        <v>1618</v>
      </c>
      <c r="G5" s="1159" t="s">
        <v>1619</v>
      </c>
      <c r="H5" s="1159" t="s">
        <v>1620</v>
      </c>
      <c r="I5" s="1159" t="s">
        <v>1621</v>
      </c>
      <c r="J5" s="1836" t="s">
        <v>1622</v>
      </c>
      <c r="K5" s="1837" t="s">
        <v>1623</v>
      </c>
      <c r="L5" s="1838" t="s">
        <v>1624</v>
      </c>
      <c r="M5" s="1839" t="s">
        <v>1625</v>
      </c>
      <c r="N5" s="1840" t="s">
        <v>3216</v>
      </c>
      <c r="O5" s="1838" t="s">
        <v>1626</v>
      </c>
      <c r="P5" s="1841" t="s">
        <v>1627</v>
      </c>
      <c r="Q5" s="65" t="s">
        <v>1628</v>
      </c>
      <c r="R5" s="1842" t="s">
        <v>1629</v>
      </c>
      <c r="S5" s="1843" t="s">
        <v>1630</v>
      </c>
      <c r="T5" s="1844" t="s">
        <v>1631</v>
      </c>
      <c r="U5" s="1158" t="s">
        <v>1632</v>
      </c>
      <c r="V5" s="1159" t="s">
        <v>1633</v>
      </c>
      <c r="W5" s="1159" t="s">
        <v>1634</v>
      </c>
      <c r="X5" s="67"/>
      <c r="Y5" s="66" t="s">
        <v>1635</v>
      </c>
      <c r="Z5" s="1845" t="s">
        <v>1632</v>
      </c>
      <c r="AA5" s="1159" t="s">
        <v>1633</v>
      </c>
      <c r="AB5" s="1159" t="s">
        <v>1634</v>
      </c>
      <c r="AC5" s="67"/>
      <c r="AD5" s="67" t="s">
        <v>1635</v>
      </c>
      <c r="AE5" s="1158" t="s">
        <v>1636</v>
      </c>
      <c r="AF5" s="1159" t="s">
        <v>1637</v>
      </c>
      <c r="AG5" s="66" t="s">
        <v>1638</v>
      </c>
      <c r="AH5" s="1158" t="s">
        <v>1639</v>
      </c>
      <c r="AI5" s="1845" t="s">
        <v>1640</v>
      </c>
      <c r="AJ5" s="1845" t="s">
        <v>1641</v>
      </c>
      <c r="AK5" s="1159" t="s">
        <v>1642</v>
      </c>
      <c r="AL5" s="1159" t="s">
        <v>1643</v>
      </c>
      <c r="AM5" s="66" t="s">
        <v>1644</v>
      </c>
      <c r="AN5" s="1846" t="s">
        <v>1645</v>
      </c>
      <c r="AO5" s="1698" t="s">
        <v>1646</v>
      </c>
      <c r="AP5" s="1140" t="s">
        <v>1647</v>
      </c>
      <c r="AQ5" s="1847" t="s">
        <v>1648</v>
      </c>
      <c r="AR5" s="1847"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8" t="str">
        <f>'数据-汇总表'!C19</f>
        <v>商业4-1</v>
      </c>
      <c r="B6" s="1849" t="str">
        <f>IF(A6=0,"","经营性")</f>
        <v>经营性</v>
      </c>
      <c r="C6" s="1850" t="s">
        <v>1102</v>
      </c>
      <c r="D6" s="948">
        <f>SUMIF(项目基本情况!D$12:I$12,C6,项目基本情况!D$14:I$14)</f>
        <v>40</v>
      </c>
      <c r="E6" s="947">
        <f>IF(B6="","",SUMIF(项目基本情况!D$12:I$12,C6,项目基本情况!D$13:I$13))</f>
        <v>56240</v>
      </c>
      <c r="F6" s="68">
        <f>SUMIF(项目基本情况!D$12:I$12,C6,项目基本情况!D$15:I$15)</f>
        <v>31.42</v>
      </c>
      <c r="G6" s="69">
        <f>IF(ISERROR(ROUND(POWER(1+H6,D6-F6)*(POWER(1+H6,F6)-1)/(POWER(1+H6,D6)-1),3)),0,ROUND(POWER(1+H6,D6-F6)*(POWER(1+H6,F6)-1)/(POWER(1+H6,D6)-1),3))</f>
        <v>0.91400000000000003</v>
      </c>
      <c r="H6" s="741">
        <v>0.05</v>
      </c>
      <c r="I6" s="741">
        <v>0.06</v>
      </c>
      <c r="J6" s="70">
        <v>7.4999999999999997E-2</v>
      </c>
      <c r="K6" s="1142">
        <f>SUMIF('数据-汇总表'!C$19:C$33,A6,'数据-汇总表'!E$19:E$33)</f>
        <v>529.9</v>
      </c>
      <c r="L6" s="742">
        <v>4000</v>
      </c>
      <c r="M6" s="71">
        <f t="shared" ref="M6:M14" si="0">ROUND(K6*L6/10000,0)</f>
        <v>212</v>
      </c>
      <c r="N6" s="740">
        <f>ROUND(1-(2022-2020)/60,2)</f>
        <v>0.97</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287">
        <f>ROUND($L$14*S6/10000,0)</f>
        <v>0</v>
      </c>
      <c r="U6" s="74">
        <v>6</v>
      </c>
      <c r="V6" s="75">
        <v>0.03</v>
      </c>
      <c r="W6" s="75">
        <v>0.1</v>
      </c>
      <c r="X6" s="1152"/>
      <c r="Y6" s="76">
        <f>N6</f>
        <v>0.97</v>
      </c>
      <c r="Z6" s="77"/>
      <c r="AA6" s="70"/>
      <c r="AB6" s="70"/>
      <c r="AC6" s="1152"/>
      <c r="AD6" s="78"/>
      <c r="AE6" s="1153">
        <f ca="1">IF(AN6="",0,SUMIF(INDIRECT("'"&amp;AN6&amp;"'"&amp;"!E:E"),$AE$5,INDIRECT("'"&amp;AN6&amp;"'"&amp;"!F:F")))</f>
        <v>31.42</v>
      </c>
      <c r="AF6" s="1483"/>
      <c r="AG6" s="143">
        <f>IF(AF6="",0,AE6-AF6)</f>
        <v>0</v>
      </c>
      <c r="AH6" s="79"/>
      <c r="AI6" s="81">
        <v>365</v>
      </c>
      <c r="AJ6" s="82"/>
      <c r="AK6" s="83">
        <v>1.4999999999999999E-2</v>
      </c>
      <c r="AL6" s="84">
        <v>1.5E-3</v>
      </c>
      <c r="AM6" s="85">
        <v>0.01</v>
      </c>
      <c r="AN6" s="1851" t="s">
        <v>3217</v>
      </c>
      <c r="AO6" s="55">
        <f ca="1">SUMIF(INDIRECT("'"&amp;AN6&amp;"'"&amp;"!A:A"),"总价",INDIRECT("'"&amp;AN6&amp;"'"&amp;"!B:B"))</f>
        <v>1605</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5" customFormat="1" ht="14.25">
      <c r="A7" s="1848" t="str">
        <f>'数据-汇总表'!C20</f>
        <v>商业其他</v>
      </c>
      <c r="B7" s="1849" t="str">
        <f t="shared" ref="B7:B13" si="1">IF(A7=0,"","经营性")</f>
        <v>经营性</v>
      </c>
      <c r="C7" s="1850"/>
      <c r="D7" s="948">
        <f>SUMIF(项目基本情况!D$12:I$12,C7,项目基本情况!D$14:I$14)</f>
        <v>0</v>
      </c>
      <c r="E7" s="947">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41">
        <v>0.05</v>
      </c>
      <c r="I7" s="741">
        <v>0.06</v>
      </c>
      <c r="J7" s="70">
        <f>J6</f>
        <v>7.4999999999999997E-2</v>
      </c>
      <c r="K7" s="1142">
        <f>SUMIF('数据-汇总表'!C$19:C$33,A7,'数据-汇总表'!E$19:E$33)</f>
        <v>8206.83</v>
      </c>
      <c r="L7" s="742">
        <v>4000</v>
      </c>
      <c r="M7" s="71">
        <f t="shared" si="0"/>
        <v>3283</v>
      </c>
      <c r="N7" s="740">
        <f>N6</f>
        <v>0.97</v>
      </c>
      <c r="O7" s="71" t="str">
        <f t="shared" ref="O7:O14" si="3">IF($N$5="成新度","——",ROUND(M7*N7,0))</f>
        <v>——</v>
      </c>
      <c r="P7" s="72" t="str">
        <f t="shared" ref="P7:P14" si="4">IF($N$5="成新度","——",M7-O7)</f>
        <v>——</v>
      </c>
      <c r="Q7" s="743">
        <v>0.2</v>
      </c>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5" customFormat="1" ht="14.25">
      <c r="A8" s="1848" t="str">
        <f>'数据-汇总表'!C21</f>
        <v>办公</v>
      </c>
      <c r="B8" s="1849" t="str">
        <f t="shared" si="1"/>
        <v>经营性</v>
      </c>
      <c r="C8" s="1850" t="s">
        <v>27</v>
      </c>
      <c r="D8" s="948">
        <f>SUMIF(项目基本情况!D$12:I$12,C8,项目基本情况!D$14:I$14)</f>
        <v>50</v>
      </c>
      <c r="E8" s="947">
        <f>IF(B8="","",SUMIF(项目基本情况!D$12:I$12,C8,项目基本情况!D$13:I$13))</f>
        <v>59892</v>
      </c>
      <c r="F8" s="68">
        <f>SUMIF(项目基本情况!D$12:I$12,C8,项目基本情况!D$15:I$15)</f>
        <v>41.43</v>
      </c>
      <c r="G8" s="69">
        <f t="shared" si="2"/>
        <v>0.95</v>
      </c>
      <c r="H8" s="741">
        <v>0.05</v>
      </c>
      <c r="I8" s="741">
        <v>5.5E-2</v>
      </c>
      <c r="J8" s="70">
        <f>J6</f>
        <v>7.4999999999999997E-2</v>
      </c>
      <c r="K8" s="1142">
        <f>SUMIF('数据-汇总表'!C$19:C$33,A8,'数据-汇总表'!E$19:E$33)</f>
        <v>56554.499999999993</v>
      </c>
      <c r="L8" s="742">
        <v>4000</v>
      </c>
      <c r="M8" s="71">
        <f>ROUND(K8*L8/10000,0)</f>
        <v>22622</v>
      </c>
      <c r="N8" s="740">
        <f>N6</f>
        <v>0.97</v>
      </c>
      <c r="O8" s="71" t="str">
        <f t="shared" si="3"/>
        <v>——</v>
      </c>
      <c r="P8" s="72" t="str">
        <f t="shared" si="4"/>
        <v>——</v>
      </c>
      <c r="Q8" s="743">
        <v>0.15</v>
      </c>
      <c r="R8" s="73">
        <f ca="1">SUMIF('数据-汇总表'!C$19:C$33,A8,'数据-汇总表'!R$19:R$27)</f>
        <v>0</v>
      </c>
      <c r="S8" s="54">
        <f>IF('数据-汇总表'!$I$17="按面积比例",SUMIF('数据-汇总表'!C$19:C$33,A8,'数据-汇总表'!K$19:K$33),SUMIF('数据-汇总表'!C$19:C$33,A8,'数据-汇总表'!N$19:N$33))</f>
        <v>0</v>
      </c>
      <c r="T8" s="1287">
        <f t="shared" si="5"/>
        <v>0</v>
      </c>
      <c r="U8" s="744">
        <v>5</v>
      </c>
      <c r="V8" s="745">
        <v>0.03</v>
      </c>
      <c r="W8" s="745">
        <v>0.1</v>
      </c>
      <c r="X8" s="1152"/>
      <c r="Y8" s="746">
        <f>N8</f>
        <v>0.97</v>
      </c>
      <c r="Z8" s="77"/>
      <c r="AA8" s="70"/>
      <c r="AB8" s="70"/>
      <c r="AC8" s="1152"/>
      <c r="AD8" s="78"/>
      <c r="AE8" s="1153">
        <f t="shared" ca="1" si="6"/>
        <v>41.43</v>
      </c>
      <c r="AF8" s="1483"/>
      <c r="AG8" s="143">
        <f t="shared" si="7"/>
        <v>0</v>
      </c>
      <c r="AH8" s="747"/>
      <c r="AI8" s="81">
        <v>365</v>
      </c>
      <c r="AJ8" s="82"/>
      <c r="AK8" s="748">
        <v>1.4999999999999999E-2</v>
      </c>
      <c r="AL8" s="749">
        <v>1.5E-3</v>
      </c>
      <c r="AM8" s="750">
        <v>0.01</v>
      </c>
      <c r="AN8" s="1851" t="s">
        <v>3233</v>
      </c>
      <c r="AO8" s="55">
        <f t="shared" ca="1" si="8"/>
        <v>179302</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5" customFormat="1" ht="14.25">
      <c r="A9" s="1848" t="str">
        <f>'数据-汇总表'!C22</f>
        <v>车库</v>
      </c>
      <c r="B9" s="1849" t="str">
        <f t="shared" si="1"/>
        <v>经营性</v>
      </c>
      <c r="C9" s="1850" t="s">
        <v>3206</v>
      </c>
      <c r="D9" s="948">
        <f>SUMIF(项目基本情况!D$12:I$12,C9,项目基本情况!D$14:I$14)</f>
        <v>50</v>
      </c>
      <c r="E9" s="947">
        <f>IF(B9="","",SUMIF(项目基本情况!D$12:I$12,C9,项目基本情况!D$13:I$13))</f>
        <v>59892</v>
      </c>
      <c r="F9" s="68">
        <f>SUMIF(项目基本情况!D$12:I$12,C9,项目基本情况!D$15:I$15)</f>
        <v>41.43</v>
      </c>
      <c r="G9" s="69">
        <f t="shared" si="2"/>
        <v>0.94299999999999995</v>
      </c>
      <c r="H9" s="70">
        <v>4.4999999999999998E-2</v>
      </c>
      <c r="I9" s="70">
        <v>0.05</v>
      </c>
      <c r="J9" s="70">
        <f>J6</f>
        <v>7.4999999999999997E-2</v>
      </c>
      <c r="K9" s="1142">
        <f>SUMIF('数据-汇总表'!C$19:C$33,A9,'数据-汇总表'!E$19:E$33)</f>
        <v>6318.51</v>
      </c>
      <c r="L9" s="742">
        <v>3500</v>
      </c>
      <c r="M9" s="71">
        <f t="shared" si="0"/>
        <v>2211</v>
      </c>
      <c r="N9" s="740">
        <f>N6</f>
        <v>0.97</v>
      </c>
      <c r="O9" s="71" t="str">
        <f t="shared" si="3"/>
        <v>——</v>
      </c>
      <c r="P9" s="72" t="str">
        <f t="shared" si="4"/>
        <v>——</v>
      </c>
      <c r="Q9" s="86">
        <v>0.1</v>
      </c>
      <c r="R9" s="73">
        <f ca="1">SUMIF('数据-汇总表'!C$19:C$33,A9,'数据-汇总表'!R$19:R$27)</f>
        <v>0</v>
      </c>
      <c r="S9" s="54">
        <f>IF('数据-汇总表'!$I$17="按面积比例",SUMIF('数据-汇总表'!C$19:C$33,A9,'数据-汇总表'!K$19:K$33),SUMIF('数据-汇总表'!C$19:C$33,A9,'数据-汇总表'!N$19:N$33))</f>
        <v>0</v>
      </c>
      <c r="T9" s="1287">
        <f t="shared" si="5"/>
        <v>0</v>
      </c>
      <c r="U9" s="74">
        <v>1000</v>
      </c>
      <c r="V9" s="75">
        <v>2.5000000000000001E-2</v>
      </c>
      <c r="W9" s="75">
        <v>0.1</v>
      </c>
      <c r="X9" s="1152"/>
      <c r="Y9" s="76">
        <f>N9</f>
        <v>0.97</v>
      </c>
      <c r="Z9" s="77"/>
      <c r="AA9" s="70"/>
      <c r="AB9" s="70"/>
      <c r="AC9" s="1152"/>
      <c r="AD9" s="78"/>
      <c r="AE9" s="1153">
        <f t="shared" ca="1" si="6"/>
        <v>41.43</v>
      </c>
      <c r="AF9" s="1483"/>
      <c r="AG9" s="143">
        <f t="shared" si="7"/>
        <v>0</v>
      </c>
      <c r="AH9" s="79">
        <f>面积清单!G4+面积清单!G5</f>
        <v>143</v>
      </c>
      <c r="AI9" s="81">
        <v>12</v>
      </c>
      <c r="AJ9" s="82"/>
      <c r="AK9" s="83">
        <v>0.01</v>
      </c>
      <c r="AL9" s="84">
        <v>1.5E-3</v>
      </c>
      <c r="AM9" s="85">
        <v>0.01</v>
      </c>
      <c r="AN9" s="1851" t="s">
        <v>3237</v>
      </c>
      <c r="AO9" s="55">
        <f t="shared" ca="1" si="8"/>
        <v>2299</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5"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5"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5"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5"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5" customFormat="1" ht="14.25">
      <c r="A14" s="1853" t="s">
        <v>1650</v>
      </c>
      <c r="B14" s="1849" t="s">
        <v>1651</v>
      </c>
      <c r="C14" s="1854"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5" customFormat="1" ht="27">
      <c r="A15" s="1853" t="s">
        <v>1652</v>
      </c>
      <c r="B15" s="1849" t="s">
        <v>1651</v>
      </c>
      <c r="C15" s="1854"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5" customFormat="1" ht="15.75" thickBot="1">
      <c r="A16" s="1855" t="s">
        <v>1654</v>
      </c>
      <c r="B16" s="93"/>
      <c r="C16" s="923"/>
      <c r="D16" s="1856"/>
      <c r="E16" s="93"/>
      <c r="F16" s="93"/>
      <c r="G16" s="94">
        <f>ROUND(SUMPRODUCT(G6:G13,K6:K13)/SUMPRODUCT((G6:G13&gt;0)*(K6:K13)),3)</f>
        <v>0.94899999999999995</v>
      </c>
      <c r="H16" s="95">
        <f>ROUND(SUMPRODUCT(H6:H13,K6:K13)/SUMPRODUCT((H6:H13&gt;0)*(K6:K13)),3)</f>
        <v>0.05</v>
      </c>
      <c r="I16" s="96"/>
      <c r="J16" s="96"/>
      <c r="K16" s="97">
        <f>SUM(K6:K15)</f>
        <v>71609.739999999991</v>
      </c>
      <c r="L16" s="98">
        <f>ROUND(M16*10000/SUM(K6:K14),0)</f>
        <v>3956</v>
      </c>
      <c r="M16" s="98">
        <f>SUM(M6:M14)</f>
        <v>28328</v>
      </c>
      <c r="N16" s="99">
        <f>ROUND(SUMPRODUCT(M6:M14,N6:N14)/M16,3)</f>
        <v>0.97</v>
      </c>
      <c r="O16" s="98">
        <f>SUM(O6:O14)</f>
        <v>0</v>
      </c>
      <c r="P16" s="98">
        <f>SUM(P6:P14)</f>
        <v>0</v>
      </c>
      <c r="Q16" s="100">
        <f>ROUND(SUMPRODUCT(Q6:Q13,K6:K13)/SUMPRODUCT((Q6:Q13&gt;0)*(K6:K13)),2)</f>
        <v>0.15</v>
      </c>
      <c r="R16" s="114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8">
        <v>0</v>
      </c>
      <c r="C19" s="2979" t="s">
        <v>2805</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9">
        <v>2.5</v>
      </c>
      <c r="C20" s="2980" t="s">
        <v>2803</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9">
        <v>2.5</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10">
        <f>B19+B20</f>
        <v>2.5</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10">
        <f>B19+B21</f>
        <v>2.5</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2">
        <v>160</v>
      </c>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1667</v>
      </c>
      <c r="B29" s="117"/>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1671</v>
      </c>
      <c r="B33" s="682">
        <v>0.03</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1672</v>
      </c>
      <c r="B34" s="118">
        <v>0</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1673</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20">
        <v>0.02</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8">
        <v>0.02</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3213</v>
      </c>
      <c r="B40" s="1191">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1">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3">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4">
        <v>0.05</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5">
        <v>0</v>
      </c>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9">
        <f>SUMIF(A54:A63,B53,B54:B63)</f>
        <v>1.5</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56</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80">
        <f>C59</f>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2"/>
  </cols>
  <sheetData>
    <row r="1" spans="1:29" s="2632" customFormat="1" ht="18.75" thickBot="1">
      <c r="A1" s="3344" t="s">
        <v>2786</v>
      </c>
      <c r="B1" s="3345"/>
      <c r="C1" s="3345"/>
      <c r="D1" s="3345"/>
      <c r="E1" s="3345"/>
      <c r="F1" s="3345"/>
      <c r="G1" s="3345"/>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8"/>
      <c r="I2" s="888"/>
      <c r="J2" s="888"/>
      <c r="K2" s="888"/>
      <c r="L2" s="888"/>
      <c r="M2" s="888"/>
      <c r="N2" s="888"/>
      <c r="O2" s="888"/>
      <c r="P2" s="888"/>
      <c r="Q2" s="888"/>
      <c r="R2" s="888"/>
    </row>
    <row r="3" spans="1:29" ht="48">
      <c r="A3" s="2616" t="s">
        <v>2783</v>
      </c>
      <c r="B3" s="2638" t="s">
        <v>2752</v>
      </c>
      <c r="C3" s="2639" t="s">
        <v>2784</v>
      </c>
      <c r="D3" s="2640"/>
      <c r="E3" s="2617" t="s">
        <v>2783</v>
      </c>
      <c r="F3" s="2641" t="s">
        <v>2753</v>
      </c>
      <c r="G3" s="2642" t="s">
        <v>2785</v>
      </c>
      <c r="H3" s="888"/>
      <c r="I3" s="888"/>
      <c r="J3" s="888"/>
      <c r="K3" s="888"/>
      <c r="L3" s="888"/>
      <c r="M3" s="888"/>
      <c r="N3" s="888"/>
      <c r="O3" s="888"/>
      <c r="P3" s="888"/>
      <c r="Q3" s="888"/>
      <c r="R3" s="888"/>
    </row>
    <row r="4" spans="1:29" ht="36.75">
      <c r="A4" s="2617"/>
      <c r="B4" s="329" t="s">
        <v>2754</v>
      </c>
      <c r="C4" s="2643" t="s">
        <v>2755</v>
      </c>
      <c r="D4" s="2640"/>
      <c r="E4" s="2644"/>
      <c r="F4" s="1508" t="s">
        <v>2756</v>
      </c>
      <c r="G4" s="2645" t="s">
        <v>2757</v>
      </c>
      <c r="H4" s="888"/>
      <c r="I4" s="888"/>
      <c r="J4" s="888"/>
      <c r="K4" s="888"/>
      <c r="L4" s="888"/>
      <c r="M4" s="888"/>
      <c r="N4" s="888"/>
      <c r="O4" s="888"/>
      <c r="P4" s="888"/>
      <c r="Q4" s="888"/>
      <c r="R4" s="888"/>
    </row>
    <row r="5" spans="1:29" ht="36.75">
      <c r="A5" s="2617"/>
      <c r="B5" s="329" t="s">
        <v>2758</v>
      </c>
      <c r="C5" s="2643" t="s">
        <v>2759</v>
      </c>
      <c r="D5" s="2640"/>
      <c r="E5" s="2644"/>
      <c r="F5" s="329" t="s">
        <v>2760</v>
      </c>
      <c r="G5" s="2645" t="s">
        <v>2761</v>
      </c>
      <c r="H5" s="888"/>
      <c r="I5" s="888"/>
      <c r="J5" s="888"/>
      <c r="K5" s="888"/>
      <c r="L5" s="888"/>
      <c r="M5" s="888"/>
      <c r="N5" s="888"/>
      <c r="O5" s="888"/>
      <c r="P5" s="888"/>
      <c r="Q5" s="888"/>
      <c r="R5" s="888"/>
    </row>
    <row r="6" spans="1:29" ht="36">
      <c r="A6" s="2617"/>
      <c r="B6" s="329" t="s">
        <v>2762</v>
      </c>
      <c r="C6" s="2645" t="s">
        <v>2757</v>
      </c>
      <c r="D6" s="2640"/>
      <c r="E6" s="2644"/>
      <c r="F6" s="329" t="s">
        <v>2763</v>
      </c>
      <c r="G6" s="2645" t="s">
        <v>2764</v>
      </c>
      <c r="H6" s="888"/>
      <c r="I6" s="888"/>
      <c r="J6" s="888"/>
      <c r="K6" s="888"/>
      <c r="L6" s="888"/>
      <c r="M6" s="888"/>
      <c r="N6" s="888"/>
      <c r="O6" s="888"/>
      <c r="P6" s="888"/>
      <c r="Q6" s="888"/>
      <c r="R6" s="888"/>
    </row>
    <row r="7" spans="1:29" ht="24.75" thickBot="1">
      <c r="A7" s="2617"/>
      <c r="B7" s="329" t="s">
        <v>2760</v>
      </c>
      <c r="C7" s="2645" t="s">
        <v>2761</v>
      </c>
      <c r="D7" s="2646"/>
      <c r="E7" s="2647"/>
      <c r="F7" s="2648" t="s">
        <v>2765</v>
      </c>
      <c r="G7" s="2649" t="s">
        <v>2766</v>
      </c>
      <c r="H7" s="888"/>
      <c r="I7" s="888"/>
      <c r="J7" s="888"/>
      <c r="K7" s="888"/>
      <c r="L7" s="888"/>
      <c r="M7" s="888"/>
      <c r="N7" s="888"/>
      <c r="O7" s="888"/>
      <c r="P7" s="888"/>
      <c r="Q7" s="888"/>
      <c r="R7" s="888"/>
    </row>
    <row r="8" spans="1:29">
      <c r="A8" s="2617"/>
      <c r="B8" s="329" t="s">
        <v>2763</v>
      </c>
      <c r="C8" s="2645" t="s">
        <v>2764</v>
      </c>
      <c r="D8" s="2646"/>
      <c r="E8" s="2646"/>
      <c r="F8" s="2650"/>
      <c r="G8" s="2650"/>
      <c r="H8" s="888"/>
      <c r="I8" s="888"/>
      <c r="J8" s="888"/>
      <c r="K8" s="888"/>
      <c r="L8" s="888"/>
      <c r="M8" s="888"/>
      <c r="N8" s="888"/>
      <c r="O8" s="888"/>
      <c r="P8" s="888"/>
      <c r="Q8" s="888"/>
      <c r="R8" s="888"/>
    </row>
    <row r="9" spans="1:29" ht="24">
      <c r="A9" s="2617"/>
      <c r="B9" s="329" t="s">
        <v>2767</v>
      </c>
      <c r="C9" s="2643" t="s">
        <v>2768</v>
      </c>
      <c r="D9" s="2640"/>
      <c r="E9" s="2646"/>
      <c r="F9" s="2650"/>
      <c r="G9" s="2650"/>
      <c r="H9" s="888"/>
      <c r="I9" s="888"/>
      <c r="J9" s="888"/>
      <c r="K9" s="888"/>
      <c r="L9" s="888"/>
      <c r="M9" s="888"/>
      <c r="N9" s="888"/>
      <c r="O9" s="888"/>
      <c r="P9" s="888"/>
      <c r="Q9" s="888"/>
      <c r="R9" s="888"/>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8" customFormat="1" ht="15"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8" customFormat="1" ht="15"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21" sqref="K21"/>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71609.739999999991</v>
      </c>
      <c r="C1" s="2864"/>
      <c r="D1" s="2864"/>
      <c r="E1" s="2864"/>
      <c r="F1" s="2864"/>
      <c r="G1" s="2865"/>
      <c r="H1" s="2866"/>
      <c r="I1" s="2866"/>
      <c r="J1" s="2866"/>
      <c r="K1" s="2866"/>
    </row>
    <row r="2" spans="1:11" ht="16.5">
      <c r="A2" s="2687" t="s">
        <v>1078</v>
      </c>
      <c r="B2" s="2687">
        <f>SUM(C14:C23)</f>
        <v>0</v>
      </c>
      <c r="C2" s="2864"/>
      <c r="D2" s="2864"/>
      <c r="E2" s="2864"/>
      <c r="F2" s="2864"/>
      <c r="G2" s="2865"/>
      <c r="H2" s="2866"/>
      <c r="I2" s="2866"/>
      <c r="J2" s="2866"/>
      <c r="K2" s="2866"/>
    </row>
    <row r="3" spans="1:11" ht="16.5">
      <c r="A3" s="2687" t="s">
        <v>1087</v>
      </c>
      <c r="B3" s="2689">
        <f>项目基本情况!D3</f>
        <v>44769</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273336</v>
      </c>
      <c r="C5" s="2687">
        <f ca="1">ROUND(B5*10000/$B$1,0)</f>
        <v>38170</v>
      </c>
      <c r="D5" s="2687" t="e">
        <f ca="1">ROUND(B5*10000/$B$2,0)</f>
        <v>#DIV/0!</v>
      </c>
      <c r="E5" s="2864"/>
      <c r="F5" s="2865"/>
      <c r="G5" s="2865"/>
      <c r="H5" s="2866"/>
      <c r="I5" s="2866"/>
      <c r="J5" s="2866"/>
      <c r="K5" s="2866"/>
    </row>
    <row r="6" spans="1:11" ht="16.5">
      <c r="A6" s="2687" t="s">
        <v>1081</v>
      </c>
      <c r="B6" s="2687">
        <f ca="1">SUM(G14:G23)</f>
        <v>273336</v>
      </c>
      <c r="C6" s="2687">
        <f ca="1">ROUND(B6*10000/$B$1,0)</f>
        <v>38170</v>
      </c>
      <c r="D6" s="2687" t="e">
        <f ca="1">ROUND(B6*10000/$B$2,0)</f>
        <v>#DIV/0!</v>
      </c>
      <c r="E6" s="2864"/>
      <c r="F6" s="2865"/>
      <c r="G6" s="2865"/>
      <c r="H6" s="2866"/>
      <c r="I6" s="2866"/>
      <c r="J6" s="2866"/>
      <c r="K6" s="2866"/>
    </row>
    <row r="7" spans="1:11" ht="16.5">
      <c r="A7" s="2687" t="s">
        <v>1089</v>
      </c>
      <c r="B7" s="2687">
        <f>SUM(H14:H23)</f>
        <v>0</v>
      </c>
      <c r="C7" s="2687">
        <f>ROUND(B7*10000/$B$1,0)</f>
        <v>0</v>
      </c>
      <c r="D7" s="2687" t="e">
        <f>ROUND(B7*10000/$B$2,0)</f>
        <v>#DIV/0!</v>
      </c>
      <c r="E7" s="2864"/>
      <c r="F7" s="2865"/>
      <c r="G7" s="2865"/>
      <c r="H7" s="2866"/>
      <c r="I7" s="2866"/>
      <c r="J7" s="2866"/>
      <c r="K7" s="2866"/>
    </row>
    <row r="8" spans="1:11" ht="16.5">
      <c r="A8" s="2687" t="s">
        <v>1012</v>
      </c>
      <c r="B8" s="2687">
        <f>SUM(I14:I23)</f>
        <v>0</v>
      </c>
      <c r="C8" s="2687">
        <f>ROUND(B8*10000/$B$1,0)</f>
        <v>0</v>
      </c>
      <c r="D8" s="2687" t="e">
        <f>ROUND(B8*10000/$B$2,0)</f>
        <v>#DIV/0!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典型户型修正!B22</f>
        <v>8736.73</v>
      </c>
      <c r="C14" s="2693">
        <f>结果表!C118</f>
        <v>0</v>
      </c>
      <c r="D14" s="2693">
        <f ca="1">典型户型修正!B20</f>
        <v>29514</v>
      </c>
      <c r="E14" s="2693">
        <f ca="1">ROUND(D14*10000/B14,0)</f>
        <v>33782</v>
      </c>
      <c r="F14" s="2693" t="e">
        <f ca="1">ROUND(D14*10000/C14,0)</f>
        <v>#DIV/0!</v>
      </c>
      <c r="G14" s="2693">
        <f ca="1">D14</f>
        <v>29514</v>
      </c>
      <c r="H14" s="2693" t="str">
        <f>结果表!D124</f>
        <v>——</v>
      </c>
      <c r="I14" s="2693" t="str">
        <f>结果表!D126</f>
        <v>——</v>
      </c>
      <c r="J14" s="2865" t="s">
        <v>3242</v>
      </c>
      <c r="K14" s="2866"/>
    </row>
    <row r="15" spans="1:11" ht="16.5">
      <c r="A15" s="2692" t="s">
        <v>1074</v>
      </c>
      <c r="B15" s="2694">
        <f>'结果表(办公)'!B118</f>
        <v>56554.499999999993</v>
      </c>
      <c r="C15" s="2694"/>
      <c r="D15" s="2694">
        <f ca="1">'结果表(办公)'!H118</f>
        <v>241385</v>
      </c>
      <c r="E15" s="2693">
        <f t="shared" ref="E15:E23" ca="1" si="0">ROUND(D15*10000/B15,0)</f>
        <v>42682</v>
      </c>
      <c r="F15" s="2693" t="e">
        <f t="shared" ref="F15:F23" ca="1" si="1">ROUND(D15*10000/C15,0)</f>
        <v>#DIV/0!</v>
      </c>
      <c r="G15" s="1452">
        <f ca="1">D15</f>
        <v>241385</v>
      </c>
      <c r="H15" s="1452"/>
      <c r="I15" s="2694"/>
      <c r="J15" s="2865" t="s">
        <v>3243</v>
      </c>
      <c r="K15" s="2866"/>
    </row>
    <row r="16" spans="1:11" ht="16.5">
      <c r="A16" s="2692" t="s">
        <v>1073</v>
      </c>
      <c r="B16" s="2694">
        <f>'结果表(车位)'!B118</f>
        <v>6318.51</v>
      </c>
      <c r="C16" s="2694"/>
      <c r="D16" s="2694">
        <f ca="1">'结果表(车位)'!H118</f>
        <v>2437</v>
      </c>
      <c r="E16" s="2693">
        <f t="shared" ca="1" si="0"/>
        <v>3857</v>
      </c>
      <c r="F16" s="2693" t="e">
        <f t="shared" ca="1" si="1"/>
        <v>#DIV/0!</v>
      </c>
      <c r="G16" s="1452">
        <f ca="1">D16</f>
        <v>2437</v>
      </c>
      <c r="H16" s="1452"/>
      <c r="I16" s="2694"/>
      <c r="J16" s="2866" t="s">
        <v>3244</v>
      </c>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26" sqref="H26"/>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3" t="s">
        <v>1707</v>
      </c>
      <c r="B1" s="1883"/>
      <c r="C1" s="1884" t="s">
        <v>3208</v>
      </c>
      <c r="D1" s="1883"/>
      <c r="E1" s="1883"/>
      <c r="F1" s="1885" t="s">
        <v>1708</v>
      </c>
      <c r="G1" s="1697"/>
      <c r="H1" s="1886" t="str">
        <f>IF(G1="现房","——","估价对象范围")</f>
        <v>估价对象范围</v>
      </c>
      <c r="I1" s="1887"/>
    </row>
    <row r="2" spans="1:12" ht="21.75" customHeight="1" thickBot="1">
      <c r="A2" s="3380" t="str">
        <f>项目基本情况!S2</f>
        <v>北京市房地产</v>
      </c>
      <c r="B2" s="3381"/>
      <c r="C2" s="3381"/>
      <c r="D2" s="3381"/>
      <c r="E2" s="3381"/>
      <c r="F2" s="3381"/>
      <c r="G2" s="3381"/>
      <c r="H2" s="3381"/>
      <c r="I2" s="3382"/>
    </row>
    <row r="3" spans="1:12" ht="12.75">
      <c r="A3" s="3384" t="s">
        <v>1709</v>
      </c>
      <c r="B3" s="3385"/>
      <c r="C3" s="3385"/>
      <c r="D3" s="3385"/>
      <c r="E3" s="3385"/>
      <c r="F3" s="3385"/>
      <c r="G3" s="3385"/>
      <c r="H3" s="3385"/>
      <c r="I3" s="3385"/>
    </row>
    <row r="4" spans="1:12" ht="14.25">
      <c r="A4" s="1890" t="s">
        <v>1710</v>
      </c>
      <c r="B4" s="1891" t="s">
        <v>1711</v>
      </c>
      <c r="C4" s="1892" t="s">
        <v>3224</v>
      </c>
      <c r="D4" s="1892" t="s">
        <v>3217</v>
      </c>
      <c r="E4" s="3386" t="s">
        <v>1712</v>
      </c>
      <c r="F4" s="3387"/>
      <c r="G4" s="3387"/>
      <c r="H4" s="3387"/>
      <c r="I4" s="3388"/>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0" t="s">
        <v>1713</v>
      </c>
      <c r="B5" s="3347">
        <v>25</v>
      </c>
      <c r="C5" s="3363"/>
      <c r="D5" s="3383"/>
      <c r="E5" s="136" t="s">
        <v>1714</v>
      </c>
      <c r="F5" s="1893"/>
      <c r="G5" s="1893"/>
      <c r="H5" s="1893"/>
      <c r="I5" s="1508"/>
    </row>
    <row r="6" spans="1:12" ht="12.75">
      <c r="A6" s="3360"/>
      <c r="B6" s="3347"/>
      <c r="C6" s="3364"/>
      <c r="D6" s="3383"/>
      <c r="E6" s="136" t="s">
        <v>1715</v>
      </c>
      <c r="F6" s="1893"/>
      <c r="G6" s="1893"/>
      <c r="H6" s="1893"/>
      <c r="I6" s="1508"/>
    </row>
    <row r="7" spans="1:12" ht="12.75">
      <c r="A7" s="3360"/>
      <c r="B7" s="3347"/>
      <c r="C7" s="3365"/>
      <c r="D7" s="3383"/>
      <c r="E7" s="136" t="s">
        <v>1716</v>
      </c>
      <c r="F7" s="1893"/>
      <c r="G7" s="1893"/>
      <c r="H7" s="1893"/>
      <c r="I7" s="1508"/>
    </row>
    <row r="8" spans="1:12" ht="12.75">
      <c r="A8" s="3360" t="s">
        <v>1717</v>
      </c>
      <c r="B8" s="3347">
        <v>15</v>
      </c>
      <c r="C8" s="3363"/>
      <c r="D8" s="3383"/>
      <c r="E8" s="136" t="s">
        <v>1718</v>
      </c>
      <c r="F8" s="1893"/>
      <c r="G8" s="1893"/>
      <c r="H8" s="1893"/>
      <c r="I8" s="1508"/>
    </row>
    <row r="9" spans="1:12" ht="12.75">
      <c r="A9" s="3360"/>
      <c r="B9" s="3347"/>
      <c r="C9" s="3365"/>
      <c r="D9" s="3383"/>
      <c r="E9" s="136" t="s">
        <v>1719</v>
      </c>
      <c r="F9" s="1893"/>
      <c r="G9" s="1893"/>
      <c r="H9" s="1893"/>
      <c r="I9" s="1508"/>
    </row>
    <row r="10" spans="1:12" ht="12.75">
      <c r="A10" s="3360" t="s">
        <v>1720</v>
      </c>
      <c r="B10" s="3347">
        <v>15</v>
      </c>
      <c r="C10" s="3363"/>
      <c r="D10" s="3383"/>
      <c r="E10" s="136" t="s">
        <v>1721</v>
      </c>
      <c r="F10" s="1893"/>
      <c r="G10" s="1893"/>
      <c r="H10" s="1893"/>
      <c r="I10" s="1508"/>
    </row>
    <row r="11" spans="1:12" ht="12.75">
      <c r="A11" s="3360"/>
      <c r="B11" s="3347"/>
      <c r="C11" s="3365"/>
      <c r="D11" s="3383"/>
      <c r="E11" s="136" t="s">
        <v>1722</v>
      </c>
      <c r="F11" s="1893"/>
      <c r="G11" s="1893"/>
      <c r="H11" s="1893"/>
      <c r="I11" s="1508"/>
    </row>
    <row r="12" spans="1:12" ht="12.75">
      <c r="A12" s="3360" t="s">
        <v>1723</v>
      </c>
      <c r="B12" s="3347">
        <v>15</v>
      </c>
      <c r="C12" s="3363"/>
      <c r="D12" s="3383"/>
      <c r="E12" s="136" t="s">
        <v>1724</v>
      </c>
      <c r="F12" s="1893"/>
      <c r="G12" s="1893"/>
      <c r="H12" s="1893"/>
      <c r="I12" s="1508"/>
    </row>
    <row r="13" spans="1:12" ht="12.75">
      <c r="A13" s="3360"/>
      <c r="B13" s="3347"/>
      <c r="C13" s="3365"/>
      <c r="D13" s="3383"/>
      <c r="E13" s="136" t="s">
        <v>1725</v>
      </c>
      <c r="F13" s="1893"/>
      <c r="G13" s="1893"/>
      <c r="H13" s="1893"/>
      <c r="I13" s="1508"/>
    </row>
    <row r="14" spans="1:12" ht="12.75">
      <c r="A14" s="3360" t="s">
        <v>1726</v>
      </c>
      <c r="B14" s="3347">
        <v>30</v>
      </c>
      <c r="C14" s="3363">
        <v>6</v>
      </c>
      <c r="D14" s="3383">
        <v>4</v>
      </c>
      <c r="E14" s="136" t="s">
        <v>1727</v>
      </c>
      <c r="F14" s="1893"/>
      <c r="G14" s="1893"/>
      <c r="H14" s="1893"/>
      <c r="I14" s="1508"/>
    </row>
    <row r="15" spans="1:12" ht="12.75">
      <c r="A15" s="3360"/>
      <c r="B15" s="3347"/>
      <c r="C15" s="3364"/>
      <c r="D15" s="3383"/>
      <c r="E15" s="136" t="s">
        <v>1728</v>
      </c>
      <c r="F15" s="1893"/>
      <c r="G15" s="1893"/>
      <c r="H15" s="1893"/>
      <c r="I15" s="1508"/>
    </row>
    <row r="16" spans="1:12" ht="12.75">
      <c r="A16" s="3360"/>
      <c r="B16" s="3347"/>
      <c r="C16" s="3365"/>
      <c r="D16" s="3383"/>
      <c r="E16" s="136" t="s">
        <v>1729</v>
      </c>
      <c r="F16" s="1893"/>
      <c r="G16" s="1893"/>
      <c r="H16" s="1893"/>
      <c r="I16" s="1508"/>
    </row>
    <row r="17" spans="1:36" ht="15">
      <c r="A17" s="1894" t="s">
        <v>1730</v>
      </c>
      <c r="B17" s="60"/>
      <c r="C17" s="137">
        <f>SUM(C5:C16)</f>
        <v>6</v>
      </c>
      <c r="D17" s="137">
        <f>SUM(D5:D16)</f>
        <v>4</v>
      </c>
      <c r="E17" s="134"/>
      <c r="F17" s="134"/>
      <c r="G17" s="134"/>
      <c r="H17" s="134"/>
      <c r="I17" s="134"/>
      <c r="K17" s="308"/>
      <c r="L17" s="308" t="s">
        <v>1731</v>
      </c>
      <c r="M17" s="308" t="s">
        <v>1732</v>
      </c>
    </row>
    <row r="18" spans="1:36" ht="31.9" customHeight="1" thickBot="1">
      <c r="A18" s="1895" t="s">
        <v>1733</v>
      </c>
      <c r="B18" s="1896"/>
      <c r="C18" s="138">
        <f>ROUND(C17/SUM(C17:D17),2)</f>
        <v>0.6</v>
      </c>
      <c r="D18" s="138">
        <f>1-C18</f>
        <v>0.4</v>
      </c>
      <c r="E18" s="3370" t="s">
        <v>2631</v>
      </c>
      <c r="F18" s="3371"/>
      <c r="G18" s="3371"/>
      <c r="H18" s="3371"/>
      <c r="I18" s="3371"/>
      <c r="K18" s="308" t="s">
        <v>1734</v>
      </c>
      <c r="L18" s="308">
        <f>IF(C1="",'数据-汇总表'!E3,SUMIF(项目类型,C1,'数据-汇总表'!E17:E26)+SUMIF(项目类型,C1,'数据-汇总表'!I17:I26))</f>
        <v>529.9</v>
      </c>
      <c r="M18" s="308">
        <f>IF(C1="",'数据-汇总表'!E3,SUMIF(项目类型,C1,'数据-汇总表'!E17:E26))</f>
        <v>529.9</v>
      </c>
    </row>
    <row r="19" spans="1:36" ht="15">
      <c r="A19" s="1897" t="s">
        <v>1735</v>
      </c>
      <c r="B19" s="1898" t="s">
        <v>1736</v>
      </c>
      <c r="C19" s="139">
        <f ca="1">SUMIF(INDIRECT("'"&amp;C4&amp;"'"&amp;"!A:A"),结果表!B19,INDIRECT("'"&amp;C4&amp;"'"&amp;"!B:B"))</f>
        <v>2650</v>
      </c>
      <c r="D19" s="140">
        <f ca="1">SUMIF(INDIRECT("'"&amp;D4&amp;"'"&amp;"!A:A"),结果表!B19,INDIRECT("'"&amp;D4&amp;"'"&amp;"!B:B"))</f>
        <v>1605</v>
      </c>
      <c r="E19" s="1897" t="s">
        <v>1737</v>
      </c>
      <c r="F19" s="1898" t="s">
        <v>1736</v>
      </c>
      <c r="G19" s="141">
        <f ca="1">ROUND(C19*$C$18+D19*$D$18,0)</f>
        <v>2232</v>
      </c>
      <c r="H19" s="1899"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0"/>
      <c r="B20" s="1138" t="s">
        <v>1740</v>
      </c>
      <c r="C20" s="142">
        <f ca="1">SUMIF(INDIRECT("'"&amp;C4&amp;"'"&amp;"!A:A"),结果表!B20,INDIRECT("'"&amp;C4&amp;"'"&amp;"!B:B"))</f>
        <v>50000</v>
      </c>
      <c r="D20" s="143">
        <f ca="1">SUMIF(INDIRECT("'"&amp;D4&amp;"'"&amp;"!A:A"),结果表!B20,INDIRECT("'"&amp;D4&amp;"'"&amp;"!B:B"))</f>
        <v>30289</v>
      </c>
      <c r="E20" s="1900"/>
      <c r="F20" s="1138" t="s">
        <v>1740</v>
      </c>
      <c r="G20" s="144">
        <f ca="1">ROUND(C20*$C$18+D20*$D$18,0)</f>
        <v>42116</v>
      </c>
      <c r="H20" s="898" t="s">
        <v>1741</v>
      </c>
      <c r="I20" s="134"/>
    </row>
    <row r="21" spans="1:36" ht="15" customHeight="1" thickBot="1">
      <c r="A21" s="918"/>
      <c r="B21" s="1901" t="s">
        <v>1742</v>
      </c>
      <c r="C21" s="728" t="e">
        <f ca="1">ROUND(C19*10000/L19,0)</f>
        <v>#DIV/0!</v>
      </c>
      <c r="D21" s="729" t="e">
        <f ca="1">ROUND(D19*10000/L19,0)</f>
        <v>#DIV/0!</v>
      </c>
      <c r="E21" s="918"/>
      <c r="F21" s="1901" t="s">
        <v>1742</v>
      </c>
      <c r="G21" s="145" t="e">
        <f ca="1">ROUND(G19*10000/L19,0)</f>
        <v>#DIV/0!</v>
      </c>
      <c r="H21" s="1902" t="s">
        <v>1741</v>
      </c>
      <c r="I21" s="134"/>
    </row>
    <row r="22" spans="1:36" ht="15" thickBot="1">
      <c r="A22" s="1824" t="s">
        <v>1743</v>
      </c>
      <c r="B22" s="1903"/>
      <c r="C22" s="1904"/>
      <c r="D22" s="730">
        <f ca="1">IF(C19&lt;D19,D19/C19-1,C19/D19-1)</f>
        <v>0.65109034267912769</v>
      </c>
      <c r="E22" s="134"/>
      <c r="F22" s="134"/>
      <c r="G22" s="134"/>
      <c r="H22" s="134"/>
      <c r="I22" s="134"/>
    </row>
    <row r="23" spans="1:36" ht="13.5" thickBot="1">
      <c r="A23" s="1883"/>
      <c r="B23" s="1883"/>
      <c r="C23" s="1883"/>
      <c r="D23" s="1883"/>
      <c r="E23" s="134"/>
      <c r="F23" s="134"/>
      <c r="G23" s="134"/>
      <c r="H23" s="134"/>
      <c r="I23" s="134"/>
    </row>
    <row r="24" spans="1:36" ht="14.25">
      <c r="A24" s="3354" t="s">
        <v>1744</v>
      </c>
      <c r="B24" s="1898" t="s">
        <v>1736</v>
      </c>
      <c r="C24" s="141">
        <f>IF(B30=0,0,D30)</f>
        <v>0</v>
      </c>
      <c r="D24" s="1905"/>
      <c r="E24" s="134"/>
      <c r="F24" s="134"/>
      <c r="G24" s="134"/>
      <c r="H24" s="134"/>
      <c r="I24" s="134"/>
    </row>
    <row r="25" spans="1:36" ht="14.25">
      <c r="A25" s="3355"/>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42116</v>
      </c>
      <c r="D32" s="1911"/>
      <c r="E32" s="134"/>
      <c r="F32" s="134"/>
      <c r="G32" s="134"/>
      <c r="H32" s="134"/>
      <c r="I32" s="134"/>
    </row>
    <row r="33" spans="1:15" ht="15">
      <c r="A33" s="875" t="s">
        <v>1751</v>
      </c>
      <c r="B33" s="1912"/>
      <c r="C33" s="1913"/>
      <c r="D33" s="1914"/>
      <c r="E33" s="1915" t="s">
        <v>1752</v>
      </c>
      <c r="F33" s="1916" t="str">
        <f>IF(D32="楼面单价","取值（单价）","取值（总价）")</f>
        <v>取值（总价）</v>
      </c>
      <c r="G33" s="134"/>
      <c r="H33" s="134"/>
      <c r="I33" s="134"/>
    </row>
    <row r="34" spans="1:15" ht="15">
      <c r="A34" s="1917"/>
      <c r="B34" s="1918"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19" t="s">
        <v>1754</v>
      </c>
      <c r="F34" s="1451"/>
      <c r="G34" s="134"/>
      <c r="H34" s="134"/>
      <c r="I34" s="134"/>
    </row>
    <row r="35" spans="1:15" ht="15.75" thickBot="1">
      <c r="A35" s="1920"/>
      <c r="B35" s="1921"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75" thickBot="1">
      <c r="A36" s="3374" t="s">
        <v>1757</v>
      </c>
      <c r="B36" s="1923" t="s">
        <v>1758</v>
      </c>
      <c r="C36" s="150"/>
      <c r="D36" s="1924"/>
      <c r="E36" s="1925"/>
      <c r="F36" s="1926"/>
      <c r="G36" s="134"/>
      <c r="H36" s="134"/>
      <c r="I36" s="134"/>
    </row>
    <row r="37" spans="1:15" ht="15.75" thickBot="1">
      <c r="A37" s="3375"/>
      <c r="B37" s="1810" t="s">
        <v>1759</v>
      </c>
      <c r="C37" s="152"/>
      <c r="D37" s="1254"/>
      <c r="E37" s="1254"/>
      <c r="F37" s="1926"/>
      <c r="G37" s="134"/>
      <c r="H37" s="134"/>
      <c r="I37" s="134"/>
    </row>
    <row r="38" spans="1:15" ht="15.75" thickBot="1">
      <c r="A38" s="3376"/>
      <c r="B38" s="1927" t="s">
        <v>1760</v>
      </c>
      <c r="C38" s="683"/>
      <c r="D38" s="1928" t="s">
        <v>1761</v>
      </c>
      <c r="E38" s="1254"/>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3"/>
      <c r="B43" s="1713"/>
      <c r="C43" s="1713"/>
      <c r="D43" s="1713"/>
      <c r="E43" s="1713"/>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51" t="s">
        <v>1771</v>
      </c>
      <c r="B45" s="3352"/>
      <c r="C45" s="3353"/>
      <c r="D45" s="160" t="e">
        <f ca="1">ROUND(H101*F45,0)</f>
        <v>#REF!</v>
      </c>
      <c r="E45" s="161" t="s">
        <v>1772</v>
      </c>
      <c r="F45" s="162">
        <v>1</v>
      </c>
      <c r="G45" s="163" t="s">
        <v>1773</v>
      </c>
      <c r="H45" s="134"/>
      <c r="I45" s="134"/>
      <c r="J45" s="3432" t="s">
        <v>1774</v>
      </c>
      <c r="K45" s="3432"/>
      <c r="L45" s="3432"/>
      <c r="M45" s="3432"/>
      <c r="N45" s="3432"/>
      <c r="O45" s="3432"/>
    </row>
    <row r="46" spans="1:15" ht="14.25" customHeight="1">
      <c r="A46" s="3348" t="s">
        <v>1775</v>
      </c>
      <c r="B46" s="3349"/>
      <c r="C46" s="3349"/>
      <c r="D46" s="3349"/>
      <c r="E46" s="3349"/>
      <c r="F46" s="3349"/>
      <c r="G46" s="3350"/>
      <c r="H46" s="1942"/>
      <c r="I46" s="164"/>
      <c r="J46" s="2698">
        <v>1</v>
      </c>
      <c r="K46" s="3413" t="s">
        <v>1776</v>
      </c>
      <c r="L46" s="3413"/>
      <c r="M46" s="3433"/>
      <c r="N46" s="3433"/>
      <c r="O46" s="3433"/>
    </row>
    <row r="47" spans="1:15" ht="12" customHeight="1">
      <c r="A47" s="165" t="s">
        <v>1777</v>
      </c>
      <c r="B47" s="166"/>
      <c r="C47" s="167"/>
      <c r="D47" s="1200" t="s">
        <v>1778</v>
      </c>
      <c r="E47" s="308" t="s">
        <v>1779</v>
      </c>
      <c r="F47" s="168" t="s">
        <v>1780</v>
      </c>
      <c r="G47" s="2721" t="s">
        <v>1781</v>
      </c>
      <c r="H47" s="2722"/>
      <c r="I47" s="164"/>
      <c r="J47" s="2698">
        <v>2</v>
      </c>
      <c r="K47" s="3413" t="s">
        <v>1782</v>
      </c>
      <c r="L47" s="3413"/>
      <c r="M47" s="3434">
        <f>'数据-取费表'!B2</f>
        <v>44769</v>
      </c>
      <c r="N47" s="3434"/>
      <c r="O47" s="3434"/>
    </row>
    <row r="48" spans="1:15" ht="25.5">
      <c r="A48" s="3379" t="s">
        <v>1783</v>
      </c>
      <c r="B48" s="3362"/>
      <c r="C48" s="3362"/>
      <c r="D48" s="2497" t="b">
        <f>IF(H48="情况1",0,IF(H48="情况2",D52,IF(H48="情况3",D53,IF(H48="情况4",D54))))</f>
        <v>0</v>
      </c>
      <c r="E48" s="2507" t="str">
        <f>IF(H48="情况4","(销售额-原购置价)×税（费）率","销售额×税（费）率")</f>
        <v>销售额×税（费）率</v>
      </c>
      <c r="F48" s="2723">
        <f>IF(H48="情况1","免征",'数据-取费表'!B41)</f>
        <v>5.5000000000000007E-2</v>
      </c>
      <c r="G48" s="2724" t="s">
        <v>1784</v>
      </c>
      <c r="H48" s="2725"/>
      <c r="I48" s="1942"/>
      <c r="J48" s="2698">
        <v>3</v>
      </c>
      <c r="K48" s="3413" t="s">
        <v>1785</v>
      </c>
      <c r="L48" s="3413"/>
      <c r="M48" s="3435" t="e">
        <f ca="1">H101</f>
        <v>#REF!</v>
      </c>
      <c r="N48" s="3435"/>
      <c r="O48" s="3435"/>
    </row>
    <row r="49" spans="1:35" ht="25.5" customHeight="1">
      <c r="A49" s="2506" t="s">
        <v>1786</v>
      </c>
      <c r="B49" s="3346" t="s">
        <v>1787</v>
      </c>
      <c r="C49" s="3346"/>
      <c r="D49" s="1726">
        <v>0</v>
      </c>
      <c r="E49" s="330" t="s">
        <v>1788</v>
      </c>
      <c r="F49" s="2599" t="s">
        <v>34</v>
      </c>
      <c r="G49" s="3419"/>
      <c r="H49" s="2478" t="s">
        <v>2634</v>
      </c>
      <c r="I49" s="2479"/>
      <c r="J49" s="2698">
        <v>4</v>
      </c>
      <c r="K49" s="3413" t="str">
        <f>IF(项目基本情况!E8="房地产抵押价值","房地产抵押价值","抵押担保权已注销时的房地产抵押价值")</f>
        <v>房地产抵押价值</v>
      </c>
      <c r="L49" s="3413"/>
      <c r="M49" s="3435" t="str">
        <f ca="1">IF(项目基本情况!E8="房地产抵押价值",H107,H109)</f>
        <v>——</v>
      </c>
      <c r="N49" s="3435"/>
      <c r="O49" s="3435"/>
    </row>
    <row r="50" spans="1:35" ht="25.5" customHeight="1">
      <c r="A50" s="2726"/>
      <c r="B50" s="3346" t="s">
        <v>1789</v>
      </c>
      <c r="C50" s="3346"/>
      <c r="D50" s="2727"/>
      <c r="E50" s="338"/>
      <c r="F50" s="2599"/>
      <c r="G50" s="3420"/>
      <c r="H50" s="2480" t="s">
        <v>2635</v>
      </c>
      <c r="I50" s="2479"/>
      <c r="J50" s="3432" t="s">
        <v>1790</v>
      </c>
      <c r="K50" s="3432"/>
      <c r="L50" s="3432"/>
      <c r="M50" s="3432"/>
      <c r="N50" s="3432"/>
      <c r="O50" s="3432"/>
    </row>
    <row r="51" spans="1:35" ht="20.45" customHeight="1">
      <c r="A51" s="2728"/>
      <c r="B51" s="3346" t="s">
        <v>1791</v>
      </c>
      <c r="C51" s="3346"/>
      <c r="D51" s="1200"/>
      <c r="E51" s="333"/>
      <c r="F51" s="2599"/>
      <c r="G51" s="3421"/>
      <c r="H51" s="2480" t="s">
        <v>2636</v>
      </c>
      <c r="I51" s="2479"/>
      <c r="J51" s="2699" t="s">
        <v>1792</v>
      </c>
      <c r="K51" s="3413" t="s">
        <v>1793</v>
      </c>
      <c r="L51" s="3413"/>
      <c r="M51" s="2699" t="s">
        <v>1794</v>
      </c>
      <c r="N51" s="2699" t="s">
        <v>1795</v>
      </c>
      <c r="O51" s="2699" t="s">
        <v>1796</v>
      </c>
    </row>
    <row r="52" spans="1:35" ht="24" customHeight="1">
      <c r="A52" s="2508" t="s">
        <v>1797</v>
      </c>
      <c r="B52" s="3346" t="s">
        <v>1798</v>
      </c>
      <c r="C52" s="3346"/>
      <c r="D52" s="1200" t="e">
        <f ca="1">ROUND(D45*'数据-取费表'!B41/(1+'数据-取费表'!C42),0)</f>
        <v>#REF!</v>
      </c>
      <c r="E52" s="2507" t="s">
        <v>1799</v>
      </c>
      <c r="F52" s="2729">
        <f>'数据-取费表'!B41</f>
        <v>5.5000000000000007E-2</v>
      </c>
      <c r="G52" s="2730"/>
      <c r="H52" s="2719"/>
      <c r="I52" s="1943"/>
      <c r="J52" s="2698">
        <v>1</v>
      </c>
      <c r="K52" s="3414" t="s">
        <v>1800</v>
      </c>
      <c r="L52" s="3414"/>
      <c r="M52" s="2700" t="b">
        <f>D48</f>
        <v>0</v>
      </c>
      <c r="N52" s="2698" t="str">
        <f>E48</f>
        <v>销售额×税（费）率</v>
      </c>
      <c r="O52" s="2701">
        <f>F48</f>
        <v>5.5000000000000007E-2</v>
      </c>
    </row>
    <row r="53" spans="1:35" ht="12" customHeight="1">
      <c r="A53" s="2508" t="s">
        <v>1801</v>
      </c>
      <c r="B53" s="3372" t="s">
        <v>2791</v>
      </c>
      <c r="C53" s="3373"/>
      <c r="D53" s="1200" t="e">
        <f ca="1">ROUND(D45*'数据-取费表'!B41/(1+'数据-取费表'!C42),0)</f>
        <v>#REF!</v>
      </c>
      <c r="E53" s="2507" t="s">
        <v>1799</v>
      </c>
      <c r="F53" s="2729">
        <f>'数据-取费表'!B41</f>
        <v>5.5000000000000007E-2</v>
      </c>
      <c r="G53" s="2730"/>
      <c r="H53" s="2719"/>
      <c r="I53" s="1943"/>
      <c r="J53" s="2698">
        <v>2</v>
      </c>
      <c r="K53" s="3414" t="s">
        <v>1802</v>
      </c>
      <c r="L53" s="3414"/>
      <c r="M53" s="2700" t="e">
        <f t="shared" ref="M53:O54" ca="1" si="0">D55</f>
        <v>#REF!</v>
      </c>
      <c r="N53" s="2698" t="str">
        <f t="shared" si="0"/>
        <v>销售额×税（费）率</v>
      </c>
      <c r="O53" s="2701" t="str">
        <f t="shared" si="0"/>
        <v>免征</v>
      </c>
    </row>
    <row r="54" spans="1:35" ht="12" customHeight="1">
      <c r="A54" s="2508" t="s">
        <v>1803</v>
      </c>
      <c r="B54" s="3372" t="s">
        <v>2792</v>
      </c>
      <c r="C54" s="3373"/>
      <c r="D54" s="1200" t="e">
        <f ca="1">C68</f>
        <v>#REF!</v>
      </c>
      <c r="E54" s="333" t="s">
        <v>1804</v>
      </c>
      <c r="F54" s="2729">
        <f>'数据-取费表'!B41</f>
        <v>5.5000000000000007E-2</v>
      </c>
      <c r="G54" s="2730"/>
      <c r="H54" s="2731"/>
      <c r="I54" s="1943"/>
      <c r="J54" s="2698">
        <v>3</v>
      </c>
      <c r="K54" s="3414" t="s">
        <v>1805</v>
      </c>
      <c r="L54" s="3414"/>
      <c r="M54" s="2700" t="e">
        <f t="shared" ca="1" si="0"/>
        <v>#REF!</v>
      </c>
      <c r="N54" s="2698" t="str">
        <f t="shared" si="0"/>
        <v>增值额×税（费）率</v>
      </c>
      <c r="O54" s="2702" t="str">
        <f t="shared" si="0"/>
        <v>免征</v>
      </c>
    </row>
    <row r="55" spans="1:35" ht="24" customHeight="1">
      <c r="A55" s="3361" t="s">
        <v>1806</v>
      </c>
      <c r="B55" s="3362"/>
      <c r="C55" s="3362"/>
      <c r="D55" s="2497" t="e">
        <f ca="1">IF(H55="个人住宅",0,ROUND(D45*I55,0))</f>
        <v>#REF!</v>
      </c>
      <c r="E55" s="2507" t="s">
        <v>1807</v>
      </c>
      <c r="F55" s="2729" t="str">
        <f>IF(H55="正常",I55,"免征")</f>
        <v>免征</v>
      </c>
      <c r="G55" s="2730"/>
      <c r="H55" s="2725"/>
      <c r="I55" s="170">
        <f>'数据-取费表'!B49</f>
        <v>5.0000000000000001E-4</v>
      </c>
      <c r="J55" s="2698">
        <f>IF(H59="非个人房产","",4)</f>
        <v>4</v>
      </c>
      <c r="K55" s="3414" t="str">
        <f>IF(H59="非个人房产","——","个人所得税")</f>
        <v>个人所得税</v>
      </c>
      <c r="L55" s="3414"/>
      <c r="M55" s="2703" t="e">
        <f ca="1">D59</f>
        <v>#REF!</v>
      </c>
      <c r="N55" s="2178" t="str">
        <f>E59</f>
        <v>差额计税</v>
      </c>
      <c r="O55" s="2704">
        <f>F59</f>
        <v>0.01</v>
      </c>
    </row>
    <row r="56" spans="1:35" ht="24.75">
      <c r="A56" s="3361" t="s">
        <v>1808</v>
      </c>
      <c r="B56" s="3362"/>
      <c r="C56" s="3362"/>
      <c r="D56" s="2497" t="e">
        <f ca="1">IF(H56="个人住宅",D57,D58)</f>
        <v>#REF!</v>
      </c>
      <c r="E56" s="2507" t="s">
        <v>1809</v>
      </c>
      <c r="F56" s="2729" t="str">
        <f>IF(H56="正常",F58,"免征")</f>
        <v>免征</v>
      </c>
      <c r="G56" s="2732" t="s">
        <v>1810</v>
      </c>
      <c r="H56" s="2733"/>
      <c r="I56" s="1944"/>
      <c r="J56" s="2698" t="str">
        <f>IF(项目基本情况!K6="上海银行",IF(J55="",4,J55+1),"")</f>
        <v/>
      </c>
      <c r="K56" s="3437" t="str">
        <f>IF(项目基本情况!K6="上海银行","其他处置费用","")</f>
        <v/>
      </c>
      <c r="L56" s="3438"/>
      <c r="M56" s="2700" t="str">
        <f>IF(项目基本情况!K6="上海银行",M69,"")</f>
        <v/>
      </c>
      <c r="N56" s="3437" t="str">
        <f>IF(项目基本情况!K6="上海银行","包含处置中涉及的律师、诉讼、拍卖、评估等费用","")</f>
        <v/>
      </c>
      <c r="O56" s="3440"/>
    </row>
    <row r="57" spans="1:35" ht="12.75">
      <c r="A57" s="2508" t="s">
        <v>1786</v>
      </c>
      <c r="B57" s="3372" t="s">
        <v>1811</v>
      </c>
      <c r="C57" s="3373"/>
      <c r="D57" s="1726">
        <v>0</v>
      </c>
      <c r="E57" s="330" t="s">
        <v>1788</v>
      </c>
      <c r="F57" s="308"/>
      <c r="G57" s="2730"/>
      <c r="H57" s="2734"/>
      <c r="I57" s="1944"/>
      <c r="J57" s="3414">
        <f>IF(AND(J55="",J56=""),4,IF(项目基本情况!K6="上海银行",结果表!J56+1,结果表!J55+1))</f>
        <v>5</v>
      </c>
      <c r="K57" s="3414" t="s">
        <v>1812</v>
      </c>
      <c r="L57" s="2705" t="s">
        <v>1813</v>
      </c>
      <c r="M57" s="2706"/>
      <c r="N57" s="2707">
        <f ca="1">SUMIF(M52:M56,"&lt;9e307")</f>
        <v>0</v>
      </c>
      <c r="O57" s="2708"/>
      <c r="P57" s="2868" t="e">
        <f ca="1">N57/M49</f>
        <v>#VALUE!</v>
      </c>
    </row>
    <row r="58" spans="1:35" ht="24.75">
      <c r="A58" s="2508" t="s">
        <v>1797</v>
      </c>
      <c r="B58" s="3372" t="s">
        <v>1814</v>
      </c>
      <c r="C58" s="3346"/>
      <c r="D58" s="2497" t="e">
        <f ca="1">IF(H58="转让取得",C81,C97)</f>
        <v>#REF!</v>
      </c>
      <c r="E58" s="2507" t="s">
        <v>1809</v>
      </c>
      <c r="F58" s="308" t="s">
        <v>34</v>
      </c>
      <c r="G58" s="2730"/>
      <c r="H58" s="2733"/>
      <c r="I58" s="1944"/>
      <c r="J58" s="3414"/>
      <c r="K58" s="3414"/>
      <c r="L58" s="2705" t="s">
        <v>1815</v>
      </c>
      <c r="M58" s="2709"/>
      <c r="N58" s="2710" t="str">
        <f ca="1">NUMBERSTRING(INT(N57*10000),2)&amp;"元整"</f>
        <v>零元整</v>
      </c>
      <c r="O58" s="2711"/>
    </row>
    <row r="59" spans="1:35" ht="24.75" thickBot="1">
      <c r="A59" s="3417" t="s">
        <v>1816</v>
      </c>
      <c r="B59" s="3418"/>
      <c r="C59" s="3418"/>
      <c r="D59" s="2735" t="e">
        <f ca="1">IF(H59="非个人房产","——",IF(H59="个人住宅（满五唯一有凭证）",0,IF(H59="个人其他（无凭证）",ROUND(D45*F59,0),ROUND(C67*F59,0))))</f>
        <v>#REF!</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415">
        <f>J57+1</f>
        <v>6</v>
      </c>
      <c r="K59" s="3414" t="s">
        <v>1817</v>
      </c>
      <c r="L59" s="2698" t="s">
        <v>1813</v>
      </c>
      <c r="M59" s="2712"/>
      <c r="N59" s="2713" t="e">
        <f ca="1">M49-N57</f>
        <v>#VALUE!</v>
      </c>
      <c r="O59" s="2714"/>
    </row>
    <row r="60" spans="1:35" ht="12" customHeight="1">
      <c r="A60" s="1945"/>
      <c r="B60" s="1883"/>
      <c r="C60" s="1883"/>
      <c r="D60" s="1883"/>
      <c r="E60" s="1714"/>
      <c r="F60" s="1944"/>
      <c r="G60" s="1944"/>
      <c r="H60" s="1946"/>
      <c r="I60" s="134"/>
      <c r="J60" s="3416"/>
      <c r="K60" s="3414"/>
      <c r="L60" s="2705" t="s">
        <v>1815</v>
      </c>
      <c r="M60" s="2709"/>
      <c r="N60" s="2710" t="e">
        <f ca="1">NUMBERSTRING(INT(N59*10000),2)&amp;"元整"</f>
        <v>#VALUE!</v>
      </c>
      <c r="O60" s="2711"/>
    </row>
    <row r="61" spans="1:35" ht="13.5" thickBot="1">
      <c r="A61" s="3359" t="s">
        <v>1818</v>
      </c>
      <c r="B61" s="3359"/>
      <c r="C61" s="3359"/>
      <c r="D61" s="3359"/>
      <c r="E61" s="3359"/>
      <c r="F61" s="1944"/>
      <c r="G61" s="1944"/>
      <c r="H61" s="1946"/>
      <c r="I61" s="134"/>
      <c r="J61" s="2698">
        <f>J59+1</f>
        <v>7</v>
      </c>
      <c r="K61" s="3414" t="s">
        <v>1819</v>
      </c>
      <c r="L61" s="3414"/>
      <c r="M61" s="2715"/>
      <c r="N61" s="2716" t="e">
        <f ca="1">ROUND(N59*10000/'数据-汇总表'!E3,0)</f>
        <v>#VALUE!</v>
      </c>
      <c r="O61" s="2717"/>
    </row>
    <row r="62" spans="1:35" ht="12.75">
      <c r="A62" s="3377" t="s">
        <v>1820</v>
      </c>
      <c r="B62" s="3378"/>
      <c r="C62" s="2159"/>
      <c r="D62" s="2159" t="s">
        <v>1821</v>
      </c>
      <c r="E62" s="171" t="s">
        <v>1822</v>
      </c>
      <c r="F62" s="1944"/>
      <c r="G62" s="1944"/>
      <c r="H62" s="1946"/>
      <c r="I62" s="134"/>
    </row>
    <row r="63" spans="1:35" ht="12.75">
      <c r="A63" s="178" t="s">
        <v>594</v>
      </c>
      <c r="B63" s="172" t="s">
        <v>1823</v>
      </c>
      <c r="C63" s="2739" t="e">
        <f ca="1">ROUND((C64+C65)/(1+'数据-取费表'!C42),0)</f>
        <v>#REF!</v>
      </c>
      <c r="D63" s="172"/>
      <c r="E63" s="173"/>
      <c r="F63" s="1944"/>
      <c r="G63" s="1944"/>
      <c r="H63" s="1946"/>
      <c r="I63" s="134"/>
      <c r="J63" s="3439" t="s">
        <v>1824</v>
      </c>
      <c r="K63" s="1453" t="s">
        <v>1825</v>
      </c>
      <c r="L63" s="1453" t="e">
        <f ca="1">IF(M49&gt;10000,M49*0.5%,IF(AND(M49&gt;1000,M49&lt;=10000),M49*1%,IF(AND(M49&gt;100,M49&lt;=1000),M49*3%,IF(AND(M49&gt;10,M49&lt;=100),M49*5%,M49*8%))))</f>
        <v>#VALUE!</v>
      </c>
      <c r="M63" s="308" t="e">
        <f ca="1">ROUND(L63,1)</f>
        <v>#VALUE!</v>
      </c>
      <c r="N63" s="2718"/>
      <c r="Z63" s="1888"/>
      <c r="AI63" s="1889"/>
    </row>
    <row r="64" spans="1:35" ht="14.25" customHeight="1">
      <c r="A64" s="174" t="s">
        <v>589</v>
      </c>
      <c r="B64" s="175" t="s">
        <v>1826</v>
      </c>
      <c r="C64" s="2740" t="e">
        <f ca="1">D45</f>
        <v>#REF!</v>
      </c>
      <c r="D64" s="175" t="s">
        <v>32</v>
      </c>
      <c r="E64" s="177"/>
      <c r="F64" s="1944"/>
      <c r="G64" s="1944"/>
      <c r="H64" s="1946"/>
      <c r="I64" s="134"/>
      <c r="J64" s="3439"/>
      <c r="K64" s="1453" t="s">
        <v>1827</v>
      </c>
      <c r="L64" s="1453"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9" t="s">
        <v>1828</v>
      </c>
      <c r="Z64" s="1888"/>
      <c r="AI64" s="1889"/>
    </row>
    <row r="65" spans="1:35" ht="14.25" customHeight="1">
      <c r="A65" s="174" t="s">
        <v>590</v>
      </c>
      <c r="B65" s="175" t="s">
        <v>1829</v>
      </c>
      <c r="C65" s="2741"/>
      <c r="D65" s="175"/>
      <c r="E65" s="177"/>
      <c r="F65" s="1944"/>
      <c r="G65" s="1944"/>
      <c r="H65" s="1946"/>
      <c r="I65" s="134"/>
      <c r="J65" s="3439"/>
      <c r="K65" s="1453" t="s">
        <v>1830</v>
      </c>
      <c r="L65" s="1453" t="e">
        <f ca="1">IF(M49&gt;1000,M49*0.1%,IF(AND(M49&gt;500,M49&lt;=1000),M49*0.5%,IF(AND(M49&gt;50,M49&lt;=500),M49*1%,IF(AND(M49&gt;1,M49&lt;=50),M49*1.5%))))</f>
        <v>#VALUE!</v>
      </c>
      <c r="M65" s="308" t="e">
        <f t="shared" ca="1" si="1"/>
        <v>#VALUE!</v>
      </c>
      <c r="N65" s="2719" t="s">
        <v>1828</v>
      </c>
      <c r="Z65" s="1888"/>
      <c r="AI65" s="1889"/>
    </row>
    <row r="66" spans="1:35" ht="14.25" customHeight="1">
      <c r="A66" s="178" t="s">
        <v>591</v>
      </c>
      <c r="B66" s="179" t="s">
        <v>1831</v>
      </c>
      <c r="C66" s="2742"/>
      <c r="D66" s="179" t="s">
        <v>32</v>
      </c>
      <c r="E66" s="1460" t="s">
        <v>1096</v>
      </c>
      <c r="F66" s="1944"/>
      <c r="G66" s="1944"/>
      <c r="H66" s="1946"/>
      <c r="I66" s="134"/>
      <c r="J66" s="3439"/>
      <c r="K66" s="1453" t="s">
        <v>1832</v>
      </c>
      <c r="L66" s="1453" t="e">
        <f ca="1">M49*0.5%</f>
        <v>#VALUE!</v>
      </c>
      <c r="M66" s="308" t="e">
        <f ca="1">IF(L66&gt;0.5,0.5,ROUND(L66,0))</f>
        <v>#VALUE!</v>
      </c>
      <c r="N66" s="2719" t="s">
        <v>1833</v>
      </c>
      <c r="Z66" s="1888"/>
      <c r="AI66" s="1889"/>
    </row>
    <row r="67" spans="1:35" ht="14.25" customHeight="1">
      <c r="A67" s="178" t="s">
        <v>592</v>
      </c>
      <c r="B67" s="179" t="s">
        <v>1834</v>
      </c>
      <c r="C67" s="2743" t="e">
        <f ca="1">C63-C66</f>
        <v>#REF!</v>
      </c>
      <c r="D67" s="175" t="s">
        <v>32</v>
      </c>
      <c r="E67" s="177"/>
      <c r="F67" s="1944"/>
      <c r="G67" s="1944"/>
      <c r="H67" s="1946"/>
      <c r="I67" s="134"/>
      <c r="J67" s="3439"/>
      <c r="K67" s="1453" t="s">
        <v>1835</v>
      </c>
      <c r="L67" s="1453"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8"/>
      <c r="Z67" s="1888"/>
      <c r="AI67" s="1889"/>
    </row>
    <row r="68" spans="1:35" ht="14.25" customHeight="1" thickBot="1">
      <c r="A68" s="181" t="s">
        <v>593</v>
      </c>
      <c r="B68" s="182" t="s">
        <v>1836</v>
      </c>
      <c r="C68" s="2744" t="e">
        <f ca="1">IF(C67&lt;=0,0,ROUND(C67*D68,0))</f>
        <v>#REF!</v>
      </c>
      <c r="D68" s="2745">
        <f>'数据-取费表'!B41</f>
        <v>5.5000000000000007E-2</v>
      </c>
      <c r="E68" s="184"/>
      <c r="F68" s="1944"/>
      <c r="G68" s="1944"/>
      <c r="H68" s="1946"/>
      <c r="I68" s="134"/>
      <c r="J68" s="3439"/>
      <c r="K68" s="1453" t="s">
        <v>1837</v>
      </c>
      <c r="L68" s="1453" t="e">
        <f ca="1">IF(M49&gt;10000,M49*0.5%,IF(AND(M49&gt;5000,M49&lt;=10000),M49*1%,IF(AND(M49&gt;1000,M49&lt;=5000),M49*2%,IF(AND(M49&gt;200,M49&lt;=1000),M49*3%,M49*5%))))</f>
        <v>#VALUE!</v>
      </c>
      <c r="M68" s="308" t="e">
        <f ca="1">ROUND(L68,1)</f>
        <v>#VALUE!</v>
      </c>
      <c r="N68" s="2718"/>
      <c r="Z68" s="1888"/>
      <c r="AI68" s="1889"/>
    </row>
    <row r="69" spans="1:35" s="1908" customFormat="1" ht="16.5" customHeight="1">
      <c r="A69" s="1947"/>
      <c r="B69" s="1948"/>
      <c r="C69" s="1949"/>
      <c r="D69" s="1950"/>
      <c r="E69" s="1951"/>
      <c r="F69" s="1714"/>
      <c r="G69" s="1714"/>
      <c r="H69" s="1713"/>
      <c r="I69" s="1883"/>
      <c r="J69" s="3439"/>
      <c r="K69" s="1453" t="s">
        <v>1838</v>
      </c>
      <c r="L69" s="1453"/>
      <c r="M69" s="308" t="e">
        <f ca="1">ROUND(SUM(M63:M68),0)</f>
        <v>#VALUE!</v>
      </c>
      <c r="N69" s="2720" t="e">
        <f ca="1">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398" t="s">
        <v>1839</v>
      </c>
      <c r="B70" s="3399"/>
      <c r="C70" s="3399"/>
      <c r="D70" s="3399"/>
      <c r="E70" s="3399"/>
      <c r="F70" s="3399"/>
      <c r="G70" s="3399"/>
      <c r="H70" s="3399"/>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77" t="s">
        <v>1820</v>
      </c>
      <c r="B71" s="3378"/>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t="e">
        <f ca="1">ROUND(D45/(1+'数据-取费表'!C42),0)</f>
        <v>#REF!</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t="e">
        <f ca="1">C74+C78</f>
        <v>#REF!</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372" t="s">
        <v>1847</v>
      </c>
      <c r="F76" s="3346"/>
      <c r="G76" s="3346"/>
      <c r="H76" s="3397"/>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t="e">
        <f ca="1">ROUND(D45*D78/(1+'数据-取费表'!C42),0)</f>
        <v>#REF!</v>
      </c>
      <c r="D78" s="2752">
        <f>'数据-取费表'!B43</f>
        <v>5.000000000000001E-3</v>
      </c>
      <c r="E78" s="3356" t="s">
        <v>1851</v>
      </c>
      <c r="F78" s="3357"/>
      <c r="G78" s="3357"/>
      <c r="H78" s="3366"/>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3" t="e">
        <f ca="1">C72-C73</f>
        <v>#REF!</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t="e">
        <f ca="1">IF(C79&lt;=0,0,C79/C73)</f>
        <v>#REF!</v>
      </c>
      <c r="D80" s="175" t="s">
        <v>32</v>
      </c>
      <c r="E80" s="2497" t="e">
        <f ca="1">IF(C80&gt;=200%,"增值额超过扣除项目金额200%",IF(C80&gt;=100%,"增值额超过扣除项目金额100%，未超过200%",IF(C80&gt;=50%,"增值额超过扣除项目金额50%，未超过100%",IF(C80&lt;50%,"增值额未超过扣除项目金额50%"))))</f>
        <v>#REF!</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t="e">
        <f ca="1">ROUND(IF(C79&lt;=0,0,IF(C80&gt;=200%,C79*60%-C73*35%,IF(C80&gt;=100%,C79*50%-C73*15%,IF(C80&gt;=50%,C79*40%-C73*5%,IF(C80&lt;50%,C79*30%,0))))),0)</f>
        <v>#REF!</v>
      </c>
      <c r="D81" s="275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98" t="s">
        <v>1855</v>
      </c>
      <c r="B83" s="3399"/>
      <c r="C83" s="3399"/>
      <c r="D83" s="3399"/>
      <c r="E83" s="3399"/>
      <c r="F83" s="3399"/>
      <c r="G83" s="3399"/>
      <c r="H83" s="3399"/>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77" t="s">
        <v>1820</v>
      </c>
      <c r="B84" s="3378"/>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t="e">
        <f ca="1">ROUND(D45/(1+'数据-取费表'!C42),0)</f>
        <v>#REF!</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t="e">
        <f ca="1">IF(H88="仅含出让金",C87+C90+C91+C92+C93+C94,C87+C91+C92+C93+C94)</f>
        <v>#REF!</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2500"/>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2500"/>
      <c r="G90" s="3441" t="s">
        <v>2629</v>
      </c>
      <c r="H90" s="3442"/>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56" t="s">
        <v>1864</v>
      </c>
      <c r="F91" s="3357"/>
      <c r="G91" s="3357"/>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56" t="s">
        <v>1867</v>
      </c>
      <c r="F92" s="3357"/>
      <c r="G92" s="3357"/>
      <c r="H92" s="3366"/>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t="e">
        <f ca="1">ROUND(D45*D93/(1+'数据-取费表'!C42),0)</f>
        <v>#REF!</v>
      </c>
      <c r="D93" s="2752">
        <f>'数据-取费表'!B43</f>
        <v>5.000000000000001E-3</v>
      </c>
      <c r="E93" s="3356" t="s">
        <v>1851</v>
      </c>
      <c r="F93" s="3357"/>
      <c r="G93" s="3357"/>
      <c r="H93" s="3366"/>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367" t="s">
        <v>1871</v>
      </c>
      <c r="F94" s="3368"/>
      <c r="G94" s="3368"/>
      <c r="H94" s="3369"/>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3" t="e">
        <f ca="1">ROUND(C85-C86,0)</f>
        <v>#REF!</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t="e">
        <f ca="1">IF(C95&lt;=0,0,C95/C86)</f>
        <v>#REF!</v>
      </c>
      <c r="D96" s="175" t="s">
        <v>32</v>
      </c>
      <c r="E96" s="2497" t="e">
        <f ca="1">IF(C96&gt;=200%,"增值额超过扣除项目金额200%",IF(C96&gt;=100%,"增值额超过扣除项目金额100%，未超过200%",IF(C96&gt;=50%,"增值额超过扣除项目金额50%，未超过100%",IF(C96&lt;50%,"增值额未超过扣除项目金额50%"))))</f>
        <v>#REF!</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t="e">
        <f ca="1">ROUND(IF(C95&lt;=0,0,IF(C96&gt;=200%,C95*60%-C86*35%,IF(C96&gt;=100%,C95*50%-C86*15%,IF(C96&gt;=50%,C95*40%-C86*5%,IF(C96&lt;50%,C95*30%,0))))),0)</f>
        <v>#REF!</v>
      </c>
      <c r="D97" s="275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4"/>
      <c r="F98" s="1714"/>
      <c r="G98" s="1714"/>
      <c r="H98" s="1713"/>
      <c r="I98" s="134"/>
    </row>
    <row r="99" spans="1:35" ht="21.75" customHeight="1" thickBot="1">
      <c r="A99" s="1936" t="s">
        <v>1872</v>
      </c>
      <c r="B99" s="1883"/>
      <c r="C99" s="1883"/>
      <c r="D99" s="1883"/>
      <c r="E99" s="1714"/>
      <c r="F99" s="1714"/>
      <c r="G99" s="1714"/>
      <c r="H99" s="1713"/>
      <c r="I99" s="134"/>
    </row>
    <row r="100" spans="1:35" ht="18.75" customHeight="1">
      <c r="A100" s="3340" t="s">
        <v>1873</v>
      </c>
      <c r="B100" s="3341"/>
      <c r="C100" s="3341"/>
      <c r="D100" s="3358"/>
      <c r="E100" s="3341" t="s">
        <v>1874</v>
      </c>
      <c r="F100" s="3341"/>
      <c r="G100" s="3341"/>
      <c r="H100" s="3358"/>
      <c r="I100" s="134"/>
    </row>
    <row r="101" spans="1:35" ht="18.75" customHeight="1">
      <c r="A101" s="3422" t="s">
        <v>1875</v>
      </c>
      <c r="B101" s="3423"/>
      <c r="C101" s="2760" t="str">
        <f>C4</f>
        <v>比较法-商业</v>
      </c>
      <c r="D101" s="2761" t="str">
        <f>D4</f>
        <v>收益法</v>
      </c>
      <c r="E101" s="3436" t="s">
        <v>1876</v>
      </c>
      <c r="F101" s="3390"/>
      <c r="G101" s="1963" t="s">
        <v>1877</v>
      </c>
      <c r="H101" s="2770" t="e">
        <f ca="1">H118</f>
        <v>#REF!</v>
      </c>
      <c r="I101" s="134"/>
    </row>
    <row r="102" spans="1:35" ht="18.75" customHeight="1">
      <c r="A102" s="3392" t="s">
        <v>1878</v>
      </c>
      <c r="B102" s="2759" t="s">
        <v>1877</v>
      </c>
      <c r="C102" s="2760">
        <f ca="1">C19</f>
        <v>2650</v>
      </c>
      <c r="D102" s="2761">
        <f ca="1">D19</f>
        <v>1605</v>
      </c>
      <c r="E102" s="3436"/>
      <c r="F102" s="3390"/>
      <c r="G102" s="1963" t="s">
        <v>1879</v>
      </c>
      <c r="H102" s="2730" t="e">
        <f ca="1">I118</f>
        <v>#REF!</v>
      </c>
      <c r="I102" s="134"/>
    </row>
    <row r="103" spans="1:35" ht="42.75" customHeight="1">
      <c r="A103" s="3392"/>
      <c r="B103" s="2759" t="s">
        <v>1879</v>
      </c>
      <c r="C103" s="2762">
        <f ca="1">C20</f>
        <v>50000</v>
      </c>
      <c r="D103" s="2763">
        <f ca="1">D20</f>
        <v>30289</v>
      </c>
      <c r="E103" s="3430" t="s">
        <v>1880</v>
      </c>
      <c r="F103" s="3431"/>
      <c r="G103" s="1964" t="s">
        <v>1881</v>
      </c>
      <c r="H103" s="2770">
        <f>IF(D36="正常操作",H104+H105+H106,H105+H106)</f>
        <v>0</v>
      </c>
      <c r="I103" s="134"/>
    </row>
    <row r="104" spans="1:35" ht="18.75" customHeight="1">
      <c r="A104" s="3392" t="s">
        <v>1882</v>
      </c>
      <c r="B104" s="2764" t="s">
        <v>1877</v>
      </c>
      <c r="C104" s="2765" t="e">
        <f ca="1">H118</f>
        <v>#REF!</v>
      </c>
      <c r="D104" s="2766"/>
      <c r="E104" s="1810" t="s">
        <v>1883</v>
      </c>
      <c r="F104" s="1802"/>
      <c r="G104" s="1964" t="s">
        <v>1881</v>
      </c>
      <c r="H104" s="2771">
        <f>IF(D36="同一抵押权人同一抵押物续贷",C36&amp;"（续贷，未扣减，详见特别提示）",C36)</f>
        <v>0</v>
      </c>
      <c r="I104" s="134"/>
    </row>
    <row r="105" spans="1:35" ht="18.75" customHeight="1" thickBot="1">
      <c r="A105" s="3393"/>
      <c r="B105" s="2767" t="s">
        <v>1879</v>
      </c>
      <c r="C105" s="2768" t="e">
        <f ca="1">I118</f>
        <v>#REF!</v>
      </c>
      <c r="D105" s="2769"/>
      <c r="E105" s="1810" t="s">
        <v>1884</v>
      </c>
      <c r="F105" s="1802"/>
      <c r="G105" s="1964" t="s">
        <v>1881</v>
      </c>
      <c r="H105" s="2772">
        <f>C37</f>
        <v>0</v>
      </c>
      <c r="I105" s="134"/>
    </row>
    <row r="106" spans="1:35" ht="18.75" customHeight="1">
      <c r="A106" s="1883" t="s">
        <v>1885</v>
      </c>
      <c r="B106" s="1883"/>
      <c r="C106" s="1883"/>
      <c r="D106" s="1883"/>
      <c r="E106" s="1965" t="s">
        <v>1886</v>
      </c>
      <c r="F106" s="1802"/>
      <c r="G106" s="1964" t="s">
        <v>1881</v>
      </c>
      <c r="H106" s="2772">
        <f>C38</f>
        <v>0</v>
      </c>
      <c r="I106" s="134"/>
    </row>
    <row r="107" spans="1:35" ht="18.75" customHeight="1">
      <c r="A107" s="134"/>
      <c r="B107" s="134"/>
      <c r="C107" s="134"/>
      <c r="D107" s="134"/>
      <c r="E107" s="3389" t="str">
        <f>IF(项目基本情况!E8="已注销","——","3.房地产抵押价值")</f>
        <v>3.房地产抵押价值</v>
      </c>
      <c r="F107" s="3390"/>
      <c r="G107" s="1963" t="s">
        <v>1877</v>
      </c>
      <c r="H107" s="2770" t="e">
        <f ca="1">IF(E107="——","——",H101-H103)</f>
        <v>#REF!</v>
      </c>
      <c r="I107" s="134"/>
    </row>
    <row r="108" spans="1:35" ht="18.75" customHeight="1">
      <c r="A108" s="134"/>
      <c r="B108" s="134"/>
      <c r="C108" s="134"/>
      <c r="D108" s="134"/>
      <c r="E108" s="3389"/>
      <c r="F108" s="3390"/>
      <c r="G108" s="1963" t="s">
        <v>1879</v>
      </c>
      <c r="H108" s="2730" t="e">
        <f ca="1">ROUND(H107*10000/'数据-汇总表'!E3,0)</f>
        <v>#REF!</v>
      </c>
      <c r="I108" s="134"/>
    </row>
    <row r="109" spans="1:35" ht="18.75" customHeight="1">
      <c r="A109" s="134"/>
      <c r="B109" s="134"/>
      <c r="C109" s="134"/>
      <c r="D109" s="134"/>
      <c r="E109" s="3389" t="str">
        <f>IF(项目基本情况!E8="已注销及未注销","4.抵押担保权已注销时的房地产抵押价值",IF(项目基本情况!E8="已注销","3.抵押担保权已注销时的房地产抵押价值","——"))</f>
        <v>——</v>
      </c>
      <c r="F109" s="3390"/>
      <c r="G109" s="1963" t="s">
        <v>1877</v>
      </c>
      <c r="H109" s="2773" t="str">
        <f>IF(E109="——","——",H101-H105-H106)</f>
        <v>——</v>
      </c>
      <c r="I109" s="134"/>
    </row>
    <row r="110" spans="1:35" ht="18.75" customHeight="1">
      <c r="A110" s="134"/>
      <c r="B110" s="134"/>
      <c r="C110" s="134"/>
      <c r="D110" s="134"/>
      <c r="E110" s="3389"/>
      <c r="F110" s="3390"/>
      <c r="G110" s="1963" t="s">
        <v>1879</v>
      </c>
      <c r="H110" s="2730" t="str">
        <f>IF(H109="——","——",ROUND(H109*10000/'数据-汇总表'!E3,0))</f>
        <v>——</v>
      </c>
      <c r="I110" s="134"/>
    </row>
    <row r="111" spans="1:35" ht="18.75" customHeight="1">
      <c r="A111" s="134"/>
      <c r="B111" s="134"/>
      <c r="C111" s="134"/>
      <c r="D111" s="134"/>
      <c r="E111" s="3424" t="str">
        <f>IF(项目基本情况!E9="抵押净值",IF(OR(项目基本情况!E8="已注销",项目基本情况!E8="房地产抵押价值"),"4.抵押净值","5.抵押净值"),"——")</f>
        <v>——</v>
      </c>
      <c r="F111" s="3391"/>
      <c r="G111" s="1963" t="s">
        <v>1877</v>
      </c>
      <c r="H111" s="2770" t="str">
        <f>IF(E111="——","——",N59)</f>
        <v>——</v>
      </c>
      <c r="I111" s="134"/>
    </row>
    <row r="112" spans="1:35" ht="18.75" customHeight="1" thickBot="1">
      <c r="A112" s="134"/>
      <c r="B112" s="134"/>
      <c r="C112" s="134"/>
      <c r="D112" s="134"/>
      <c r="E112" s="3425"/>
      <c r="F112" s="3426"/>
      <c r="G112" s="1966" t="s">
        <v>1879</v>
      </c>
      <c r="H112" s="2774" t="str">
        <f>IF(E111="——","——",N61)</f>
        <v>——</v>
      </c>
      <c r="I112" s="134"/>
    </row>
    <row r="113" spans="1:27" ht="18.75" customHeight="1">
      <c r="A113" s="134"/>
      <c r="B113" s="134"/>
      <c r="C113" s="134"/>
      <c r="D113" s="134"/>
      <c r="E113" s="3394" t="s">
        <v>1885</v>
      </c>
      <c r="F113" s="3394"/>
      <c r="G113" s="3394"/>
      <c r="H113" s="3394"/>
      <c r="I113" s="134"/>
    </row>
    <row r="114" spans="1:27" ht="3.75" customHeight="1">
      <c r="A114" s="1883"/>
      <c r="B114" s="1883"/>
      <c r="C114" s="1883"/>
      <c r="D114" s="1883"/>
      <c r="E114" s="1945"/>
      <c r="F114" s="1945"/>
      <c r="G114" s="1945"/>
      <c r="H114" s="1945"/>
      <c r="I114" s="1883"/>
    </row>
    <row r="115" spans="1:27" ht="18.75" customHeight="1">
      <c r="A115" s="3407" t="s">
        <v>1887</v>
      </c>
      <c r="B115" s="3408"/>
      <c r="C115" s="3408"/>
      <c r="D115" s="3408"/>
      <c r="E115" s="3408"/>
      <c r="F115" s="3408"/>
      <c r="G115" s="3408"/>
      <c r="H115" s="3408"/>
      <c r="I115" s="3409"/>
    </row>
    <row r="116" spans="1:27" ht="27" customHeight="1">
      <c r="A116" s="3360" t="s">
        <v>1888</v>
      </c>
      <c r="B116" s="3395" t="s">
        <v>1889</v>
      </c>
      <c r="C116" s="3395" t="s">
        <v>1890</v>
      </c>
      <c r="D116" s="3411" t="s">
        <v>1891</v>
      </c>
      <c r="E116" s="3412"/>
      <c r="F116" s="3403" t="s">
        <v>1892</v>
      </c>
      <c r="G116" s="3403"/>
      <c r="H116" s="3360" t="s">
        <v>1893</v>
      </c>
      <c r="I116" s="3360"/>
    </row>
    <row r="117" spans="1:27" ht="18.75" customHeight="1">
      <c r="A117" s="3360"/>
      <c r="B117" s="3396"/>
      <c r="C117" s="3396"/>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529.9</v>
      </c>
      <c r="C118" s="2502">
        <f>M19</f>
        <v>0</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t="e">
        <f ca="1">ROUND(IF(D32="总价",C32,I118*B118/10000),0)</f>
        <v>#REF!</v>
      </c>
      <c r="I118" s="2502" t="e">
        <f ca="1">ROUND(IF(D32="楼面单价",C32,H118*10000/B118),0)</f>
        <v>#REF!</v>
      </c>
    </row>
    <row r="119" spans="1:27" ht="18.75" customHeight="1">
      <c r="A119" s="3360" t="s">
        <v>1897</v>
      </c>
      <c r="B119" s="3360"/>
      <c r="C119" s="3360"/>
      <c r="D119" s="3400" t="e">
        <f ca="1">NUMBERSTRING(INT(D118*10000),2)&amp;"元整"</f>
        <v>#REF!</v>
      </c>
      <c r="E119" s="3402"/>
      <c r="F119" s="3400" t="e">
        <f ca="1">NUMBERSTRING(INT(F118*10000),2)&amp;"元整"</f>
        <v>#REF!</v>
      </c>
      <c r="G119" s="3402"/>
      <c r="H119" s="3400" t="e">
        <f ca="1">NUMBERSTRING(INT(H118*10000),2)&amp;"元整"</f>
        <v>#REF!</v>
      </c>
      <c r="I119" s="3402"/>
    </row>
    <row r="120" spans="1:27" ht="18.75" customHeight="1">
      <c r="A120" s="3427" t="str">
        <f>IF(项目基本情况!B9="房地产市场价值","",MID(E103,3,LEN(E103)-2))</f>
        <v>估价师知悉的法定优先受偿款</v>
      </c>
      <c r="B120" s="3428"/>
      <c r="C120" s="3429"/>
      <c r="D120" s="3427">
        <f>H103</f>
        <v>0</v>
      </c>
      <c r="E120" s="3428"/>
      <c r="F120" s="3428"/>
      <c r="G120" s="3428"/>
      <c r="H120" s="3428"/>
      <c r="I120" s="3429"/>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04" t="s">
        <v>1897</v>
      </c>
      <c r="B121" s="3405"/>
      <c r="C121" s="3406"/>
      <c r="D121" s="3400" t="str">
        <f>IF(D120=0,"零元整",NUMBERSTRING(INT(D120*10000),2)&amp;"元整")</f>
        <v>零元整</v>
      </c>
      <c r="E121" s="3401"/>
      <c r="F121" s="3401"/>
      <c r="G121" s="3401"/>
      <c r="H121" s="3401"/>
      <c r="I121" s="3402"/>
      <c r="AA121" s="734"/>
    </row>
    <row r="122" spans="1:27" ht="18.75" customHeight="1">
      <c r="A122" s="3391" t="str">
        <f>IF(项目基本情况!B9="房地产市场价值","",MID(E107,3,LEN(E107)-2))</f>
        <v>房地产抵押价值</v>
      </c>
      <c r="B122" s="3391"/>
      <c r="C122" s="3391"/>
      <c r="D122" s="3427" t="e">
        <f ca="1">H107</f>
        <v>#REF!</v>
      </c>
      <c r="E122" s="3428"/>
      <c r="F122" s="3428"/>
      <c r="G122" s="3428"/>
      <c r="H122" s="3428"/>
      <c r="I122" s="3429"/>
      <c r="AA122" s="734"/>
    </row>
    <row r="123" spans="1:27" ht="18.75" customHeight="1">
      <c r="A123" s="3360" t="s">
        <v>1897</v>
      </c>
      <c r="B123" s="3360"/>
      <c r="C123" s="3360"/>
      <c r="D123" s="3400" t="e">
        <f ca="1">NUMBERSTRING(INT(D122*10000),2)&amp;"元整"</f>
        <v>#REF!</v>
      </c>
      <c r="E123" s="3401"/>
      <c r="F123" s="3401"/>
      <c r="G123" s="3401"/>
      <c r="H123" s="3401"/>
      <c r="I123" s="3402"/>
      <c r="AA123" s="734"/>
    </row>
    <row r="124" spans="1:27" ht="18.75" customHeight="1">
      <c r="A124" s="3391" t="str">
        <f>IF(项目基本情况!B9="房地产市场价值","",MID(E109,3,LEN(E109)-2))</f>
        <v/>
      </c>
      <c r="B124" s="3391"/>
      <c r="C124" s="3391"/>
      <c r="D124" s="3427" t="str">
        <f>H109</f>
        <v>——</v>
      </c>
      <c r="E124" s="3428"/>
      <c r="F124" s="3428"/>
      <c r="G124" s="3428"/>
      <c r="H124" s="3428"/>
      <c r="I124" s="3429"/>
      <c r="AA124" s="734"/>
    </row>
    <row r="125" spans="1:27" ht="18.75" customHeight="1">
      <c r="A125" s="3360" t="s">
        <v>1897</v>
      </c>
      <c r="B125" s="3360"/>
      <c r="C125" s="3360"/>
      <c r="D125" s="3400" t="e">
        <f>NUMBERSTRING(INT(D124*10000),2)&amp;"元整"</f>
        <v>#VALUE!</v>
      </c>
      <c r="E125" s="3401"/>
      <c r="F125" s="3401"/>
      <c r="G125" s="3401"/>
      <c r="H125" s="3401"/>
      <c r="I125" s="3402"/>
      <c r="AA125" s="734"/>
    </row>
    <row r="126" spans="1:27" ht="18.75" customHeight="1">
      <c r="A126" s="3391" t="str">
        <f>IF(项目基本情况!B9="房地产市场价值","",MID(E111,3,LEN(E111)-2))</f>
        <v/>
      </c>
      <c r="B126" s="3391"/>
      <c r="C126" s="3391"/>
      <c r="D126" s="3427" t="str">
        <f>H111</f>
        <v>——</v>
      </c>
      <c r="E126" s="3428"/>
      <c r="F126" s="3428"/>
      <c r="G126" s="3428"/>
      <c r="H126" s="3428"/>
      <c r="I126" s="3429"/>
      <c r="AA126" s="734"/>
    </row>
    <row r="127" spans="1:27" ht="18.75" customHeight="1">
      <c r="A127" s="3360" t="s">
        <v>1897</v>
      </c>
      <c r="B127" s="3360"/>
      <c r="C127" s="3360"/>
      <c r="D127" s="3400" t="e">
        <f>NUMBERSTRING(INT(D126*10000),2)&amp;"元整"</f>
        <v>#VALUE!</v>
      </c>
      <c r="E127" s="3401"/>
      <c r="F127" s="3401"/>
      <c r="G127" s="3401"/>
      <c r="H127" s="3401"/>
      <c r="I127" s="3402"/>
      <c r="AA127" s="734"/>
    </row>
    <row r="128" spans="1:27" ht="21.75" customHeight="1">
      <c r="A128" s="3410" t="s">
        <v>1898</v>
      </c>
      <c r="B128" s="3410"/>
      <c r="C128" s="3410"/>
      <c r="D128" s="3410"/>
      <c r="E128" s="3410"/>
      <c r="F128" s="3410"/>
      <c r="G128" s="3410"/>
      <c r="H128" s="3410"/>
      <c r="I128" s="3410"/>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54" t="str">
        <f>项目基本情况!B1</f>
        <v>北京市房地产抵押价值预评估</v>
      </c>
      <c r="C37" s="3254"/>
      <c r="D37" s="3254"/>
      <c r="E37" s="3254"/>
      <c r="F37" s="3254"/>
      <c r="G37" s="3254"/>
      <c r="H37" s="3254"/>
      <c r="I37" s="3254"/>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5" zoomScaleNormal="70" zoomScaleSheetLayoutView="85" workbookViewId="0">
      <selection activeCell="I48" sqref="I4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4" t="s">
        <v>2222</v>
      </c>
      <c r="C1" s="1359" t="s">
        <v>2110</v>
      </c>
      <c r="D1" s="1346" t="s">
        <v>3208</v>
      </c>
      <c r="E1" s="2493"/>
      <c r="F1" s="2015" t="s">
        <v>3222</v>
      </c>
      <c r="G1" s="1356" t="s">
        <v>2223</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1907</v>
      </c>
      <c r="B2" s="1279">
        <f>IF(C2="——",ROUND(C49*D3/10000,0),ROUND(C49*D3/10000,0)-D2)</f>
        <v>2650</v>
      </c>
      <c r="C2" s="2017" t="s">
        <v>70</v>
      </c>
      <c r="D2" s="1228" t="e">
        <f ca="1">SUMIF(INDIRECT("'"&amp;F2&amp;"'"&amp;"!A:A"),"承租人权益价值",INDIRECT("'"&amp;F2&amp;"'"&amp;"!c:c"))</f>
        <v>#REF!</v>
      </c>
      <c r="E2" s="2018" t="s">
        <v>1908</v>
      </c>
      <c r="F2" s="2019"/>
      <c r="G2" s="1020"/>
      <c r="H2" s="1020"/>
      <c r="I2" s="1020"/>
      <c r="J2" s="1020"/>
      <c r="K2" s="1020"/>
      <c r="L2" s="2912"/>
      <c r="M2" s="2913"/>
      <c r="N2" s="2913"/>
      <c r="O2" s="2913"/>
      <c r="P2" s="2088"/>
      <c r="Q2" s="1024"/>
      <c r="R2" s="1024"/>
      <c r="S2" s="1024"/>
      <c r="T2" s="1024"/>
      <c r="U2" s="1024"/>
      <c r="V2" s="1024"/>
      <c r="W2" s="1024"/>
      <c r="X2" s="1024"/>
      <c r="Y2" s="1024"/>
      <c r="Z2" s="1024"/>
      <c r="AA2" s="1024"/>
      <c r="AB2" s="1024"/>
      <c r="AC2" s="2089"/>
    </row>
    <row r="3" spans="1:29" s="358" customFormat="1" ht="28.5" customHeight="1" thickBot="1">
      <c r="A3" s="209" t="s">
        <v>1909</v>
      </c>
      <c r="B3" s="566">
        <f>IF(C2="——",C49,ROUND(B2*10000/D3,0))</f>
        <v>50000</v>
      </c>
      <c r="C3" s="360" t="s">
        <v>2224</v>
      </c>
      <c r="D3" s="359">
        <f>IF(D1="",'数据-汇总表'!E3,SUMIF('数据-汇总表'!$C19:$C33,D1,'数据-汇总表'!$E19:$E33))</f>
        <v>529.9</v>
      </c>
      <c r="E3" s="2090"/>
      <c r="F3" s="1021"/>
      <c r="G3" s="1020"/>
      <c r="H3" s="1020"/>
      <c r="I3" s="1020"/>
      <c r="J3" s="1020"/>
      <c r="K3" s="1022"/>
      <c r="L3" s="2912"/>
      <c r="M3" s="2913"/>
      <c r="N3" s="2913"/>
      <c r="O3" s="2913"/>
      <c r="P3" s="2088"/>
      <c r="Q3" s="1024"/>
      <c r="R3" s="1024"/>
      <c r="S3" s="1024"/>
      <c r="T3" s="1024"/>
      <c r="U3" s="1024"/>
      <c r="V3" s="1024"/>
      <c r="W3" s="1024"/>
      <c r="X3" s="1024"/>
      <c r="Y3" s="1024"/>
      <c r="Z3" s="1024"/>
      <c r="AA3" s="1024"/>
      <c r="AB3" s="1024"/>
      <c r="AC3" s="2090"/>
    </row>
    <row r="4" spans="1:29" ht="15">
      <c r="A4" s="361" t="s">
        <v>2225</v>
      </c>
      <c r="B4" s="362"/>
      <c r="C4" s="3490" t="s">
        <v>2226</v>
      </c>
      <c r="D4" s="3491"/>
      <c r="E4" s="3492" t="s">
        <v>2227</v>
      </c>
      <c r="F4" s="3493"/>
      <c r="G4" s="3490" t="s">
        <v>2228</v>
      </c>
      <c r="H4" s="3491"/>
      <c r="I4" s="3490" t="s">
        <v>2229</v>
      </c>
      <c r="J4" s="3491"/>
      <c r="K4" s="567" t="s">
        <v>2230</v>
      </c>
      <c r="L4" s="2893"/>
      <c r="M4" s="2894"/>
      <c r="N4" s="2894"/>
      <c r="O4" s="2894"/>
      <c r="P4" s="3494" t="s">
        <v>2231</v>
      </c>
      <c r="Q4" s="3495"/>
      <c r="R4" s="3500" t="s">
        <v>2227</v>
      </c>
      <c r="S4" s="3501"/>
      <c r="T4" s="3500" t="s">
        <v>2228</v>
      </c>
      <c r="U4" s="3501"/>
      <c r="V4" s="3506" t="s">
        <v>2229</v>
      </c>
      <c r="W4" s="3506"/>
      <c r="X4" s="1490"/>
      <c r="Y4" s="3500" t="s">
        <v>2231</v>
      </c>
      <c r="Z4" s="3501"/>
      <c r="AA4" s="3487" t="s">
        <v>2227</v>
      </c>
      <c r="AB4" s="3506" t="s">
        <v>2228</v>
      </c>
      <c r="AC4" s="3487" t="s">
        <v>2229</v>
      </c>
    </row>
    <row r="5" spans="1:29" ht="15">
      <c r="A5" s="364"/>
      <c r="B5" s="365"/>
      <c r="C5" s="3509" t="s">
        <v>2122</v>
      </c>
      <c r="D5" s="3510"/>
      <c r="E5" s="3516" t="s">
        <v>2123</v>
      </c>
      <c r="F5" s="3517"/>
      <c r="G5" s="3509" t="s">
        <v>2124</v>
      </c>
      <c r="H5" s="3510"/>
      <c r="I5" s="3509" t="s">
        <v>2125</v>
      </c>
      <c r="J5" s="3510"/>
      <c r="K5" s="567"/>
      <c r="L5" s="2893"/>
      <c r="M5" s="2894"/>
      <c r="N5" s="2894"/>
      <c r="O5" s="2894"/>
      <c r="P5" s="3496"/>
      <c r="Q5" s="3497"/>
      <c r="R5" s="3502"/>
      <c r="S5" s="3503"/>
      <c r="T5" s="3502"/>
      <c r="U5" s="3503"/>
      <c r="V5" s="3506"/>
      <c r="W5" s="3506"/>
      <c r="X5" s="1490"/>
      <c r="Y5" s="3502"/>
      <c r="Z5" s="3503"/>
      <c r="AA5" s="3488"/>
      <c r="AB5" s="3506"/>
      <c r="AC5" s="3488"/>
    </row>
    <row r="6" spans="1:29" ht="15.75" thickBot="1">
      <c r="A6" s="366"/>
      <c r="B6" s="367"/>
      <c r="C6" s="3507" t="s">
        <v>2126</v>
      </c>
      <c r="D6" s="3508"/>
      <c r="E6" s="3514" t="s">
        <v>2126</v>
      </c>
      <c r="F6" s="3515"/>
      <c r="G6" s="3507" t="s">
        <v>2126</v>
      </c>
      <c r="H6" s="3508"/>
      <c r="I6" s="3507" t="s">
        <v>2126</v>
      </c>
      <c r="J6" s="3508"/>
      <c r="K6" s="567" t="s">
        <v>2127</v>
      </c>
      <c r="L6" s="2893"/>
      <c r="M6" s="2894"/>
      <c r="N6" s="2894"/>
      <c r="O6" s="2894"/>
      <c r="P6" s="3498"/>
      <c r="Q6" s="3499"/>
      <c r="R6" s="3502"/>
      <c r="S6" s="3503"/>
      <c r="T6" s="3504"/>
      <c r="U6" s="3505"/>
      <c r="V6" s="3506"/>
      <c r="W6" s="3506"/>
      <c r="X6" s="1490"/>
      <c r="Y6" s="3504"/>
      <c r="Z6" s="3505"/>
      <c r="AA6" s="3489"/>
      <c r="AB6" s="3506"/>
      <c r="AC6" s="3489"/>
    </row>
    <row r="7" spans="1:29" s="113" customFormat="1" ht="15.75" thickBot="1">
      <c r="A7" s="368" t="s">
        <v>2128</v>
      </c>
      <c r="B7" s="369"/>
      <c r="C7" s="370">
        <f>'数据-取费表'!B2</f>
        <v>44769</v>
      </c>
      <c r="D7" s="371">
        <v>100</v>
      </c>
      <c r="E7" s="372">
        <f>C7</f>
        <v>44769</v>
      </c>
      <c r="F7" s="373">
        <f>SUMIF(58:58,YEAR(E7)&amp;"-"&amp;MONTH(E7),59:59)</f>
        <v>100</v>
      </c>
      <c r="G7" s="372">
        <f>C7</f>
        <v>44769</v>
      </c>
      <c r="H7" s="371">
        <f>SUMIF(58:58,YEAR(G7)&amp;"-"&amp;MONTH(G7),59:59)</f>
        <v>100</v>
      </c>
      <c r="I7" s="372">
        <f>C7</f>
        <v>44769</v>
      </c>
      <c r="J7" s="371">
        <f>SUMIF(58:58,YEAR(I7)&amp;"-"&amp;MONTH(I7),59:59)</f>
        <v>100</v>
      </c>
      <c r="K7" s="568"/>
      <c r="L7" s="2895"/>
      <c r="M7" s="2896"/>
      <c r="N7" s="2896"/>
      <c r="O7" s="2896"/>
      <c r="P7" s="3511" t="s">
        <v>2129</v>
      </c>
      <c r="Q7" s="3513"/>
      <c r="R7" s="710" t="s">
        <v>17</v>
      </c>
      <c r="S7" s="711">
        <f t="shared" ref="S7:S15" si="0">F7</f>
        <v>100</v>
      </c>
      <c r="T7" s="710" t="s">
        <v>17</v>
      </c>
      <c r="U7" s="711">
        <f t="shared" ref="U7:U15" si="1">H7</f>
        <v>100</v>
      </c>
      <c r="V7" s="710" t="s">
        <v>17</v>
      </c>
      <c r="W7" s="711">
        <f t="shared" ref="W7:W15" si="2">J7</f>
        <v>100</v>
      </c>
      <c r="X7" s="712"/>
      <c r="Y7" s="3511" t="s">
        <v>2129</v>
      </c>
      <c r="Z7" s="3512"/>
      <c r="AA7" s="713">
        <f>D7/F7</f>
        <v>1</v>
      </c>
      <c r="AB7" s="713">
        <f>D7/H7</f>
        <v>1</v>
      </c>
      <c r="AC7" s="713">
        <f>D7/J7</f>
        <v>1</v>
      </c>
    </row>
    <row r="8" spans="1:29" s="113" customFormat="1" ht="15.75" thickBot="1">
      <c r="A8" s="368" t="s">
        <v>2130</v>
      </c>
      <c r="B8" s="369"/>
      <c r="C8" s="374" t="s">
        <v>2232</v>
      </c>
      <c r="D8" s="371">
        <v>100</v>
      </c>
      <c r="E8" s="374" t="s">
        <v>3223</v>
      </c>
      <c r="F8" s="373">
        <f>SUMIF(61:61,E8,62:62)-SUMIF(61:61,C8,62:62)+100</f>
        <v>100</v>
      </c>
      <c r="G8" s="374" t="s">
        <v>3223</v>
      </c>
      <c r="H8" s="371">
        <f>SUMIF(61:61,G8,62:62)-SUMIF(61:61,C8,62:62)+100</f>
        <v>100</v>
      </c>
      <c r="I8" s="374" t="s">
        <v>3223</v>
      </c>
      <c r="J8" s="371">
        <f>SUMIF(61:61,I8,62:62)-SUMIF(61:61,C8,62:62)+100</f>
        <v>100</v>
      </c>
      <c r="K8" s="568"/>
      <c r="L8" s="2895"/>
      <c r="M8" s="2896"/>
      <c r="N8" s="2896"/>
      <c r="O8" s="2896"/>
      <c r="P8" s="3511" t="s">
        <v>2132</v>
      </c>
      <c r="Q8" s="3512"/>
      <c r="R8" s="710" t="s">
        <v>17</v>
      </c>
      <c r="S8" s="711">
        <f t="shared" si="0"/>
        <v>100</v>
      </c>
      <c r="T8" s="710" t="s">
        <v>17</v>
      </c>
      <c r="U8" s="711">
        <f t="shared" si="1"/>
        <v>100</v>
      </c>
      <c r="V8" s="710" t="s">
        <v>17</v>
      </c>
      <c r="W8" s="711">
        <f t="shared" si="2"/>
        <v>100</v>
      </c>
      <c r="X8" s="712"/>
      <c r="Y8" s="3511" t="s">
        <v>2132</v>
      </c>
      <c r="Z8" s="3512"/>
      <c r="AA8" s="713">
        <f t="shared" ref="AA8:AA46" si="3">D8/F8</f>
        <v>1</v>
      </c>
      <c r="AB8" s="713">
        <f t="shared" ref="AB8:AB46" si="4">D8/H8</f>
        <v>1</v>
      </c>
      <c r="AC8" s="713">
        <f t="shared" ref="AC8:AC46" si="5">D8/J8</f>
        <v>1</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86" t="s">
        <v>2135</v>
      </c>
      <c r="Q9" s="1478" t="str">
        <f t="shared" ref="Q9:Q15" si="6">B9</f>
        <v>用途</v>
      </c>
      <c r="R9" s="710" t="s">
        <v>17</v>
      </c>
      <c r="S9" s="711">
        <f t="shared" si="0"/>
        <v>100</v>
      </c>
      <c r="T9" s="710" t="s">
        <v>17</v>
      </c>
      <c r="U9" s="711">
        <f t="shared" si="1"/>
        <v>100</v>
      </c>
      <c r="V9" s="710" t="s">
        <v>17</v>
      </c>
      <c r="W9" s="711">
        <f t="shared" si="2"/>
        <v>100</v>
      </c>
      <c r="X9" s="712"/>
      <c r="Y9" s="334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86"/>
      <c r="Q10" s="1478" t="str">
        <f t="shared" si="6"/>
        <v>土地使用年限（年）</v>
      </c>
      <c r="R10" s="710" t="s">
        <v>17</v>
      </c>
      <c r="S10" s="711">
        <f t="shared" si="0"/>
        <v>100</v>
      </c>
      <c r="T10" s="710" t="s">
        <v>17</v>
      </c>
      <c r="U10" s="711">
        <f t="shared" si="1"/>
        <v>100</v>
      </c>
      <c r="V10" s="710" t="s">
        <v>17</v>
      </c>
      <c r="W10" s="711">
        <f t="shared" si="2"/>
        <v>100</v>
      </c>
      <c r="X10" s="712"/>
      <c r="Y10" s="3347"/>
      <c r="Z10" s="55" t="str">
        <f t="shared" si="7"/>
        <v>土地使用年限（年）</v>
      </c>
      <c r="AA10" s="713">
        <f t="shared" si="3"/>
        <v>1</v>
      </c>
      <c r="AB10" s="713">
        <f t="shared" si="4"/>
        <v>1</v>
      </c>
      <c r="AC10" s="713">
        <f t="shared" si="5"/>
        <v>1</v>
      </c>
    </row>
    <row r="11" spans="1:29" ht="15">
      <c r="A11" s="387"/>
      <c r="B11" s="381" t="s">
        <v>2138</v>
      </c>
      <c r="C11" s="388"/>
      <c r="D11" s="132">
        <v>100</v>
      </c>
      <c r="E11" s="389"/>
      <c r="F11" s="384">
        <f>LOOKUP(E11,68:68,69:69)-LOOKUP(C11,68:68,69:69)+100</f>
        <v>100</v>
      </c>
      <c r="G11" s="388"/>
      <c r="H11" s="132">
        <f>LOOKUP(G11,68:68,69:69)-LOOKUP(C11,68:68,69:69)+100</f>
        <v>100</v>
      </c>
      <c r="I11" s="388"/>
      <c r="J11" s="132">
        <f>LOOKUP(I11,68:68,69:69)-LOOKUP(C11,68:68,69:69)+100</f>
        <v>100</v>
      </c>
      <c r="K11" s="569"/>
      <c r="L11" s="2899"/>
      <c r="M11" s="2894"/>
      <c r="N11" s="2894"/>
      <c r="O11" s="2894"/>
      <c r="P11" s="3486"/>
      <c r="Q11" s="1478" t="str">
        <f t="shared" si="6"/>
        <v>容积率</v>
      </c>
      <c r="R11" s="710" t="s">
        <v>17</v>
      </c>
      <c r="S11" s="711">
        <f t="shared" si="0"/>
        <v>100</v>
      </c>
      <c r="T11" s="710" t="s">
        <v>17</v>
      </c>
      <c r="U11" s="711">
        <f t="shared" si="1"/>
        <v>100</v>
      </c>
      <c r="V11" s="710" t="s">
        <v>17</v>
      </c>
      <c r="W11" s="711">
        <f t="shared" si="2"/>
        <v>100</v>
      </c>
      <c r="X11" s="712"/>
      <c r="Y11" s="3347"/>
      <c r="Z11" s="55" t="str">
        <f t="shared" si="7"/>
        <v>容积率</v>
      </c>
      <c r="AA11" s="713">
        <f t="shared" si="3"/>
        <v>1</v>
      </c>
      <c r="AB11" s="713">
        <f t="shared" si="4"/>
        <v>1</v>
      </c>
      <c r="AC11" s="713">
        <f t="shared" si="5"/>
        <v>1</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86"/>
      <c r="Q12" s="1478">
        <f t="shared" si="6"/>
        <v>111</v>
      </c>
      <c r="R12" s="710" t="s">
        <v>17</v>
      </c>
      <c r="S12" s="711">
        <f t="shared" si="0"/>
        <v>100</v>
      </c>
      <c r="T12" s="710" t="s">
        <v>17</v>
      </c>
      <c r="U12" s="711">
        <f t="shared" si="1"/>
        <v>100</v>
      </c>
      <c r="V12" s="710" t="s">
        <v>17</v>
      </c>
      <c r="W12" s="711">
        <f t="shared" si="2"/>
        <v>100</v>
      </c>
      <c r="X12" s="712"/>
      <c r="Y12" s="3347"/>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86"/>
      <c r="Q13" s="1478">
        <f t="shared" si="6"/>
        <v>111</v>
      </c>
      <c r="R13" s="710" t="s">
        <v>17</v>
      </c>
      <c r="S13" s="711">
        <f t="shared" si="0"/>
        <v>100</v>
      </c>
      <c r="T13" s="710" t="s">
        <v>17</v>
      </c>
      <c r="U13" s="711">
        <f t="shared" si="1"/>
        <v>100</v>
      </c>
      <c r="V13" s="710" t="s">
        <v>17</v>
      </c>
      <c r="W13" s="711">
        <f t="shared" si="2"/>
        <v>100</v>
      </c>
      <c r="X13" s="712"/>
      <c r="Y13" s="3347"/>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86"/>
      <c r="Q14" s="1478">
        <f t="shared" si="6"/>
        <v>111</v>
      </c>
      <c r="R14" s="710" t="s">
        <v>17</v>
      </c>
      <c r="S14" s="711">
        <f t="shared" si="0"/>
        <v>100</v>
      </c>
      <c r="T14" s="710" t="s">
        <v>17</v>
      </c>
      <c r="U14" s="711">
        <f t="shared" si="1"/>
        <v>100</v>
      </c>
      <c r="V14" s="710" t="s">
        <v>17</v>
      </c>
      <c r="W14" s="711">
        <f t="shared" si="2"/>
        <v>100</v>
      </c>
      <c r="X14" s="712"/>
      <c r="Y14" s="3347"/>
      <c r="Z14" s="55">
        <f t="shared" si="7"/>
        <v>111</v>
      </c>
      <c r="AA14" s="713">
        <f t="shared" si="3"/>
        <v>1</v>
      </c>
      <c r="AB14" s="713">
        <f t="shared" si="4"/>
        <v>1</v>
      </c>
      <c r="AC14" s="713">
        <f t="shared" si="5"/>
        <v>1</v>
      </c>
    </row>
    <row r="15" spans="1:29" ht="71.2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84" t="s">
        <v>2140</v>
      </c>
      <c r="Q15" s="1487" t="str">
        <f t="shared" si="6"/>
        <v>商业繁华度</v>
      </c>
      <c r="R15" s="714" t="s">
        <v>17</v>
      </c>
      <c r="S15" s="715">
        <f t="shared" si="0"/>
        <v>100</v>
      </c>
      <c r="T15" s="714" t="s">
        <v>17</v>
      </c>
      <c r="U15" s="715">
        <f t="shared" si="1"/>
        <v>100</v>
      </c>
      <c r="V15" s="714" t="s">
        <v>17</v>
      </c>
      <c r="W15" s="715">
        <f t="shared" si="2"/>
        <v>100</v>
      </c>
      <c r="X15" s="1490"/>
      <c r="Y15" s="3477"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485"/>
      <c r="Q16" s="1487"/>
      <c r="R16" s="714"/>
      <c r="S16" s="715"/>
      <c r="T16" s="714"/>
      <c r="U16" s="715"/>
      <c r="V16" s="714"/>
      <c r="W16" s="715"/>
      <c r="X16" s="1490"/>
      <c r="Y16" s="3478"/>
      <c r="Z16" s="1491"/>
      <c r="AA16" s="1488">
        <v>1</v>
      </c>
      <c r="AB16" s="1488">
        <v>1</v>
      </c>
      <c r="AC16" s="1488">
        <v>1</v>
      </c>
    </row>
    <row r="17" spans="1:29" ht="85.5">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85"/>
      <c r="Q17" s="1487" t="str">
        <f>B17</f>
        <v>交通便捷度</v>
      </c>
      <c r="R17" s="714" t="s">
        <v>17</v>
      </c>
      <c r="S17" s="715">
        <f>F17</f>
        <v>100</v>
      </c>
      <c r="T17" s="714" t="s">
        <v>17</v>
      </c>
      <c r="U17" s="715">
        <f>H17</f>
        <v>100</v>
      </c>
      <c r="V17" s="714" t="s">
        <v>17</v>
      </c>
      <c r="W17" s="715">
        <f>J17</f>
        <v>100</v>
      </c>
      <c r="X17" s="1490"/>
      <c r="Y17" s="3478"/>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2900"/>
      <c r="M18" s="2894"/>
      <c r="N18" s="2894"/>
      <c r="O18" s="2894"/>
      <c r="P18" s="3485"/>
      <c r="Q18" s="1487"/>
      <c r="R18" s="714"/>
      <c r="S18" s="715"/>
      <c r="T18" s="714"/>
      <c r="U18" s="715"/>
      <c r="V18" s="714"/>
      <c r="W18" s="715"/>
      <c r="X18" s="1490"/>
      <c r="Y18" s="3478"/>
      <c r="Z18" s="1491"/>
      <c r="AA18" s="1488">
        <v>1</v>
      </c>
      <c r="AB18" s="1488">
        <v>1</v>
      </c>
      <c r="AC18" s="1488">
        <v>1</v>
      </c>
    </row>
    <row r="19" spans="1:29" ht="42.7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85"/>
      <c r="Q19" s="1487" t="str">
        <f>B19</f>
        <v>公共配套设施</v>
      </c>
      <c r="R19" s="714" t="s">
        <v>17</v>
      </c>
      <c r="S19" s="715">
        <f>F19</f>
        <v>100</v>
      </c>
      <c r="T19" s="714" t="s">
        <v>17</v>
      </c>
      <c r="U19" s="715">
        <f>H19</f>
        <v>100</v>
      </c>
      <c r="V19" s="714" t="s">
        <v>17</v>
      </c>
      <c r="W19" s="715">
        <f>J19</f>
        <v>100</v>
      </c>
      <c r="X19" s="1490"/>
      <c r="Y19" s="3478"/>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2900"/>
      <c r="M20" s="2894"/>
      <c r="N20" s="2894"/>
      <c r="O20" s="2894"/>
      <c r="P20" s="3485"/>
      <c r="Q20" s="1487"/>
      <c r="R20" s="714"/>
      <c r="S20" s="715"/>
      <c r="T20" s="714"/>
      <c r="U20" s="715"/>
      <c r="V20" s="714"/>
      <c r="W20" s="715"/>
      <c r="X20" s="1490"/>
      <c r="Y20" s="3478"/>
      <c r="Z20" s="1491"/>
      <c r="AA20" s="1488">
        <v>1</v>
      </c>
      <c r="AB20" s="1488">
        <v>1</v>
      </c>
      <c r="AC20" s="1488">
        <v>1</v>
      </c>
    </row>
    <row r="21" spans="1:29" ht="28.5">
      <c r="A21" s="387"/>
      <c r="B21" s="1246"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85"/>
      <c r="Q21" s="1487" t="str">
        <f>B21</f>
        <v>基础设施水平</v>
      </c>
      <c r="R21" s="714" t="s">
        <v>17</v>
      </c>
      <c r="S21" s="715">
        <f>F21</f>
        <v>100</v>
      </c>
      <c r="T21" s="714" t="s">
        <v>17</v>
      </c>
      <c r="U21" s="715">
        <f>H21</f>
        <v>100</v>
      </c>
      <c r="V21" s="714" t="s">
        <v>17</v>
      </c>
      <c r="W21" s="715">
        <f>J21</f>
        <v>100</v>
      </c>
      <c r="X21" s="1490"/>
      <c r="Y21" s="3478"/>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2900"/>
      <c r="M22" s="2894"/>
      <c r="N22" s="2894"/>
      <c r="O22" s="2894"/>
      <c r="P22" s="3485"/>
      <c r="Q22" s="1487"/>
      <c r="R22" s="714"/>
      <c r="S22" s="715"/>
      <c r="T22" s="714"/>
      <c r="U22" s="715"/>
      <c r="V22" s="714"/>
      <c r="W22" s="715"/>
      <c r="X22" s="1490"/>
      <c r="Y22" s="3478"/>
      <c r="Z22" s="1491"/>
      <c r="AA22" s="1488">
        <v>1</v>
      </c>
      <c r="AB22" s="1488">
        <v>1</v>
      </c>
      <c r="AC22" s="1488">
        <v>1</v>
      </c>
    </row>
    <row r="23" spans="1:29" ht="57">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85"/>
      <c r="Q23" s="1487" t="str">
        <f>B23</f>
        <v>自然及人文环境</v>
      </c>
      <c r="R23" s="714" t="s">
        <v>17</v>
      </c>
      <c r="S23" s="715">
        <f>F23</f>
        <v>100</v>
      </c>
      <c r="T23" s="714" t="s">
        <v>17</v>
      </c>
      <c r="U23" s="715">
        <f>H23</f>
        <v>100</v>
      </c>
      <c r="V23" s="714" t="s">
        <v>17</v>
      </c>
      <c r="W23" s="715">
        <f>J23</f>
        <v>100</v>
      </c>
      <c r="X23" s="1490"/>
      <c r="Y23" s="3478"/>
      <c r="Z23" s="1491" t="str">
        <f>Q23</f>
        <v>自然及人文环境</v>
      </c>
      <c r="AA23" s="1488">
        <f t="shared" si="3"/>
        <v>1</v>
      </c>
      <c r="AB23" s="1488">
        <f t="shared" si="4"/>
        <v>1</v>
      </c>
      <c r="AC23" s="1488">
        <f t="shared" si="5"/>
        <v>1</v>
      </c>
    </row>
    <row r="24" spans="1:29" ht="15">
      <c r="A24" s="387"/>
      <c r="B24" s="415"/>
      <c r="C24" s="406"/>
      <c r="D24" s="407"/>
      <c r="E24" s="2034"/>
      <c r="F24" s="408"/>
      <c r="G24" s="2033"/>
      <c r="H24" s="407"/>
      <c r="I24" s="2034"/>
      <c r="J24" s="407"/>
      <c r="K24" s="572"/>
      <c r="L24" s="2900"/>
      <c r="M24" s="2894"/>
      <c r="N24" s="2894"/>
      <c r="O24" s="2894"/>
      <c r="P24" s="3485"/>
      <c r="Q24" s="1487"/>
      <c r="R24" s="714"/>
      <c r="S24" s="715"/>
      <c r="T24" s="714"/>
      <c r="U24" s="715"/>
      <c r="V24" s="714"/>
      <c r="W24" s="715"/>
      <c r="X24" s="1490"/>
      <c r="Y24" s="3478"/>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85"/>
      <c r="Q25" s="1487" t="str">
        <f t="shared" ref="Q25:Q46" si="11">B25</f>
        <v>临街状况</v>
      </c>
      <c r="R25" s="714" t="s">
        <v>17</v>
      </c>
      <c r="S25" s="715">
        <f>F25</f>
        <v>100</v>
      </c>
      <c r="T25" s="714" t="s">
        <v>17</v>
      </c>
      <c r="U25" s="715">
        <f>H25</f>
        <v>100</v>
      </c>
      <c r="V25" s="714" t="s">
        <v>17</v>
      </c>
      <c r="W25" s="715">
        <f>J25</f>
        <v>100</v>
      </c>
      <c r="X25" s="1490"/>
      <c r="Y25" s="3478"/>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85"/>
      <c r="Q26" s="1487" t="str">
        <f t="shared" si="11"/>
        <v>平面位置/可视性</v>
      </c>
      <c r="R26" s="714" t="s">
        <v>17</v>
      </c>
      <c r="S26" s="715">
        <f>F26</f>
        <v>100</v>
      </c>
      <c r="T26" s="714" t="s">
        <v>17</v>
      </c>
      <c r="U26" s="715">
        <f>H26</f>
        <v>100</v>
      </c>
      <c r="V26" s="714" t="s">
        <v>17</v>
      </c>
      <c r="W26" s="715">
        <f>J26</f>
        <v>100</v>
      </c>
      <c r="X26" s="1490"/>
      <c r="Y26" s="3478"/>
      <c r="Z26" s="1491" t="str">
        <f>Q26</f>
        <v>平面位置/可视性</v>
      </c>
      <c r="AA26" s="1488">
        <f t="shared" si="3"/>
        <v>1</v>
      </c>
      <c r="AB26" s="1488">
        <f t="shared" si="4"/>
        <v>1</v>
      </c>
      <c r="AC26" s="1488">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485"/>
      <c r="Q27" s="1478" t="str">
        <f t="shared" si="11"/>
        <v>人流量</v>
      </c>
      <c r="R27" s="710" t="s">
        <v>17</v>
      </c>
      <c r="S27" s="711">
        <f>F27</f>
        <v>100</v>
      </c>
      <c r="T27" s="710" t="s">
        <v>17</v>
      </c>
      <c r="U27" s="711">
        <f>H27</f>
        <v>100</v>
      </c>
      <c r="V27" s="710" t="s">
        <v>17</v>
      </c>
      <c r="W27" s="711">
        <f>J27</f>
        <v>100</v>
      </c>
      <c r="X27" s="712"/>
      <c r="Y27" s="3478"/>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85"/>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78"/>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85"/>
      <c r="Q29" s="1487">
        <f t="shared" si="11"/>
        <v>111</v>
      </c>
      <c r="R29" s="714" t="s">
        <v>17</v>
      </c>
      <c r="S29" s="715">
        <f t="shared" si="12"/>
        <v>100</v>
      </c>
      <c r="T29" s="714" t="s">
        <v>17</v>
      </c>
      <c r="U29" s="715">
        <f t="shared" si="13"/>
        <v>100</v>
      </c>
      <c r="V29" s="714" t="s">
        <v>17</v>
      </c>
      <c r="W29" s="715">
        <f t="shared" si="14"/>
        <v>100</v>
      </c>
      <c r="X29" s="1490"/>
      <c r="Y29" s="3478"/>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85"/>
      <c r="Q30" s="1487">
        <f t="shared" si="11"/>
        <v>111</v>
      </c>
      <c r="R30" s="714" t="s">
        <v>17</v>
      </c>
      <c r="S30" s="715">
        <f t="shared" si="12"/>
        <v>100</v>
      </c>
      <c r="T30" s="714" t="s">
        <v>17</v>
      </c>
      <c r="U30" s="715">
        <f t="shared" si="13"/>
        <v>100</v>
      </c>
      <c r="V30" s="714" t="s">
        <v>17</v>
      </c>
      <c r="W30" s="715">
        <f t="shared" si="14"/>
        <v>100</v>
      </c>
      <c r="X30" s="1490"/>
      <c r="Y30" s="3478"/>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85"/>
      <c r="Q31" s="1487">
        <f t="shared" si="11"/>
        <v>111</v>
      </c>
      <c r="R31" s="714" t="s">
        <v>17</v>
      </c>
      <c r="S31" s="715">
        <f t="shared" si="12"/>
        <v>100</v>
      </c>
      <c r="T31" s="714" t="s">
        <v>17</v>
      </c>
      <c r="U31" s="715">
        <f t="shared" si="13"/>
        <v>100</v>
      </c>
      <c r="V31" s="714" t="s">
        <v>17</v>
      </c>
      <c r="W31" s="715">
        <f t="shared" si="14"/>
        <v>100</v>
      </c>
      <c r="X31" s="1490"/>
      <c r="Y31" s="3478"/>
      <c r="Z31" s="1491">
        <f t="shared" si="15"/>
        <v>111</v>
      </c>
      <c r="AA31" s="1488">
        <f t="shared" si="3"/>
        <v>1</v>
      </c>
      <c r="AB31" s="1488">
        <f t="shared" si="4"/>
        <v>1</v>
      </c>
      <c r="AC31" s="1488">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479" t="s">
        <v>2145</v>
      </c>
      <c r="Q32" s="1487" t="str">
        <f t="shared" si="11"/>
        <v>商业类型</v>
      </c>
      <c r="R32" s="714" t="s">
        <v>17</v>
      </c>
      <c r="S32" s="715">
        <f t="shared" si="12"/>
        <v>100</v>
      </c>
      <c r="T32" s="714" t="s">
        <v>17</v>
      </c>
      <c r="U32" s="715">
        <f t="shared" si="13"/>
        <v>100</v>
      </c>
      <c r="V32" s="714" t="s">
        <v>17</v>
      </c>
      <c r="W32" s="715">
        <f t="shared" si="14"/>
        <v>100</v>
      </c>
      <c r="X32" s="1490"/>
      <c r="Y32" s="3482"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f>LOOKUP(E33,103:103,104:104)-LOOKUP(C33,103:103,104:104)+100</f>
        <v>100</v>
      </c>
      <c r="G33" s="388"/>
      <c r="H33" s="132">
        <f>LOOKUP(G33,103:103,104:104)-LOOKUP(C33,103:103,104:104)+100</f>
        <v>100</v>
      </c>
      <c r="I33" s="388"/>
      <c r="J33" s="132">
        <f>LOOKUP(I33,103:103,104:104)-LOOKUP(C33,103:103,104:104)+100</f>
        <v>100</v>
      </c>
      <c r="K33" s="570"/>
      <c r="L33" s="2899"/>
      <c r="M33" s="2901"/>
      <c r="N33" s="2901"/>
      <c r="O33" s="2901"/>
      <c r="P33" s="3480"/>
      <c r="Q33" s="716" t="str">
        <f t="shared" si="11"/>
        <v>项目建筑规模</v>
      </c>
      <c r="R33" s="717" t="s">
        <v>17</v>
      </c>
      <c r="S33" s="718">
        <f t="shared" si="12"/>
        <v>100</v>
      </c>
      <c r="T33" s="717" t="s">
        <v>17</v>
      </c>
      <c r="U33" s="718">
        <f t="shared" si="13"/>
        <v>100</v>
      </c>
      <c r="V33" s="717" t="s">
        <v>17</v>
      </c>
      <c r="W33" s="718">
        <f t="shared" si="14"/>
        <v>100</v>
      </c>
      <c r="X33" s="719"/>
      <c r="Y33" s="3482"/>
      <c r="Z33" s="720" t="str">
        <f t="shared" si="15"/>
        <v>项目建筑规模</v>
      </c>
      <c r="AA33" s="1488">
        <f t="shared" si="3"/>
        <v>1</v>
      </c>
      <c r="AB33" s="1488">
        <f t="shared" si="4"/>
        <v>1</v>
      </c>
      <c r="AC33" s="1488">
        <f t="shared" si="5"/>
        <v>1</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480"/>
      <c r="Q34" s="1487" t="str">
        <f t="shared" si="11"/>
        <v>建筑结构</v>
      </c>
      <c r="R34" s="714" t="s">
        <v>17</v>
      </c>
      <c r="S34" s="715">
        <f t="shared" si="12"/>
        <v>100</v>
      </c>
      <c r="T34" s="714" t="s">
        <v>17</v>
      </c>
      <c r="U34" s="715">
        <f t="shared" si="13"/>
        <v>100</v>
      </c>
      <c r="V34" s="714" t="s">
        <v>17</v>
      </c>
      <c r="W34" s="715">
        <f t="shared" si="14"/>
        <v>100</v>
      </c>
      <c r="X34" s="1490"/>
      <c r="Y34" s="3482"/>
      <c r="Z34" s="1491" t="str">
        <f t="shared" si="15"/>
        <v>建筑结构</v>
      </c>
      <c r="AA34" s="1488">
        <f t="shared" si="3"/>
        <v>1</v>
      </c>
      <c r="AB34" s="1488">
        <f t="shared" si="4"/>
        <v>1</v>
      </c>
      <c r="AC34" s="1488">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480"/>
      <c r="Q35" s="1487" t="str">
        <f t="shared" si="11"/>
        <v>公共部分装修</v>
      </c>
      <c r="R35" s="714" t="s">
        <v>17</v>
      </c>
      <c r="S35" s="715">
        <f t="shared" si="12"/>
        <v>100</v>
      </c>
      <c r="T35" s="714" t="s">
        <v>17</v>
      </c>
      <c r="U35" s="715">
        <f t="shared" si="13"/>
        <v>100</v>
      </c>
      <c r="V35" s="714" t="s">
        <v>17</v>
      </c>
      <c r="W35" s="715">
        <f t="shared" si="14"/>
        <v>100</v>
      </c>
      <c r="X35" s="1490"/>
      <c r="Y35" s="3482"/>
      <c r="Z35" s="1491" t="str">
        <f t="shared" si="15"/>
        <v>公共部分装修</v>
      </c>
      <c r="AA35" s="1488">
        <f t="shared" si="3"/>
        <v>1</v>
      </c>
      <c r="AB35" s="1488">
        <f t="shared" si="4"/>
        <v>1</v>
      </c>
      <c r="AC35" s="1488">
        <f t="shared" si="5"/>
        <v>1</v>
      </c>
    </row>
    <row r="36" spans="1:29" ht="15">
      <c r="A36" s="431"/>
      <c r="B36" s="381" t="s">
        <v>2242</v>
      </c>
      <c r="C36" s="433">
        <f>'数据-取费表'!N6</f>
        <v>0.97</v>
      </c>
      <c r="D36" s="394">
        <v>100</v>
      </c>
      <c r="E36" s="433">
        <f>C36</f>
        <v>0.97</v>
      </c>
      <c r="F36" s="420">
        <f>LOOKUP(E36,110:110,111:111)-LOOKUP(C36,110:110,111:111)+100</f>
        <v>100</v>
      </c>
      <c r="G36" s="433">
        <f>C36</f>
        <v>0.97</v>
      </c>
      <c r="H36" s="420">
        <f>LOOKUP(G36,110:110,111:111)-LOOKUP(C36,110:110,111:111)+100</f>
        <v>100</v>
      </c>
      <c r="I36" s="433">
        <f>C36</f>
        <v>0.97</v>
      </c>
      <c r="J36" s="394">
        <f>LOOKUP(I36,110:110,111:111)-LOOKUP(C36,110:110,111:111)+100</f>
        <v>100</v>
      </c>
      <c r="K36" s="569"/>
      <c r="L36" s="2900"/>
      <c r="M36" s="2894"/>
      <c r="N36" s="2894"/>
      <c r="O36" s="2894"/>
      <c r="P36" s="3480"/>
      <c r="Q36" s="1487" t="str">
        <f t="shared" si="11"/>
        <v>成新度</v>
      </c>
      <c r="R36" s="714" t="s">
        <v>17</v>
      </c>
      <c r="S36" s="715">
        <f t="shared" si="12"/>
        <v>100</v>
      </c>
      <c r="T36" s="714" t="s">
        <v>17</v>
      </c>
      <c r="U36" s="715">
        <f t="shared" si="13"/>
        <v>100</v>
      </c>
      <c r="V36" s="714" t="s">
        <v>17</v>
      </c>
      <c r="W36" s="715">
        <f t="shared" si="14"/>
        <v>100</v>
      </c>
      <c r="X36" s="1490"/>
      <c r="Y36" s="3482"/>
      <c r="Z36" s="1491" t="str">
        <f t="shared" si="15"/>
        <v>成新度</v>
      </c>
      <c r="AA36" s="1488">
        <f t="shared" si="3"/>
        <v>1</v>
      </c>
      <c r="AB36" s="1488">
        <f t="shared" si="4"/>
        <v>1</v>
      </c>
      <c r="AC36" s="1488">
        <f t="shared" si="5"/>
        <v>1</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480"/>
      <c r="Q37" s="1478" t="str">
        <f t="shared" si="11"/>
        <v>市政基础设施</v>
      </c>
      <c r="R37" s="710" t="s">
        <v>17</v>
      </c>
      <c r="S37" s="711">
        <f t="shared" si="12"/>
        <v>100</v>
      </c>
      <c r="T37" s="710" t="s">
        <v>17</v>
      </c>
      <c r="U37" s="711">
        <f t="shared" si="13"/>
        <v>100</v>
      </c>
      <c r="V37" s="710" t="s">
        <v>17</v>
      </c>
      <c r="W37" s="711">
        <f t="shared" si="14"/>
        <v>100</v>
      </c>
      <c r="X37" s="712"/>
      <c r="Y37" s="3482"/>
      <c r="Z37" s="55" t="str">
        <f t="shared" si="15"/>
        <v>市政基础设施</v>
      </c>
      <c r="AA37" s="713">
        <f t="shared" si="3"/>
        <v>1</v>
      </c>
      <c r="AB37" s="713">
        <f t="shared" si="4"/>
        <v>1</v>
      </c>
      <c r="AC37" s="713">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480" t="s">
        <v>2145</v>
      </c>
      <c r="Q38" s="1487" t="str">
        <f t="shared" si="11"/>
        <v>业态</v>
      </c>
      <c r="R38" s="714" t="s">
        <v>17</v>
      </c>
      <c r="S38" s="715">
        <f t="shared" si="12"/>
        <v>100</v>
      </c>
      <c r="T38" s="714" t="s">
        <v>17</v>
      </c>
      <c r="U38" s="715">
        <f t="shared" si="13"/>
        <v>100</v>
      </c>
      <c r="V38" s="714" t="s">
        <v>17</v>
      </c>
      <c r="W38" s="715">
        <f t="shared" si="14"/>
        <v>100</v>
      </c>
      <c r="X38" s="1490"/>
      <c r="Y38" s="3482" t="s">
        <v>2145</v>
      </c>
      <c r="Z38" s="1491" t="str">
        <f t="shared" si="15"/>
        <v>业态</v>
      </c>
      <c r="AA38" s="1488">
        <f t="shared" si="3"/>
        <v>1</v>
      </c>
      <c r="AB38" s="1488">
        <f t="shared" si="4"/>
        <v>1</v>
      </c>
      <c r="AC38" s="1488">
        <f t="shared" si="5"/>
        <v>1</v>
      </c>
    </row>
    <row r="39" spans="1:29" ht="15">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480"/>
      <c r="Q39" s="1487" t="str">
        <f t="shared" si="11"/>
        <v>层高</v>
      </c>
      <c r="R39" s="714" t="s">
        <v>17</v>
      </c>
      <c r="S39" s="715">
        <f t="shared" si="12"/>
        <v>100</v>
      </c>
      <c r="T39" s="714" t="s">
        <v>17</v>
      </c>
      <c r="U39" s="715">
        <f t="shared" si="13"/>
        <v>100</v>
      </c>
      <c r="V39" s="714" t="s">
        <v>17</v>
      </c>
      <c r="W39" s="715">
        <f t="shared" si="14"/>
        <v>100</v>
      </c>
      <c r="X39" s="1490"/>
      <c r="Y39" s="3482"/>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80"/>
      <c r="Q40" s="1487" t="str">
        <f t="shared" si="11"/>
        <v>单套建筑面积</v>
      </c>
      <c r="R40" s="714" t="s">
        <v>17</v>
      </c>
      <c r="S40" s="715">
        <f t="shared" si="12"/>
        <v>100</v>
      </c>
      <c r="T40" s="714" t="s">
        <v>17</v>
      </c>
      <c r="U40" s="715">
        <f t="shared" si="13"/>
        <v>100</v>
      </c>
      <c r="V40" s="714" t="s">
        <v>17</v>
      </c>
      <c r="W40" s="715">
        <f t="shared" si="14"/>
        <v>100</v>
      </c>
      <c r="X40" s="1490"/>
      <c r="Y40" s="3482"/>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80"/>
      <c r="Q41" s="716" t="str">
        <f t="shared" si="11"/>
        <v>进深比</v>
      </c>
      <c r="R41" s="717" t="s">
        <v>17</v>
      </c>
      <c r="S41" s="718">
        <f t="shared" si="12"/>
        <v>100</v>
      </c>
      <c r="T41" s="717" t="s">
        <v>17</v>
      </c>
      <c r="U41" s="718">
        <f t="shared" si="13"/>
        <v>100</v>
      </c>
      <c r="V41" s="717" t="s">
        <v>17</v>
      </c>
      <c r="W41" s="718">
        <f t="shared" si="14"/>
        <v>100</v>
      </c>
      <c r="X41" s="719"/>
      <c r="Y41" s="3482"/>
      <c r="Z41" s="720" t="str">
        <f t="shared" si="15"/>
        <v>进深比</v>
      </c>
      <c r="AA41" s="1488">
        <f t="shared" si="3"/>
        <v>1</v>
      </c>
      <c r="AB41" s="1488">
        <f t="shared" si="4"/>
        <v>1</v>
      </c>
      <c r="AC41" s="1488">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480"/>
      <c r="Q42" s="1487" t="str">
        <f t="shared" si="11"/>
        <v>内部装修</v>
      </c>
      <c r="R42" s="714" t="s">
        <v>17</v>
      </c>
      <c r="S42" s="715">
        <f t="shared" si="12"/>
        <v>100</v>
      </c>
      <c r="T42" s="714" t="s">
        <v>17</v>
      </c>
      <c r="U42" s="715">
        <f t="shared" si="13"/>
        <v>100</v>
      </c>
      <c r="V42" s="714" t="s">
        <v>17</v>
      </c>
      <c r="W42" s="715">
        <f t="shared" si="14"/>
        <v>100</v>
      </c>
      <c r="X42" s="1490"/>
      <c r="Y42" s="3482"/>
      <c r="Z42" s="1491" t="str">
        <f t="shared" si="15"/>
        <v>内部装修</v>
      </c>
      <c r="AA42" s="1488">
        <f t="shared" si="3"/>
        <v>1</v>
      </c>
      <c r="AB42" s="1488">
        <f t="shared" si="4"/>
        <v>1</v>
      </c>
      <c r="AC42" s="1488">
        <f t="shared" si="5"/>
        <v>1</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480"/>
      <c r="Q43" s="1487" t="str">
        <f t="shared" si="11"/>
        <v>内部装修维护情况</v>
      </c>
      <c r="R43" s="714" t="s">
        <v>17</v>
      </c>
      <c r="S43" s="715">
        <f t="shared" si="12"/>
        <v>100</v>
      </c>
      <c r="T43" s="714" t="s">
        <v>17</v>
      </c>
      <c r="U43" s="715">
        <f t="shared" si="13"/>
        <v>100</v>
      </c>
      <c r="V43" s="714" t="s">
        <v>17</v>
      </c>
      <c r="W43" s="715">
        <f t="shared" si="14"/>
        <v>100</v>
      </c>
      <c r="X43" s="1490"/>
      <c r="Y43" s="3482"/>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80"/>
      <c r="Q44" s="1478">
        <f t="shared" si="11"/>
        <v>111</v>
      </c>
      <c r="R44" s="710" t="s">
        <v>17</v>
      </c>
      <c r="S44" s="711">
        <f t="shared" si="12"/>
        <v>100</v>
      </c>
      <c r="T44" s="710" t="s">
        <v>17</v>
      </c>
      <c r="U44" s="711">
        <f t="shared" si="13"/>
        <v>100</v>
      </c>
      <c r="V44" s="710" t="s">
        <v>17</v>
      </c>
      <c r="W44" s="711">
        <f t="shared" si="14"/>
        <v>100</v>
      </c>
      <c r="X44" s="712"/>
      <c r="Y44" s="3482"/>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80"/>
      <c r="Q45" s="1487">
        <f t="shared" si="11"/>
        <v>111</v>
      </c>
      <c r="R45" s="714" t="s">
        <v>17</v>
      </c>
      <c r="S45" s="715">
        <f t="shared" si="12"/>
        <v>100</v>
      </c>
      <c r="T45" s="714" t="s">
        <v>17</v>
      </c>
      <c r="U45" s="715">
        <f t="shared" si="13"/>
        <v>100</v>
      </c>
      <c r="V45" s="714" t="s">
        <v>17</v>
      </c>
      <c r="W45" s="715">
        <f t="shared" si="14"/>
        <v>100</v>
      </c>
      <c r="X45" s="1490"/>
      <c r="Y45" s="3482"/>
      <c r="Z45" s="1491">
        <f t="shared" si="15"/>
        <v>111</v>
      </c>
      <c r="AA45" s="1488">
        <f t="shared" si="3"/>
        <v>1</v>
      </c>
      <c r="AB45" s="1488">
        <f t="shared" si="4"/>
        <v>1</v>
      </c>
      <c r="AC45" s="1488">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81"/>
      <c r="Q46" s="1487">
        <f t="shared" si="11"/>
        <v>111</v>
      </c>
      <c r="R46" s="714" t="s">
        <v>17</v>
      </c>
      <c r="S46" s="715">
        <f t="shared" si="12"/>
        <v>100</v>
      </c>
      <c r="T46" s="714" t="s">
        <v>17</v>
      </c>
      <c r="U46" s="715">
        <f t="shared" si="13"/>
        <v>100</v>
      </c>
      <c r="V46" s="714" t="s">
        <v>17</v>
      </c>
      <c r="W46" s="715">
        <f t="shared" si="14"/>
        <v>100</v>
      </c>
      <c r="X46" s="1490"/>
      <c r="Y46" s="3483"/>
      <c r="Z46" s="1491">
        <f t="shared" si="15"/>
        <v>111</v>
      </c>
      <c r="AA46" s="1488">
        <f t="shared" si="3"/>
        <v>1</v>
      </c>
      <c r="AB46" s="1488">
        <f t="shared" si="4"/>
        <v>1</v>
      </c>
      <c r="AC46" s="1488">
        <f t="shared" si="5"/>
        <v>1</v>
      </c>
    </row>
    <row r="47" spans="1:29" ht="15">
      <c r="A47" s="438" t="s">
        <v>2157</v>
      </c>
      <c r="B47" s="439"/>
      <c r="C47" s="1269" t="s">
        <v>1</v>
      </c>
      <c r="D47" s="1270"/>
      <c r="E47" s="1271">
        <v>50000</v>
      </c>
      <c r="F47" s="1272"/>
      <c r="G47" s="1273">
        <f>E47</f>
        <v>50000</v>
      </c>
      <c r="H47" s="1274"/>
      <c r="I47" s="1271">
        <f>E47</f>
        <v>50000</v>
      </c>
      <c r="J47" s="1274"/>
      <c r="K47" s="723"/>
      <c r="L47" s="2902"/>
      <c r="M47" s="2903"/>
      <c r="N47" s="2894"/>
      <c r="O47" s="2903"/>
      <c r="P47" s="3475" t="str">
        <f>A47</f>
        <v>成交单价（元/平方米）</v>
      </c>
      <c r="Q47" s="3475"/>
      <c r="R47" s="3506">
        <f>E47</f>
        <v>50000</v>
      </c>
      <c r="S47" s="3506"/>
      <c r="T47" s="3506">
        <f>G47</f>
        <v>50000</v>
      </c>
      <c r="U47" s="3506"/>
      <c r="V47" s="3506">
        <f>I47</f>
        <v>50000</v>
      </c>
      <c r="W47" s="3506"/>
      <c r="X47" s="699"/>
      <c r="Y47" s="721"/>
      <c r="Z47" s="699"/>
      <c r="AA47" s="699"/>
      <c r="AB47" s="699"/>
      <c r="AC47" s="699"/>
    </row>
    <row r="48" spans="1:29" ht="15.75" thickBot="1">
      <c r="A48" s="445" t="s">
        <v>2249</v>
      </c>
      <c r="B48" s="446"/>
      <c r="C48" s="1275">
        <f>R49</f>
        <v>50000</v>
      </c>
      <c r="D48" s="2488" t="s">
        <v>2638</v>
      </c>
      <c r="E48" s="1276">
        <f>R48</f>
        <v>50000</v>
      </c>
      <c r="F48" s="2489"/>
      <c r="G48" s="1275">
        <f>T48</f>
        <v>50000</v>
      </c>
      <c r="H48" s="2489"/>
      <c r="I48" s="1276">
        <f>V48</f>
        <v>50000</v>
      </c>
      <c r="J48" s="2489"/>
      <c r="K48" s="2491">
        <f>F48+H48+J48</f>
        <v>0</v>
      </c>
      <c r="L48" s="2902"/>
      <c r="M48" s="2903"/>
      <c r="N48" s="2894"/>
      <c r="O48" s="2903"/>
      <c r="P48" s="3475" t="str">
        <f>A48</f>
        <v>比较价值（元/平方米）</v>
      </c>
      <c r="Q48" s="3475"/>
      <c r="R48" s="3476">
        <f>IF(F1="售价",ROUND(PRODUCT(R47,AA7:AA46),0),ROUND(PRODUCT(R47,AA7:AA46),1))</f>
        <v>50000</v>
      </c>
      <c r="S48" s="3476"/>
      <c r="T48" s="3476">
        <f>IF(F1="售价",ROUND(PRODUCT(T47,AB7:AB46),0),ROUND(PRODUCT(T47,AB7:AB46),1))</f>
        <v>50000</v>
      </c>
      <c r="U48" s="3476"/>
      <c r="V48" s="3476">
        <f>IF(F1="售价",ROUND(PRODUCT(V47,AC7:AC46),0),ROUND(PRODUCT(V47,AC7:AC46),1))</f>
        <v>50000</v>
      </c>
      <c r="W48" s="3476"/>
      <c r="X48" s="699"/>
      <c r="Y48" s="699"/>
      <c r="Z48" s="699"/>
      <c r="AA48" s="699"/>
      <c r="AB48" s="699"/>
      <c r="AC48" s="699"/>
    </row>
    <row r="49" spans="1:29" ht="15.75" thickBot="1">
      <c r="A49" s="449" t="s">
        <v>2250</v>
      </c>
      <c r="B49" s="450"/>
      <c r="C49" s="1278">
        <f>R49</f>
        <v>50000</v>
      </c>
      <c r="D49" s="1278"/>
      <c r="E49" s="1278"/>
      <c r="F49" s="1278"/>
      <c r="G49" s="1278"/>
      <c r="H49" s="1278"/>
      <c r="I49" s="1278"/>
      <c r="J49" s="1278"/>
      <c r="K49" s="724"/>
      <c r="L49" s="2902"/>
      <c r="M49" s="2903"/>
      <c r="N49" s="2894"/>
      <c r="O49" s="2903"/>
      <c r="P49" s="3472" t="str">
        <f>A49</f>
        <v>估价对象XX用房的比较价值（楼面单价，元/平方米）</v>
      </c>
      <c r="Q49" s="3473"/>
      <c r="R49" s="3474">
        <f>IF(F1="售价",ROUND(IF(D48="简单平均",AVERAGE(R48:V48),R48*F48+T48*H48+V48*J48),0),ROUND(IF(D48="简单平均",AVERAGE(R48:V48),R48*F48+T48*H48+V48*J48),1))</f>
        <v>50000</v>
      </c>
      <c r="S49" s="3474"/>
      <c r="T49" s="3474"/>
      <c r="U49" s="3474"/>
      <c r="V49" s="3474"/>
      <c r="W49" s="3474"/>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f>IF(E47&lt;E48,E48/E47-1,E47/E48-1)</f>
        <v>0</v>
      </c>
      <c r="F52" s="457" t="str">
        <f>IF(OR(E52&gt;=0.3,E52&lt;=-0.3),"超过30%","")</f>
        <v/>
      </c>
      <c r="G52" s="456">
        <f>IF(G47&lt;G48,G48/G47-1,G47/G48-1)</f>
        <v>0</v>
      </c>
      <c r="H52" s="457" t="str">
        <f>IF(OR(G52&gt;=0.3,G52&lt;=-0.3),"超过30%","")</f>
        <v/>
      </c>
      <c r="I52" s="456">
        <f>IF(I47&lt;I48,I48/I47-1,I47/I48-1)</f>
        <v>0</v>
      </c>
      <c r="J52" s="457" t="str">
        <f>IF(OR(I52&gt;=0.3,I52&lt;=-0.3),"超过30%","")</f>
        <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f>IF(E48&lt;G48,G48/E48-1,E48/G48-1)</f>
        <v>0</v>
      </c>
      <c r="F53" s="457" t="str">
        <f>IF(OR(E53&gt;=0.2,E53&lt;=-0.2),"超过20%","")</f>
        <v/>
      </c>
      <c r="G53" s="456">
        <f>IF(G48&lt;I48,I48/G48-1,G48/I48-1)</f>
        <v>0</v>
      </c>
      <c r="H53" s="457" t="str">
        <f>IF(OR(G53&gt;=0.2,G53&lt;=-0.2),"超过20%","")</f>
        <v/>
      </c>
      <c r="I53" s="456">
        <f>IF(I48&lt;E48,E48/I48-1,I48/E48-1)</f>
        <v>0</v>
      </c>
      <c r="J53" s="457" t="str">
        <f>IF(OR(I53&gt;=0.2,I53&lt;=-0.2),"超过20%","")</f>
        <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9" t="str">
        <f>YEAR(C7)&amp;"-"&amp;MONTH(C7)</f>
        <v>2022-7</v>
      </c>
      <c r="D58" s="1300">
        <f>EDATE(C58,-1)</f>
        <v>44713</v>
      </c>
      <c r="E58" s="1300">
        <f t="shared" ref="E58:N58" si="16">EDATE(D58,-1)</f>
        <v>44682</v>
      </c>
      <c r="F58" s="1300">
        <f t="shared" si="16"/>
        <v>44652</v>
      </c>
      <c r="G58" s="1300">
        <f t="shared" si="16"/>
        <v>44621</v>
      </c>
      <c r="H58" s="1300">
        <f t="shared" si="16"/>
        <v>44593</v>
      </c>
      <c r="I58" s="1300">
        <f t="shared" si="16"/>
        <v>44562</v>
      </c>
      <c r="J58" s="1300">
        <f t="shared" si="16"/>
        <v>44531</v>
      </c>
      <c r="K58" s="1300">
        <f t="shared" si="16"/>
        <v>44501</v>
      </c>
      <c r="L58" s="1300">
        <f t="shared" si="16"/>
        <v>44470</v>
      </c>
      <c r="M58" s="1300">
        <f t="shared" si="16"/>
        <v>44440</v>
      </c>
      <c r="N58" s="1300">
        <f t="shared" si="16"/>
        <v>44409</v>
      </c>
      <c r="O58" s="1300">
        <f>EDATE(N58,-1)</f>
        <v>44378</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v>0</v>
      </c>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0(含)-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v>0</v>
      </c>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95" priority="21" stopIfTrue="1" operator="containsText" text="超过">
      <formula>NOT(ISERROR(SEARCH("超过",F52)))</formula>
    </cfRule>
  </conditionalFormatting>
  <conditionalFormatting sqref="H54">
    <cfRule type="containsText" dxfId="194" priority="19" stopIfTrue="1" operator="containsText" text="超过">
      <formula>NOT(ISERROR(SEARCH("超过",H54)))</formula>
    </cfRule>
  </conditionalFormatting>
  <conditionalFormatting sqref="F54">
    <cfRule type="containsText" dxfId="193" priority="18" stopIfTrue="1" operator="containsText" text="超过">
      <formula>NOT(ISERROR(SEARCH("超过",F54)))</formula>
    </cfRule>
  </conditionalFormatting>
  <conditionalFormatting sqref="F53 H53">
    <cfRule type="containsText" dxfId="192" priority="17" stopIfTrue="1" operator="containsText" text="超过">
      <formula>NOT(ISERROR(SEARCH("超过",F53)))</formula>
    </cfRule>
  </conditionalFormatting>
  <conditionalFormatting sqref="E52">
    <cfRule type="expression" dxfId="191" priority="16" stopIfTrue="1">
      <formula>$F$52="超过30%"</formula>
    </cfRule>
  </conditionalFormatting>
  <conditionalFormatting sqref="E53">
    <cfRule type="expression" dxfId="190" priority="15" stopIfTrue="1">
      <formula>$F$53="超过20%"</formula>
    </cfRule>
  </conditionalFormatting>
  <conditionalFormatting sqref="E54">
    <cfRule type="expression" dxfId="189" priority="14" stopIfTrue="1">
      <formula>$F$54="超过30%"</formula>
    </cfRule>
  </conditionalFormatting>
  <conditionalFormatting sqref="G54">
    <cfRule type="expression" dxfId="188" priority="13" stopIfTrue="1">
      <formula>$H$54="超过30%"</formula>
    </cfRule>
  </conditionalFormatting>
  <conditionalFormatting sqref="G52">
    <cfRule type="expression" dxfId="187" priority="12" stopIfTrue="1">
      <formula>$H$52="超过30%"</formula>
    </cfRule>
  </conditionalFormatting>
  <conditionalFormatting sqref="G53">
    <cfRule type="expression" dxfId="186" priority="11" stopIfTrue="1">
      <formula>$H$53="超过20%"</formula>
    </cfRule>
  </conditionalFormatting>
  <conditionalFormatting sqref="J52">
    <cfRule type="containsText" dxfId="185" priority="10" stopIfTrue="1" operator="containsText" text="超过">
      <formula>NOT(ISERROR(SEARCH("超过",J52)))</formula>
    </cfRule>
  </conditionalFormatting>
  <conditionalFormatting sqref="J54">
    <cfRule type="containsText" dxfId="184" priority="9" stopIfTrue="1" operator="containsText" text="超过">
      <formula>NOT(ISERROR(SEARCH("超过",J54)))</formula>
    </cfRule>
  </conditionalFormatting>
  <conditionalFormatting sqref="J53">
    <cfRule type="containsText" dxfId="183" priority="8" stopIfTrue="1" operator="containsText" text="超过">
      <formula>NOT(ISERROR(SEARCH("超过",J53)))</formula>
    </cfRule>
  </conditionalFormatting>
  <conditionalFormatting sqref="I52">
    <cfRule type="expression" dxfId="182" priority="7" stopIfTrue="1">
      <formula>$J$52="超过30%"</formula>
    </cfRule>
  </conditionalFormatting>
  <conditionalFormatting sqref="I53">
    <cfRule type="expression" dxfId="181" priority="6" stopIfTrue="1">
      <formula>$J$53="超过20%"</formula>
    </cfRule>
  </conditionalFormatting>
  <conditionalFormatting sqref="I54">
    <cfRule type="expression" dxfId="180" priority="5" stopIfTrue="1">
      <formula>$J$54="超过30%"</formula>
    </cfRule>
  </conditionalFormatting>
  <conditionalFormatting sqref="F48">
    <cfRule type="expression" dxfId="179" priority="4">
      <formula>$D$48="简单平均"</formula>
    </cfRule>
  </conditionalFormatting>
  <conditionalFormatting sqref="H48">
    <cfRule type="expression" dxfId="178" priority="3">
      <formula>$D$48="简单平均"</formula>
    </cfRule>
  </conditionalFormatting>
  <conditionalFormatting sqref="J48">
    <cfRule type="expression" dxfId="177" priority="2">
      <formula>$D$48="简单平均"</formula>
    </cfRule>
  </conditionalFormatting>
  <conditionalFormatting sqref="F7:F46 H7:H46 J7:J46">
    <cfRule type="cellIs" dxfId="17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3208</v>
      </c>
      <c r="D1" s="1497" t="s">
        <v>70</v>
      </c>
      <c r="E1" s="1498" t="s">
        <v>1111</v>
      </c>
      <c r="F1" s="1174">
        <f ca="1">J53</f>
        <v>31.42</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1605</v>
      </c>
      <c r="C2" s="1522" t="s">
        <v>1240</v>
      </c>
      <c r="D2" s="1522"/>
      <c r="E2" s="1523"/>
      <c r="F2" s="1524"/>
      <c r="G2" s="2884"/>
      <c r="H2" s="2873"/>
      <c r="I2" s="2873"/>
      <c r="J2" s="2873"/>
      <c r="K2" s="2874"/>
      <c r="L2" s="2873"/>
      <c r="M2" s="2873"/>
    </row>
    <row r="3" spans="1:37" ht="18" customHeight="1" thickBot="1">
      <c r="A3" s="1525" t="s">
        <v>1241</v>
      </c>
      <c r="B3" s="1526">
        <f ca="1">IF(ISERROR(B2*10000/F43),0,ROUND(B2*10000/F43,0))</f>
        <v>30289</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104</v>
      </c>
      <c r="D5" s="1499" t="s">
        <v>1126</v>
      </c>
      <c r="E5" s="1184"/>
      <c r="F5" s="1185"/>
      <c r="G5" s="1519"/>
      <c r="H5" s="305">
        <v>1</v>
      </c>
      <c r="I5" s="306" t="s">
        <v>1125</v>
      </c>
      <c r="J5" s="1183">
        <f ca="1">J6+J10+J12</f>
        <v>0</v>
      </c>
      <c r="K5" s="1499" t="s">
        <v>1126</v>
      </c>
      <c r="L5" s="1184"/>
      <c r="M5" s="1185"/>
    </row>
    <row r="6" spans="1:37" ht="18" customHeight="1">
      <c r="A6" s="1182" t="s">
        <v>822</v>
      </c>
      <c r="B6" s="3448" t="s">
        <v>1127</v>
      </c>
      <c r="C6" s="1187">
        <f ca="1">ROUND(F6*F8*F7*(1-F9)/10000,0)</f>
        <v>104</v>
      </c>
      <c r="D6" s="160" t="s">
        <v>2608</v>
      </c>
      <c r="E6" s="308" t="s">
        <v>1129</v>
      </c>
      <c r="F6" s="309">
        <f ca="1">INDIRECT("'数据-取费表'!u"&amp;$G$1)</f>
        <v>6</v>
      </c>
      <c r="G6" s="1519"/>
      <c r="H6" s="1182" t="s">
        <v>822</v>
      </c>
      <c r="I6" s="3448" t="s">
        <v>1127</v>
      </c>
      <c r="J6" s="307">
        <f ca="1">ROUND(M6*M8*M7*(1-M9)/10000,0)</f>
        <v>0</v>
      </c>
      <c r="K6" s="160" t="s">
        <v>2607</v>
      </c>
      <c r="L6" s="308" t="s">
        <v>1129</v>
      </c>
      <c r="M6" s="309">
        <f ca="1">INDIRECT("'数据-取费表'!z"&amp;$G$1)</f>
        <v>0</v>
      </c>
    </row>
    <row r="7" spans="1:37" ht="18" customHeight="1">
      <c r="A7" s="1186"/>
      <c r="B7" s="3449"/>
      <c r="C7" s="1188"/>
      <c r="D7" s="313"/>
      <c r="E7" s="1189" t="s">
        <v>1130</v>
      </c>
      <c r="F7" s="309">
        <f ca="1">IF(INDIRECT("'数据-取费表'!ah"&amp;$G$1)="",INDIRECT("'数据-取费表'!k"&amp;$G$1),INDIRECT("'数据-取费表'!ah"&amp;$G$1))</f>
        <v>529.9</v>
      </c>
      <c r="G7" s="1519"/>
      <c r="H7" s="310"/>
      <c r="I7" s="3449"/>
      <c r="J7" s="312"/>
      <c r="K7" s="313"/>
      <c r="L7" s="308" t="s">
        <v>1130</v>
      </c>
      <c r="M7" s="309">
        <f ca="1">F7</f>
        <v>529.9</v>
      </c>
    </row>
    <row r="8" spans="1:37" ht="18" customHeight="1">
      <c r="A8" s="310"/>
      <c r="B8" s="3449"/>
      <c r="C8" s="312"/>
      <c r="D8" s="313"/>
      <c r="E8" s="308" t="s">
        <v>1131</v>
      </c>
      <c r="F8" s="309">
        <f ca="1">INDIRECT("'数据-取费表'!ai"&amp;$G$1)</f>
        <v>365</v>
      </c>
      <c r="G8" s="1519"/>
      <c r="H8" s="310"/>
      <c r="I8" s="3449"/>
      <c r="J8" s="312"/>
      <c r="K8" s="313"/>
      <c r="L8" s="308" t="s">
        <v>1131</v>
      </c>
      <c r="M8" s="309">
        <f ca="1">INDIRECT("'数据-取费表'!ai"&amp;$G$1)</f>
        <v>365</v>
      </c>
    </row>
    <row r="9" spans="1:37" ht="18" customHeight="1">
      <c r="A9" s="310"/>
      <c r="B9" s="3450"/>
      <c r="C9" s="312"/>
      <c r="D9" s="313"/>
      <c r="E9" s="308" t="s">
        <v>1132</v>
      </c>
      <c r="F9" s="318">
        <f ca="1">INDIRECT("'数据-取费表'!w"&amp;$G$1)</f>
        <v>0.1</v>
      </c>
      <c r="G9" s="1519"/>
      <c r="H9" s="310"/>
      <c r="I9" s="345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t="s">
        <v>3218</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311</v>
      </c>
      <c r="D13" s="1194" t="s">
        <v>1139</v>
      </c>
      <c r="E13" s="1194" t="s">
        <v>1140</v>
      </c>
      <c r="F13" s="1195">
        <f ca="1">INDIRECT("'数据-取费表'!y"&amp;$G$1)</f>
        <v>0.97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212</v>
      </c>
      <c r="D14" s="1480" t="s">
        <v>1142</v>
      </c>
      <c r="E14" s="1477"/>
      <c r="F14" s="325"/>
      <c r="G14" s="1519"/>
      <c r="H14" s="1094" t="s">
        <v>822</v>
      </c>
      <c r="I14" s="308" t="s">
        <v>1143</v>
      </c>
      <c r="J14" s="24">
        <f ca="1">C29</f>
        <v>321</v>
      </c>
      <c r="K14" s="15"/>
      <c r="L14" s="897"/>
      <c r="M14" s="898"/>
    </row>
    <row r="15" spans="1:37" s="1532" customFormat="1" ht="18" customHeight="1" thickBot="1">
      <c r="A15" s="1094" t="s">
        <v>823</v>
      </c>
      <c r="B15" s="308" t="s">
        <v>1144</v>
      </c>
      <c r="C15" s="24">
        <f ca="1">ROUND(C14*F15,0)</f>
        <v>6</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8</v>
      </c>
      <c r="K16" s="1200" t="s">
        <v>1149</v>
      </c>
      <c r="L16" s="1201"/>
      <c r="M16" s="1185"/>
    </row>
    <row r="17" spans="1:37" s="1532" customFormat="1" ht="18" customHeight="1">
      <c r="A17" s="1094" t="s">
        <v>1114</v>
      </c>
      <c r="B17" s="308" t="s">
        <v>1150</v>
      </c>
      <c r="C17" s="24">
        <f ca="1">ROUND(F17*(F43+INDIRECT("'数据-取费表'!S"&amp;$G$1))/10000,0)</f>
        <v>11</v>
      </c>
      <c r="D17" s="308" t="s">
        <v>1151</v>
      </c>
      <c r="E17" s="308" t="s">
        <v>1152</v>
      </c>
      <c r="F17" s="26">
        <f>'数据-取费表'!B35</f>
        <v>200</v>
      </c>
      <c r="G17" s="1531"/>
      <c r="H17" s="1094" t="s">
        <v>822</v>
      </c>
      <c r="I17" s="308" t="s">
        <v>1153</v>
      </c>
      <c r="J17" s="2484">
        <f ca="1">ROUND(IF(AND(项目基本情况!B11="自然人",项目基本情况!B10="北京市"),J6*M17/(1+'数据-取费表'!C42),J18+J19+J20),0)</f>
        <v>3</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232</v>
      </c>
      <c r="D19" s="136" t="s">
        <v>1160</v>
      </c>
      <c r="E19" s="1495"/>
      <c r="F19" s="26"/>
      <c r="G19" s="1519"/>
      <c r="H19" s="1094" t="s">
        <v>823</v>
      </c>
      <c r="I19" s="308" t="s">
        <v>1161</v>
      </c>
      <c r="J19" s="24">
        <f ca="1">IF(K19="按租金收入计税",ROUND(J6*M19/(1+'数据-取费表'!C42),2),ROUND(C29*M19*0.7,2))</f>
        <v>2.7</v>
      </c>
      <c r="K19" s="1505" t="s">
        <v>1162</v>
      </c>
      <c r="L19" s="308" t="s">
        <v>1146</v>
      </c>
      <c r="M19" s="328">
        <f>IF(K19="按租金收入计税",'数据-取费表'!B51,'数据-取费表'!B50)</f>
        <v>1.2E-2</v>
      </c>
    </row>
    <row r="20" spans="1:37" s="1532" customFormat="1" ht="18" customHeight="1">
      <c r="A20" s="1094" t="s">
        <v>826</v>
      </c>
      <c r="B20" s="308" t="s">
        <v>1163</v>
      </c>
      <c r="C20" s="24">
        <f ca="1">ROUND(C19*F20,0)</f>
        <v>5</v>
      </c>
      <c r="D20" s="329" t="s">
        <v>1164</v>
      </c>
      <c r="E20" s="308" t="s">
        <v>1146</v>
      </c>
      <c r="F20" s="328">
        <f>'数据-取费表'!B37</f>
        <v>0.02</v>
      </c>
      <c r="G20" s="1531"/>
      <c r="H20" s="1094" t="s">
        <v>1113</v>
      </c>
      <c r="I20" s="160" t="s">
        <v>1165</v>
      </c>
      <c r="J20" s="25">
        <f ca="1">ROUND(M20*M21/10000,2)</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4.8</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12</v>
      </c>
      <c r="D23" s="335" t="str">
        <f>IF(F23&lt;=1,"(建造成本+管理费用)×利率×(建设周期÷2)","(建造成本+管理费用)×((1+利率)^(建设周期÷2)-1)")</f>
        <v>(建造成本+管理费用)×((1+利率)^(建设周期÷2)-1)</v>
      </c>
      <c r="E23" s="308" t="s">
        <v>1176</v>
      </c>
      <c r="F23" s="331">
        <f>'数据-取费表'!B20</f>
        <v>2.5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-8</v>
      </c>
      <c r="K25" s="1208" t="s">
        <v>1188</v>
      </c>
      <c r="L25" s="1209"/>
      <c r="M25" s="1210"/>
    </row>
    <row r="26" spans="1:37">
      <c r="A26" s="1094" t="s">
        <v>821</v>
      </c>
      <c r="B26" s="308" t="s">
        <v>1189</v>
      </c>
      <c r="C26" s="24">
        <f ca="1">ROUND((C19+C20)*F26,0)</f>
        <v>47</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4.0000000000000001E-3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321</v>
      </c>
      <c r="D29" s="1205"/>
      <c r="E29" s="1203"/>
      <c r="F29" s="1206"/>
      <c r="G29" s="1531"/>
      <c r="H29" s="340" t="s">
        <v>820</v>
      </c>
      <c r="I29" s="341" t="s">
        <v>1203</v>
      </c>
      <c r="J29" s="342">
        <f ca="1">ROUND(J26/(1+F40)^F41,0)</f>
        <v>0</v>
      </c>
      <c r="K29" s="343" t="s">
        <v>1204</v>
      </c>
      <c r="L29" s="344"/>
      <c r="M29" s="345">
        <f ca="1">INDIRECT("'数据-取费表'!k"&amp;$G$1)</f>
        <v>529.9</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23</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17</v>
      </c>
      <c r="D31" s="1480" t="s">
        <v>1154</v>
      </c>
      <c r="E31" s="1479" t="s">
        <v>1205</v>
      </c>
      <c r="F31" s="2483" t="str">
        <f>IF(项目基本情况!B11="企业","——",IF('数据-取费表'!B10="住宅",IF(F6*F7*F8/12/(1+'数据-取费表'!F30)&gt;100000,4%,2.5%),IF(F6*F7*F8/12/(1+'数据-取费表'!F30)&gt;100000,12%,7%)))</f>
        <v>——</v>
      </c>
      <c r="G31" s="1519"/>
      <c r="H31" s="2988" t="s">
        <v>2811</v>
      </c>
      <c r="I31" s="1533"/>
      <c r="J31" s="1534"/>
      <c r="K31" s="2650"/>
      <c r="L31" s="2876"/>
      <c r="M31" s="2877"/>
    </row>
    <row r="32" spans="1:37" ht="18" customHeight="1">
      <c r="A32" s="1094" t="s">
        <v>821</v>
      </c>
      <c r="B32" s="308" t="s">
        <v>1157</v>
      </c>
      <c r="C32" s="24">
        <f ca="1">IF(项目基本情况!B11="自然人","——",ROUND(C6*F32/(1+'数据-取费表'!C42),2))</f>
        <v>5.45</v>
      </c>
      <c r="D32" s="1479" t="s">
        <v>1158</v>
      </c>
      <c r="E32" s="308" t="s">
        <v>1146</v>
      </c>
      <c r="F32" s="337">
        <f>'数据-取费表'!B41</f>
        <v>5.5000000000000007E-2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11.89</v>
      </c>
      <c r="D33" s="1505" t="s">
        <v>3219</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0</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ROUND(C29*F36,1)</f>
        <v>4.8</v>
      </c>
      <c r="D36" s="1479" t="s">
        <v>1206</v>
      </c>
      <c r="E36" s="308" t="s">
        <v>1146</v>
      </c>
      <c r="F36" s="334">
        <f ca="1">INDIRECT("'数据-取费表'!Ak"&amp;$G$1)</f>
        <v>1.4999999999999999E-2</v>
      </c>
      <c r="G36" s="1519"/>
      <c r="H36" s="2878"/>
      <c r="I36" s="1533"/>
      <c r="J36" s="1534"/>
      <c r="K36" s="2719"/>
      <c r="L36" s="2878"/>
      <c r="M36" s="2878"/>
    </row>
    <row r="37" spans="1:18" ht="18" customHeight="1">
      <c r="A37" s="1094" t="s">
        <v>862</v>
      </c>
      <c r="B37" s="308" t="s">
        <v>1177</v>
      </c>
      <c r="C37" s="24">
        <f ca="1">ROUND(C13*F37,1)</f>
        <v>0.5</v>
      </c>
      <c r="D37" s="1479" t="s">
        <v>1178</v>
      </c>
      <c r="E37" s="308" t="s">
        <v>1179</v>
      </c>
      <c r="F37" s="336">
        <f ca="1">INDIRECT("'数据-取费表'!Al"&amp;$G$1)</f>
        <v>1.5E-3</v>
      </c>
      <c r="G37" s="1519"/>
      <c r="H37" s="2878"/>
      <c r="I37" s="1533"/>
      <c r="J37" s="1534"/>
      <c r="K37" s="2719"/>
      <c r="L37" s="2878"/>
      <c r="M37" s="2878"/>
    </row>
    <row r="38" spans="1:18" ht="18" customHeight="1" thickBot="1">
      <c r="A38" s="1202" t="s">
        <v>1117</v>
      </c>
      <c r="B38" s="1203" t="s">
        <v>1163</v>
      </c>
      <c r="C38" s="1204">
        <f ca="1">ROUND(C5*F38,1)</f>
        <v>1</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81</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1605</v>
      </c>
      <c r="D40" s="330" t="s">
        <v>1193</v>
      </c>
      <c r="E40" s="308" t="s">
        <v>1194</v>
      </c>
      <c r="F40" s="318">
        <f ca="1">INDIRECT("'数据-取费表'!I"&amp;$G$1)</f>
        <v>0.06</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31.42</v>
      </c>
      <c r="G41" s="1519"/>
      <c r="H41" s="1306"/>
      <c r="I41" s="1533"/>
      <c r="J41" s="1534"/>
      <c r="K41" s="2719"/>
      <c r="L41" s="1306"/>
      <c r="M41" s="1306"/>
    </row>
    <row r="42" spans="1:18" ht="18" customHeight="1">
      <c r="A42" s="314"/>
      <c r="B42" s="315"/>
      <c r="C42" s="316"/>
      <c r="D42" s="333"/>
      <c r="E42" s="308" t="s">
        <v>1201</v>
      </c>
      <c r="F42" s="318">
        <f ca="1">INDIRECT("'数据-取费表'!v"&amp;$G$1)</f>
        <v>0.03</v>
      </c>
      <c r="G42" s="1519"/>
      <c r="H42" s="1306"/>
      <c r="I42" s="1533"/>
      <c r="J42" s="1534"/>
      <c r="K42" s="2719"/>
      <c r="L42" s="1306"/>
      <c r="M42" s="1306"/>
    </row>
    <row r="43" spans="1:18" ht="18" customHeight="1" thickBot="1">
      <c r="A43" s="340" t="s">
        <v>820</v>
      </c>
      <c r="B43" s="341" t="s">
        <v>1211</v>
      </c>
      <c r="C43" s="342">
        <f ca="1">ROUND(C40*10000/F43,0)</f>
        <v>30289</v>
      </c>
      <c r="D43" s="343" t="s">
        <v>1212</v>
      </c>
      <c r="E43" s="344" t="s">
        <v>1213</v>
      </c>
      <c r="F43" s="345">
        <f ca="1">INDIRECT("'数据-取费表'!k"&amp;$G$1)</f>
        <v>529.9</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-2053</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3220</v>
      </c>
      <c r="K47" s="1551" t="s">
        <v>1251</v>
      </c>
      <c r="L47" s="1552">
        <f ca="1">INDIRECT("'数据-取费表'!d"&amp;$G$1)</f>
        <v>40</v>
      </c>
      <c r="M47" s="1515" t="str">
        <f>IF(ISNUMBER(FIND("住宅",C1)),"住宅","非住宅")</f>
        <v>非住宅</v>
      </c>
      <c r="O47" s="1553" t="s">
        <v>827</v>
      </c>
      <c r="P47" s="1554" t="s">
        <v>1252</v>
      </c>
      <c r="Q47" s="1555">
        <f ca="1">C40+J29</f>
        <v>1605</v>
      </c>
      <c r="R47" s="1555" t="s">
        <v>1253</v>
      </c>
    </row>
    <row r="48" spans="1:18" s="1519" customFormat="1" ht="28.5" thickBot="1">
      <c r="A48" s="1223" t="s">
        <v>863</v>
      </c>
      <c r="B48" s="306" t="s">
        <v>1125</v>
      </c>
      <c r="C48" s="1494">
        <f ca="1">C49+C53+C55</f>
        <v>0</v>
      </c>
      <c r="D48" s="1225"/>
      <c r="E48" s="1226"/>
      <c r="F48" s="1074"/>
      <c r="G48" s="731"/>
      <c r="H48" s="732"/>
      <c r="I48" s="1556" t="s">
        <v>1254</v>
      </c>
      <c r="J48" s="1557" t="s">
        <v>3221</v>
      </c>
      <c r="K48" s="1558" t="s">
        <v>1255</v>
      </c>
      <c r="L48" s="1559">
        <f ca="1">INDIRECT("'数据-取费表'!f"&amp;$G$1)</f>
        <v>31.42</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2020</v>
      </c>
      <c r="K49" s="1558" t="s">
        <v>1259</v>
      </c>
      <c r="L49" s="1562"/>
      <c r="O49" s="1563" t="s">
        <v>829</v>
      </c>
      <c r="P49" s="1554" t="s">
        <v>1260</v>
      </c>
      <c r="Q49" s="1555">
        <f ca="1">C29</f>
        <v>321</v>
      </c>
      <c r="R49" s="1555" t="s">
        <v>1253</v>
      </c>
    </row>
    <row r="50" spans="1:18" s="1519" customFormat="1" ht="13.5" thickBot="1">
      <c r="A50" s="1088"/>
      <c r="B50" s="1091"/>
      <c r="C50" s="1231"/>
      <c r="D50" s="1065"/>
      <c r="E50" s="1168" t="s">
        <v>1130</v>
      </c>
      <c r="F50" s="1169">
        <f ca="1">F7</f>
        <v>529.9</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58</v>
      </c>
      <c r="K51" s="1569" t="s">
        <v>1265</v>
      </c>
      <c r="L51" s="1570">
        <f ca="1">ROUND(-PV(INDIRECT("'数据-取费表'!h"&amp;$G$1),J51,(C39-C13*C76),0),0)</f>
        <v>1085</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31.42</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6">
        <f ca="1">IF(M47="住宅",IF(D1="——",MAX(J51,L48),MAX(J51,L48-'数据-取费表'!B24)),IF(D1="——",MIN(J51,L48),MIN(J51,L48-'数据-取费表'!B24)))</f>
        <v>31.42</v>
      </c>
      <c r="K53" s="3446" t="s">
        <v>1272</v>
      </c>
      <c r="L53" s="3447"/>
      <c r="O53" s="1553" t="s">
        <v>833</v>
      </c>
      <c r="P53" s="1554" t="s">
        <v>1273</v>
      </c>
      <c r="Q53" s="1555">
        <f ca="1">Q47+Q48</f>
        <v>1605</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311</v>
      </c>
      <c r="D56" s="1582"/>
      <c r="E56" s="1583"/>
      <c r="F56" s="1575"/>
      <c r="I56" s="1584" t="s">
        <v>1278</v>
      </c>
      <c r="J56" s="1585" t="s">
        <v>3201</v>
      </c>
      <c r="K56" s="1556" t="s">
        <v>1279</v>
      </c>
      <c r="L56" s="1559" t="str">
        <f ca="1">IF(L48&lt;J51,"——",L48-J53)</f>
        <v>——</v>
      </c>
      <c r="O56" s="1553" t="s">
        <v>827</v>
      </c>
      <c r="P56" s="1554" t="s">
        <v>1252</v>
      </c>
      <c r="Q56" s="1555">
        <f ca="1">C40+J29</f>
        <v>1605</v>
      </c>
      <c r="R56" s="1555" t="s">
        <v>1253</v>
      </c>
    </row>
    <row r="57" spans="1:18" s="1519" customFormat="1" ht="24.75" thickBot="1">
      <c r="A57" s="1586"/>
      <c r="B57" s="1062" t="s">
        <v>1202</v>
      </c>
      <c r="C57" s="244">
        <f ca="1">C29</f>
        <v>321</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32</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27</v>
      </c>
      <c r="D59" s="1075" t="s">
        <v>1154</v>
      </c>
      <c r="E59" s="1076" t="s">
        <v>1155</v>
      </c>
      <c r="F59" s="2483"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26.96</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1605</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4.8</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0.5</v>
      </c>
      <c r="D65" s="1076" t="s">
        <v>1178</v>
      </c>
      <c r="E65" s="1062" t="s">
        <v>1179</v>
      </c>
      <c r="F65" s="336">
        <f t="shared" ca="1" si="0"/>
        <v>1.5E-3</v>
      </c>
      <c r="I65" s="1597" t="s">
        <v>1303</v>
      </c>
      <c r="J65" s="1598">
        <v>40</v>
      </c>
      <c r="K65" s="1598">
        <v>30</v>
      </c>
      <c r="L65" s="1598">
        <v>50</v>
      </c>
      <c r="M65" s="1600">
        <v>0.02</v>
      </c>
      <c r="O65" s="1553" t="s">
        <v>827</v>
      </c>
      <c r="P65" s="1554" t="s">
        <v>1304</v>
      </c>
      <c r="Q65" s="1555">
        <f ca="1">C40+J29</f>
        <v>1605</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-32</v>
      </c>
      <c r="D67" s="1075" t="s">
        <v>1188</v>
      </c>
      <c r="E67" s="1080"/>
      <c r="F67" s="1081"/>
      <c r="O67" s="1563" t="s">
        <v>829</v>
      </c>
      <c r="P67" s="1554" t="s">
        <v>1286</v>
      </c>
      <c r="Q67" s="1601">
        <f ca="1">L51</f>
        <v>1085</v>
      </c>
      <c r="R67" s="1555" t="s">
        <v>1306</v>
      </c>
    </row>
    <row r="68" spans="1:18" s="1519" customFormat="1" ht="16.5" thickBot="1">
      <c r="A68" s="1059" t="s">
        <v>819</v>
      </c>
      <c r="B68" s="1060" t="s">
        <v>1209</v>
      </c>
      <c r="C68" s="307">
        <f ca="1">ROUND(C67*(1-((1+F70)/(1+F68))^F69)/(F68-F70),0)</f>
        <v>-448</v>
      </c>
      <c r="D68" s="1077" t="s">
        <v>1193</v>
      </c>
      <c r="E68" s="1062" t="s">
        <v>1194</v>
      </c>
      <c r="F68" s="318">
        <f ca="1">F40</f>
        <v>0.06</v>
      </c>
      <c r="O68" s="1563" t="s">
        <v>830</v>
      </c>
      <c r="P68" s="1602" t="s">
        <v>1307</v>
      </c>
      <c r="Q68" s="1555">
        <f ca="1">ROUND(Q69-Q70*Q71,0)</f>
        <v>58</v>
      </c>
      <c r="R68" s="1555" t="s">
        <v>838</v>
      </c>
    </row>
    <row r="69" spans="1:18" s="1519" customFormat="1" ht="13.5" thickBot="1">
      <c r="A69" s="1063"/>
      <c r="B69" s="1064"/>
      <c r="C69" s="312"/>
      <c r="D69" s="1082" t="s">
        <v>1197</v>
      </c>
      <c r="E69" s="1062" t="s">
        <v>1198</v>
      </c>
      <c r="F69" s="339">
        <f ca="1">F41</f>
        <v>31.42</v>
      </c>
      <c r="O69" s="1563" t="s">
        <v>835</v>
      </c>
      <c r="P69" s="1602" t="s">
        <v>1308</v>
      </c>
      <c r="Q69" s="1555">
        <f ca="1">C39</f>
        <v>81</v>
      </c>
      <c r="R69" s="1555" t="s">
        <v>1253</v>
      </c>
    </row>
    <row r="70" spans="1:18" s="1519" customFormat="1" ht="13.5" thickBot="1">
      <c r="A70" s="1066"/>
      <c r="B70" s="1067"/>
      <c r="C70" s="316"/>
      <c r="D70" s="1078"/>
      <c r="E70" s="1062" t="s">
        <v>1201</v>
      </c>
      <c r="F70" s="1166"/>
      <c r="O70" s="1563" t="s">
        <v>836</v>
      </c>
      <c r="P70" s="1602" t="s">
        <v>1309</v>
      </c>
      <c r="Q70" s="1555">
        <f ca="1">C13</f>
        <v>311</v>
      </c>
      <c r="R70" s="1555" t="s">
        <v>1253</v>
      </c>
    </row>
    <row r="71" spans="1:18" s="1519" customFormat="1" ht="13.5" thickBot="1">
      <c r="A71" s="1083" t="s">
        <v>820</v>
      </c>
      <c r="B71" s="1084" t="s">
        <v>1211</v>
      </c>
      <c r="C71" s="342">
        <f ca="1">ROUND(C68*10000/F71,0)</f>
        <v>-8454</v>
      </c>
      <c r="D71" s="1085" t="s">
        <v>1212</v>
      </c>
      <c r="E71" s="1086" t="s">
        <v>1213</v>
      </c>
      <c r="F71" s="345">
        <f ca="1">F43</f>
        <v>529.9</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23</v>
      </c>
      <c r="D75" s="1519"/>
      <c r="E75" s="1519"/>
      <c r="F75" s="1519"/>
      <c r="K75" s="1537"/>
      <c r="L75" s="1519"/>
      <c r="O75" s="1553" t="s">
        <v>833</v>
      </c>
      <c r="P75" s="1554" t="s">
        <v>1273</v>
      </c>
      <c r="Q75" s="1555">
        <f ca="1">Q65+Q66</f>
        <v>1605</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0.71599999999999997</v>
      </c>
    </row>
    <row r="80" spans="1:18">
      <c r="B80" s="346" t="s">
        <v>1235</v>
      </c>
      <c r="C80" s="280">
        <f ca="1">ROUND(C75/C39,3)</f>
        <v>0.28399999999999997</v>
      </c>
    </row>
    <row r="81" spans="2:3">
      <c r="B81" s="276" t="s">
        <v>1236</v>
      </c>
      <c r="C81" s="244"/>
    </row>
    <row r="82" spans="2:3">
      <c r="B82" s="279" t="s">
        <v>1237</v>
      </c>
      <c r="C82" s="281">
        <f ca="1">1-C83</f>
        <v>0.80600000000000005</v>
      </c>
    </row>
    <row r="83" spans="2:3">
      <c r="B83" s="279" t="s">
        <v>1238</v>
      </c>
      <c r="C83" s="280">
        <f ca="1">ROUND(C13/C40,3)</f>
        <v>0.19400000000000001</v>
      </c>
    </row>
  </sheetData>
  <sheetProtection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10</v>
      </c>
    </row>
    <row r="2" spans="1:9" s="206" customFormat="1" ht="18" customHeight="1">
      <c r="A2" s="207" t="s">
        <v>1907</v>
      </c>
      <c r="B2" s="208">
        <f ca="1">IF(D2="——",C52,C52-E2)</f>
        <v>41981</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5862</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7" t="s">
        <v>1917</v>
      </c>
      <c r="B6" s="221" t="s">
        <v>1918</v>
      </c>
      <c r="C6" s="222"/>
      <c r="D6" s="223"/>
      <c r="E6" s="224"/>
      <c r="F6" s="224"/>
      <c r="G6" s="225"/>
    </row>
    <row r="7" spans="1:9" s="220" customFormat="1" ht="13.5" customHeight="1">
      <c r="A7" s="867" t="s">
        <v>1919</v>
      </c>
      <c r="B7" s="221" t="s">
        <v>1920</v>
      </c>
      <c r="C7" s="226">
        <f>ROUND(C6*F7,0)</f>
        <v>0</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0</v>
      </c>
      <c r="D8" s="228"/>
      <c r="E8" s="226"/>
      <c r="F8" s="227"/>
      <c r="G8" s="1992"/>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3"/>
      <c r="H9" s="1252"/>
      <c r="I9" s="1994" t="s">
        <v>1924</v>
      </c>
    </row>
    <row r="10" spans="1:9" s="220" customFormat="1" ht="13.5" customHeight="1">
      <c r="A10" s="868" t="s">
        <v>620</v>
      </c>
      <c r="B10" s="230" t="s">
        <v>1925</v>
      </c>
      <c r="C10" s="231">
        <f ca="1">ROUND(D10*E10/10000,0)</f>
        <v>1432</v>
      </c>
      <c r="D10" s="935">
        <f ca="1">IF(B1="",'数据-汇总表'!E6,IF(INDIRECT("'数据-取费表'!c"&amp;$G$1)="住宅",INDIRECT("'数据-取费表'!s"&amp;$G$1),INDIRECT("'数据-取费表'!k"&amp;$G$1)+INDIRECT("'数据-取费表'!s"&amp;$G$1)))</f>
        <v>71609.739999999991</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f ca="1">IF(G19="已包含在土地取得成本中","0",ROUND(D19*E19/10000,0))</f>
        <v>1432</v>
      </c>
      <c r="D19" s="939">
        <f ca="1">D9+D10</f>
        <v>71609.739999999991</v>
      </c>
      <c r="E19" s="217">
        <f>'数据-取费表'!B31</f>
        <v>200</v>
      </c>
      <c r="F19" s="237"/>
      <c r="G19" s="1992"/>
    </row>
    <row r="20" spans="1:7" s="220" customFormat="1" ht="13.5" customHeight="1">
      <c r="A20" s="261" t="s">
        <v>1938</v>
      </c>
      <c r="B20" s="216" t="s">
        <v>1939</v>
      </c>
      <c r="C20" s="238">
        <f ca="1">ROUND((C5+C19)*F20,0)</f>
        <v>29</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157</v>
      </c>
      <c r="D22" s="241">
        <f ca="1">C26</f>
        <v>1.1000000000000001E-3</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0</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155</v>
      </c>
      <c r="D24" s="244"/>
      <c r="E24" s="244"/>
      <c r="F24" s="245"/>
      <c r="G24" s="246" t="s">
        <v>1952</v>
      </c>
    </row>
    <row r="25" spans="1:7" s="220" customFormat="1" ht="24">
      <c r="A25" s="869" t="s">
        <v>1953</v>
      </c>
      <c r="B25" s="221" t="s">
        <v>1954</v>
      </c>
      <c r="C25" s="1218">
        <f ca="1">ROUND(IF('数据-取费表'!B22&lt;=1,C20*F22*'数据-取费表'!B23/2,C20*(POWER((1+F22),'数据-取费表'!B23/2)-1)),0)</f>
        <v>2</v>
      </c>
      <c r="D25" s="244"/>
      <c r="E25" s="247"/>
      <c r="F25" s="245"/>
      <c r="G25" s="248" t="s">
        <v>1955</v>
      </c>
    </row>
    <row r="26" spans="1:7" s="220" customFormat="1">
      <c r="A26" s="869" t="s">
        <v>614</v>
      </c>
      <c r="B26" s="221" t="s">
        <v>1956</v>
      </c>
      <c r="C26" s="244">
        <f ca="1">ROUND(IF('数据-取费表'!B22&lt;=1,F21*F22*'数据-取费表'!B23/2,F21*(POWER((1+F22),'数据-取费表'!B23/2)-1)),4)</f>
        <v>1.1000000000000001E-3</v>
      </c>
      <c r="D26" s="244"/>
      <c r="E26" s="247"/>
      <c r="F26" s="245"/>
      <c r="G26" s="249"/>
    </row>
    <row r="27" spans="1:7" s="220" customFormat="1" ht="24.75">
      <c r="A27" s="261" t="s">
        <v>1957</v>
      </c>
      <c r="B27" s="250" t="s">
        <v>1958</v>
      </c>
      <c r="C27" s="251">
        <f ca="1">C28</f>
        <v>219</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219</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1989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31035</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28328</v>
      </c>
      <c r="D34" s="223"/>
      <c r="E34" s="226"/>
      <c r="F34" s="263">
        <f ca="1">IF('数据-取费表'!B24=0,1,IF(B1="",'数据-取费表'!N16,INDIRECT("'数据-取费表'!n"&amp;$G$1)))</f>
        <v>1</v>
      </c>
      <c r="G34" s="225" t="s">
        <v>1971</v>
      </c>
    </row>
    <row r="35" spans="1:7" ht="13.5" customHeight="1">
      <c r="A35" s="869" t="s">
        <v>615</v>
      </c>
      <c r="B35" s="221" t="s">
        <v>1972</v>
      </c>
      <c r="C35" s="226">
        <f ca="1">ROUND(C34*F35,0)</f>
        <v>850</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1432</v>
      </c>
      <c r="D37" s="223">
        <f ca="1">D19</f>
        <v>71609.739999999991</v>
      </c>
      <c r="E37" s="255">
        <f>'数据-取费表'!B35</f>
        <v>200</v>
      </c>
      <c r="F37" s="265"/>
      <c r="G37" s="267" t="s">
        <v>1977</v>
      </c>
    </row>
    <row r="38" spans="1:7" ht="13.5" customHeight="1">
      <c r="A38" s="869" t="s">
        <v>618</v>
      </c>
      <c r="B38" s="221" t="s">
        <v>1978</v>
      </c>
      <c r="C38" s="226">
        <f ca="1">ROUND(C34*F38,0)</f>
        <v>425</v>
      </c>
      <c r="D38" s="226"/>
      <c r="E38" s="226"/>
      <c r="F38" s="265">
        <f>'数据-取费表'!B36</f>
        <v>1.4999999999999999E-2</v>
      </c>
      <c r="G38" s="225" t="s">
        <v>1973</v>
      </c>
    </row>
    <row r="39" spans="1:7" s="220" customFormat="1" ht="13.5" customHeight="1">
      <c r="A39" s="261" t="s">
        <v>1979</v>
      </c>
      <c r="B39" s="216" t="s">
        <v>1980</v>
      </c>
      <c r="C39" s="238">
        <f ca="1">ROUND(C33*F20,0)</f>
        <v>621</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1671</v>
      </c>
      <c r="D41" s="241">
        <f ca="1">C44</f>
        <v>1.1000000000000001E-3</v>
      </c>
      <c r="E41" s="242" t="s">
        <v>1984</v>
      </c>
      <c r="F41" s="2486">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1638</v>
      </c>
      <c r="D42" s="244"/>
      <c r="E42" s="244"/>
      <c r="F42" s="245"/>
      <c r="G42" s="3443" t="s">
        <v>1989</v>
      </c>
    </row>
    <row r="43" spans="1:7" ht="13.5" customHeight="1">
      <c r="A43" s="869" t="s">
        <v>611</v>
      </c>
      <c r="B43" s="221" t="s">
        <v>1990</v>
      </c>
      <c r="C43" s="244">
        <f ca="1">ROUND(IF('数据-取费表'!B22&lt;=1,C39*F22*'数据-取费表'!B21/2,C39*(POWER((1+F22),'数据-取费表'!B21/2)-1)),0)</f>
        <v>33</v>
      </c>
      <c r="D43" s="244"/>
      <c r="E43" s="244"/>
      <c r="F43" s="245"/>
      <c r="G43" s="3444"/>
    </row>
    <row r="44" spans="1:7" ht="13.5" customHeight="1">
      <c r="A44" s="869" t="s">
        <v>612</v>
      </c>
      <c r="B44" s="221" t="s">
        <v>1991</v>
      </c>
      <c r="C44" s="244">
        <f ca="1">ROUND(IF('数据-取费表'!B22&lt;=1,C40*F22*'数据-取费表'!B21/2,C40*(POWER((1+F22),'数据-取费表'!B21/2)-1)),4)</f>
        <v>1.1000000000000001E-3</v>
      </c>
      <c r="D44" s="244"/>
      <c r="E44" s="244"/>
      <c r="F44" s="245"/>
      <c r="G44" s="3445"/>
    </row>
    <row r="45" spans="1:7" s="220" customFormat="1" ht="13.5" customHeight="1">
      <c r="A45" s="261" t="s">
        <v>1992</v>
      </c>
      <c r="B45" s="250" t="s">
        <v>1958</v>
      </c>
      <c r="C45" s="251">
        <f ca="1">C46</f>
        <v>4748</v>
      </c>
      <c r="D45" s="241">
        <f ca="1">C47</f>
        <v>3.0000000000000001E-3</v>
      </c>
      <c r="E45" s="242" t="s">
        <v>1984</v>
      </c>
      <c r="F45" s="2487">
        <f ca="1">F27</f>
        <v>0.15</v>
      </c>
      <c r="G45" s="253" t="s">
        <v>1993</v>
      </c>
    </row>
    <row r="46" spans="1:7" s="220" customFormat="1" ht="13.5" customHeight="1">
      <c r="A46" s="869" t="s">
        <v>610</v>
      </c>
      <c r="B46" s="254" t="s">
        <v>1994</v>
      </c>
      <c r="C46" s="255">
        <f ca="1">ROUND((C33+C39)*F27,0)</f>
        <v>4748</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5.2400000000000002E-2</v>
      </c>
      <c r="D48" s="242" t="s">
        <v>1984</v>
      </c>
      <c r="E48" s="238"/>
      <c r="F48" s="2486">
        <f>F30</f>
        <v>5.5000000000000007E-2</v>
      </c>
      <c r="G48" s="240" t="s">
        <v>1997</v>
      </c>
    </row>
    <row r="49" spans="1:7" ht="16.5" customHeight="1">
      <c r="A49" s="261" t="s">
        <v>1963</v>
      </c>
      <c r="B49" s="216" t="s">
        <v>1998</v>
      </c>
      <c r="C49" s="238">
        <f ca="1">ROUND((C33+C39+C41+C45)/(1-C40-D41-D45-C48),0)</f>
        <v>41229</v>
      </c>
      <c r="D49" s="238"/>
      <c r="E49" s="238"/>
      <c r="F49" s="270"/>
      <c r="G49" s="240" t="s">
        <v>1999</v>
      </c>
    </row>
    <row r="50" spans="1:7" s="264" customFormat="1" ht="24">
      <c r="A50" s="261" t="s">
        <v>2000</v>
      </c>
      <c r="B50" s="216" t="s">
        <v>2001</v>
      </c>
      <c r="C50" s="238"/>
      <c r="D50" s="238"/>
      <c r="E50" s="238"/>
      <c r="F50" s="270">
        <f>IF('数据-取费表'!B24=0,'数据-取费表'!N16,1)</f>
        <v>0.97</v>
      </c>
      <c r="G50" s="253" t="s">
        <v>2002</v>
      </c>
    </row>
    <row r="51" spans="1:7" ht="16.5" customHeight="1">
      <c r="A51" s="261" t="s">
        <v>2003</v>
      </c>
      <c r="B51" s="216" t="s">
        <v>2004</v>
      </c>
      <c r="C51" s="238">
        <f ca="1">ROUND(C49*F50,0)</f>
        <v>39992</v>
      </c>
      <c r="D51" s="238"/>
      <c r="E51" s="238"/>
      <c r="F51" s="270"/>
      <c r="G51" s="240" t="s">
        <v>2005</v>
      </c>
    </row>
    <row r="52" spans="1:7" s="214" customFormat="1" ht="16.5" thickBot="1">
      <c r="A52" s="271" t="s">
        <v>2006</v>
      </c>
      <c r="B52" s="272"/>
      <c r="C52" s="273">
        <f ca="1">C31+C51</f>
        <v>41981</v>
      </c>
      <c r="D52" s="272"/>
      <c r="E52" s="272"/>
      <c r="F52" s="272"/>
      <c r="G52" s="274"/>
    </row>
    <row r="55" spans="1:7" ht="15">
      <c r="B55" s="276" t="s">
        <v>2007</v>
      </c>
      <c r="C55" s="277"/>
    </row>
    <row r="56" spans="1:7">
      <c r="B56" s="279" t="s">
        <v>1237</v>
      </c>
      <c r="C56" s="281">
        <f ca="1">1-C57</f>
        <v>4.7000000000000042E-2</v>
      </c>
    </row>
    <row r="57" spans="1:7">
      <c r="B57" s="279" t="s">
        <v>1238</v>
      </c>
      <c r="C57" s="280">
        <f ca="1">ROUND(C51/C52,3)</f>
        <v>0.95299999999999996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5" t="s">
        <v>2008</v>
      </c>
      <c r="D1" s="204"/>
      <c r="E1" s="204"/>
      <c r="F1" s="204"/>
      <c r="G1" s="1241">
        <f>MATCH(B1,'数据-取费表'!A6:A16,0)+5</f>
        <v>10</v>
      </c>
      <c r="H1" s="1173" t="str">
        <f>IF(ISERROR(FIND("住宅",B1)),"非住宅","住宅")</f>
        <v>非住宅</v>
      </c>
    </row>
    <row r="2" spans="1:8" s="206" customFormat="1" ht="18" customHeight="1">
      <c r="A2" s="207" t="s">
        <v>1907</v>
      </c>
      <c r="B2" s="208">
        <f ca="1">ROUND(IF(D2="——",C52/10000,C52/10000-E2),0)</f>
        <v>43969</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6140</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14321948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14321948</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14321948</v>
      </c>
      <c r="D10" s="935">
        <f ca="1">IF(B1="",'数据-汇总表'!E6,IF(INDIRECT("'数据-取费表'!c"&amp;$G$1)="住宅",INDIRECT("'数据-取费表'!s"&amp;$G$1),INDIRECT("'数据-取费表'!k"&amp;$G$1)+INDIRECT("'数据-取费表'!s"&amp;$G$1)))</f>
        <v>71609.739999999991</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14321948</v>
      </c>
      <c r="D19" s="939">
        <f ca="1">D9+D10</f>
        <v>71609.739999999991</v>
      </c>
      <c r="E19" s="217">
        <f>'数据-取费表'!B31</f>
        <v>200</v>
      </c>
      <c r="F19" s="237"/>
      <c r="G19" s="1992"/>
    </row>
    <row r="20" spans="1:7" s="220" customFormat="1" ht="13.5" customHeight="1">
      <c r="A20" s="261" t="s">
        <v>2019</v>
      </c>
      <c r="B20" s="216" t="s">
        <v>2020</v>
      </c>
      <c r="C20" s="238">
        <f ca="1">ROUND((C5+C19)*F20,0)</f>
        <v>572878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3133240</v>
      </c>
      <c r="D22" s="241">
        <f ca="1">C26</f>
        <v>1.1000000000000001E-3</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1551504</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1551504</v>
      </c>
      <c r="D24" s="244"/>
      <c r="E24" s="244"/>
      <c r="F24" s="245"/>
      <c r="G24" s="246" t="s">
        <v>2031</v>
      </c>
    </row>
    <row r="25" spans="1:7" s="220" customFormat="1" ht="24">
      <c r="A25" s="869" t="s">
        <v>1921</v>
      </c>
      <c r="B25" s="221" t="s">
        <v>2032</v>
      </c>
      <c r="C25" s="1243">
        <f ca="1">ROUND(IF('数据-取费表'!B22&lt;=1,C20*F22*'数据-取费表'!B22/2,C20*(POWER((1+F22),'数据-取费表'!B22/2)-1)),0)</f>
        <v>30232</v>
      </c>
      <c r="D25" s="244"/>
      <c r="E25" s="247"/>
      <c r="F25" s="245"/>
      <c r="G25" s="248" t="s">
        <v>2033</v>
      </c>
    </row>
    <row r="26" spans="1:7" s="220" customFormat="1">
      <c r="A26" s="869" t="s">
        <v>614</v>
      </c>
      <c r="B26" s="221" t="s">
        <v>1956</v>
      </c>
      <c r="C26" s="244">
        <f ca="1">ROUND(IF('数据-取费表'!B22&lt;=1,F21*F22*'数据-取费表'!B22/2,F21*(POWER((1+F22),'数据-取费表'!B22/2)-1)),4)</f>
        <v>1.1000000000000001E-3</v>
      </c>
      <c r="D26" s="244"/>
      <c r="E26" s="247"/>
      <c r="F26" s="245"/>
      <c r="G26" s="249"/>
    </row>
    <row r="27" spans="1:7" s="220" customFormat="1" ht="24.75">
      <c r="A27" s="261" t="s">
        <v>1957</v>
      </c>
      <c r="B27" s="250" t="s">
        <v>1958</v>
      </c>
      <c r="C27" s="251">
        <f ca="1">C28</f>
        <v>4382516</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4382516</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39775344</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310349240</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283279705</v>
      </c>
      <c r="D34" s="223"/>
      <c r="E34" s="226"/>
      <c r="F34" s="263"/>
      <c r="G34" s="225"/>
    </row>
    <row r="35" spans="1:7" ht="13.5" customHeight="1">
      <c r="A35" s="869" t="s">
        <v>615</v>
      </c>
      <c r="B35" s="221" t="s">
        <v>1972</v>
      </c>
      <c r="C35" s="226">
        <f ca="1">ROUND(C34*F35,0)</f>
        <v>8498391</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14321948</v>
      </c>
      <c r="D37" s="223">
        <f ca="1">D19</f>
        <v>71609.739999999991</v>
      </c>
      <c r="E37" s="255">
        <f>'数据-取费表'!B35</f>
        <v>200</v>
      </c>
      <c r="F37" s="265"/>
      <c r="G37" s="267"/>
    </row>
    <row r="38" spans="1:7" ht="13.5" customHeight="1">
      <c r="A38" s="869" t="s">
        <v>618</v>
      </c>
      <c r="B38" s="221" t="s">
        <v>1978</v>
      </c>
      <c r="C38" s="226">
        <f ca="1">ROUND(C34*F38,0)</f>
        <v>4249196</v>
      </c>
      <c r="D38" s="226"/>
      <c r="E38" s="226"/>
      <c r="F38" s="265">
        <f>'数据-取费表'!B36</f>
        <v>1.4999999999999999E-2</v>
      </c>
      <c r="G38" s="225" t="s">
        <v>1973</v>
      </c>
    </row>
    <row r="39" spans="1:7" s="220" customFormat="1" ht="13.5" customHeight="1">
      <c r="A39" s="261" t="s">
        <v>1979</v>
      </c>
      <c r="B39" s="216" t="s">
        <v>1980</v>
      </c>
      <c r="C39" s="238">
        <f ca="1">ROUND(C33*F20,0)</f>
        <v>6206985</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16705553</v>
      </c>
      <c r="D41" s="241">
        <f ca="1">C44</f>
        <v>1.1000000000000001E-3</v>
      </c>
      <c r="E41" s="242" t="s">
        <v>1984</v>
      </c>
      <c r="F41" s="2486">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16377993</v>
      </c>
      <c r="D42" s="244"/>
      <c r="E42" s="244"/>
      <c r="F42" s="245"/>
      <c r="G42" s="3443" t="s">
        <v>2036</v>
      </c>
    </row>
    <row r="43" spans="1:7" ht="13.5" customHeight="1">
      <c r="A43" s="869" t="s">
        <v>611</v>
      </c>
      <c r="B43" s="221" t="s">
        <v>1990</v>
      </c>
      <c r="C43" s="244">
        <f ca="1">ROUND(IF('数据-取费表'!B22&lt;=1,C39*F22*'数据-取费表'!B20/2,C39*(POWER((1+F22),'数据-取费表'!B20/2)-1)),0)</f>
        <v>327560</v>
      </c>
      <c r="D43" s="244"/>
      <c r="E43" s="244"/>
      <c r="F43" s="245"/>
      <c r="G43" s="3444"/>
    </row>
    <row r="44" spans="1:7" ht="13.5" customHeight="1">
      <c r="A44" s="869" t="s">
        <v>612</v>
      </c>
      <c r="B44" s="221" t="s">
        <v>1991</v>
      </c>
      <c r="C44" s="244">
        <f ca="1">ROUND(IF('数据-取费表'!B22&lt;=1,C40*F22*'数据-取费表'!B20/2,C40*(POWER((1+F22),'数据-取费表'!B20/2)-1)),4)</f>
        <v>1.1000000000000001E-3</v>
      </c>
      <c r="D44" s="244"/>
      <c r="E44" s="244"/>
      <c r="F44" s="245"/>
      <c r="G44" s="3445"/>
    </row>
    <row r="45" spans="1:7" s="220" customFormat="1" ht="13.5" customHeight="1">
      <c r="A45" s="261" t="s">
        <v>1992</v>
      </c>
      <c r="B45" s="250" t="s">
        <v>1958</v>
      </c>
      <c r="C45" s="251">
        <f ca="1">C46</f>
        <v>47483434</v>
      </c>
      <c r="D45" s="241">
        <f ca="1">C47</f>
        <v>3.0000000000000001E-3</v>
      </c>
      <c r="E45" s="242" t="s">
        <v>1984</v>
      </c>
      <c r="F45" s="2487">
        <f ca="1">F27</f>
        <v>0.15</v>
      </c>
      <c r="G45" s="253" t="s">
        <v>1993</v>
      </c>
    </row>
    <row r="46" spans="1:7" s="220" customFormat="1" ht="13.5" customHeight="1">
      <c r="A46" s="869" t="s">
        <v>610</v>
      </c>
      <c r="B46" s="254" t="s">
        <v>1994</v>
      </c>
      <c r="C46" s="255">
        <f ca="1">ROUND((C33+C39)*F27,0)</f>
        <v>47483434</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6">
        <f>F30</f>
        <v>5.5000000000000007E-2</v>
      </c>
      <c r="G48" s="240" t="s">
        <v>1997</v>
      </c>
    </row>
    <row r="49" spans="1:7" ht="16.5" customHeight="1">
      <c r="A49" s="261" t="s">
        <v>1963</v>
      </c>
      <c r="B49" s="216" t="s">
        <v>2037</v>
      </c>
      <c r="C49" s="238">
        <f ca="1">ROUND((C33+C39+C41+C45)/(1-C40-D41-D45-C48),0)</f>
        <v>412285016</v>
      </c>
      <c r="D49" s="238"/>
      <c r="E49" s="238"/>
      <c r="F49" s="270"/>
      <c r="G49" s="240" t="s">
        <v>1999</v>
      </c>
    </row>
    <row r="50" spans="1:7" s="264" customFormat="1">
      <c r="A50" s="261" t="s">
        <v>2000</v>
      </c>
      <c r="B50" s="216" t="s">
        <v>2001</v>
      </c>
      <c r="C50" s="238"/>
      <c r="D50" s="238"/>
      <c r="E50" s="238"/>
      <c r="F50" s="270">
        <f>IF('数据-取费表'!B24=0,'数据-取费表'!N16,1)</f>
        <v>0.97</v>
      </c>
      <c r="G50" s="253"/>
    </row>
    <row r="51" spans="1:7" ht="16.5" customHeight="1">
      <c r="A51" s="261" t="s">
        <v>2003</v>
      </c>
      <c r="B51" s="216" t="s">
        <v>2038</v>
      </c>
      <c r="C51" s="238">
        <f ca="1">ROUND(C49*F50,0)</f>
        <v>399916466</v>
      </c>
      <c r="D51" s="238"/>
      <c r="E51" s="238"/>
      <c r="F51" s="270"/>
      <c r="G51" s="240" t="s">
        <v>2005</v>
      </c>
    </row>
    <row r="52" spans="1:7" s="214" customFormat="1" ht="16.5" thickBot="1">
      <c r="A52" s="271" t="s">
        <v>2006</v>
      </c>
      <c r="B52" s="272"/>
      <c r="C52" s="273">
        <f ca="1">C31+C51</f>
        <v>439691810</v>
      </c>
      <c r="D52" s="272"/>
      <c r="E52" s="272"/>
      <c r="F52" s="272"/>
      <c r="G52" s="274"/>
    </row>
    <row r="55" spans="1:7" ht="15">
      <c r="B55" s="276" t="s">
        <v>2007</v>
      </c>
      <c r="C55" s="277"/>
    </row>
    <row r="56" spans="1:7">
      <c r="B56" s="279" t="s">
        <v>1237</v>
      </c>
      <c r="C56" s="281">
        <f ca="1">1-C57</f>
        <v>8.9999999999999969E-2</v>
      </c>
    </row>
    <row r="57" spans="1:7">
      <c r="B57" s="279" t="s">
        <v>1238</v>
      </c>
      <c r="C57" s="280">
        <f ca="1">ROUND(C51/C52,3)</f>
        <v>0.91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6"/>
      <c r="F1" s="2986"/>
      <c r="G1" s="2849"/>
      <c r="H1" s="2986"/>
      <c r="I1" s="2986"/>
      <c r="J1" s="2986"/>
      <c r="K1" s="2987">
        <f>MATCH(C1,'数据-取费表'!A6:A16,0)+5</f>
        <v>10</v>
      </c>
    </row>
    <row r="2" spans="1:33" ht="18" customHeight="1">
      <c r="A2" s="207" t="s">
        <v>1907</v>
      </c>
      <c r="B2" s="210">
        <f ca="1">C32</f>
        <v>-1633</v>
      </c>
      <c r="C2" s="282" t="s">
        <v>2040</v>
      </c>
      <c r="D2" s="282"/>
      <c r="E2" s="2986"/>
      <c r="F2" s="2986"/>
      <c r="G2" s="2986"/>
      <c r="H2" s="2986"/>
      <c r="I2" s="2986"/>
      <c r="J2" s="2986"/>
      <c r="K2" s="2986"/>
    </row>
    <row r="3" spans="1:33" ht="18" customHeight="1" thickBot="1">
      <c r="A3" s="209" t="s">
        <v>1909</v>
      </c>
      <c r="B3" s="210">
        <f ca="1">ROUND(B2*10000/IF(C1="",'数据-汇总表'!E3,INDIRECT("'数据-取费表'!K"&amp;$K$1)),0)</f>
        <v>-228</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71609.739999999991</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71609.739999999991</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1432</v>
      </c>
      <c r="D18" s="936"/>
      <c r="E18" s="24"/>
      <c r="F18" s="894"/>
      <c r="G18" s="1998"/>
      <c r="H18" s="1302"/>
      <c r="I18" s="1999"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1432</v>
      </c>
      <c r="D20" s="936">
        <f ca="1">IF(C1="",'数据-汇总表'!E6,IF(INDIRECT("'数据-取费表'!c"&amp;$K$1)="住宅",INDIRECT("'数据-取费表'!s"&amp;$K$1),INDIRECT("'数据-取费表'!k"&amp;$K$1)+INDIRECT("'数据-取费表'!s"&amp;$K$1)))</f>
        <v>71609.739999999991</v>
      </c>
      <c r="E20" s="24">
        <f>'数据-取费表'!B28</f>
        <v>200</v>
      </c>
      <c r="F20" s="894"/>
      <c r="G20" s="15"/>
      <c r="H20" s="899"/>
      <c r="I20" s="899"/>
      <c r="J20" s="899"/>
      <c r="K20" s="900"/>
    </row>
    <row r="21" spans="1:33" s="893" customFormat="1" ht="13.5" customHeight="1">
      <c r="A21" s="879" t="s">
        <v>621</v>
      </c>
      <c r="B21" s="903" t="s">
        <v>2076</v>
      </c>
      <c r="C21" s="904">
        <f ca="1">C16+C17+C18</f>
        <v>1432</v>
      </c>
      <c r="D21" s="905"/>
      <c r="E21" s="287"/>
      <c r="F21" s="287"/>
      <c r="G21" s="136" t="s">
        <v>2077</v>
      </c>
      <c r="H21" s="897"/>
      <c r="I21" s="897"/>
      <c r="J21" s="897"/>
      <c r="K21" s="898"/>
    </row>
    <row r="22" spans="1:33" s="893" customFormat="1" ht="13.5" customHeight="1">
      <c r="A22" s="879" t="s">
        <v>2049</v>
      </c>
      <c r="B22" s="903" t="s">
        <v>2078</v>
      </c>
      <c r="C22" s="904">
        <f ca="1">ROUND(C21*F22,0)</f>
        <v>29</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2089</v>
      </c>
      <c r="B28" s="2001" t="s">
        <v>2090</v>
      </c>
      <c r="C28" s="293">
        <f ca="1">C30</f>
        <v>219</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219</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-1633</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19" sqref="F19"/>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94" t="s">
        <v>2584</v>
      </c>
      <c r="D1" s="3595"/>
      <c r="E1" s="3595"/>
      <c r="F1" s="3595"/>
      <c r="G1" s="3595"/>
      <c r="H1" s="3595"/>
      <c r="I1" s="3595"/>
      <c r="J1" s="3595"/>
      <c r="K1" s="3595"/>
      <c r="L1" s="3595"/>
      <c r="M1" s="3595"/>
      <c r="N1" s="3595"/>
      <c r="O1" s="3595"/>
      <c r="P1" s="3595"/>
      <c r="Q1" s="3595"/>
      <c r="R1" s="3595"/>
      <c r="S1" s="3596"/>
      <c r="T1" s="1095" t="s">
        <v>2585</v>
      </c>
    </row>
    <row r="2" spans="1:45" s="663" customFormat="1">
      <c r="A2" s="1096"/>
      <c r="B2" s="659" t="s">
        <v>2586</v>
      </c>
      <c r="C2" s="660" t="str">
        <f t="shared" ref="C2:L2" si="0">C3&amp;"(含)"&amp;"-"&amp;D3</f>
        <v>0(含)-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v>0</v>
      </c>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2593</v>
      </c>
      <c r="B17" s="2315" t="s">
        <v>2594</v>
      </c>
      <c r="C17" s="1122" t="s">
        <v>3225</v>
      </c>
      <c r="D17" s="1123" t="s">
        <v>3226</v>
      </c>
      <c r="E17" s="1123" t="s">
        <v>3227</v>
      </c>
      <c r="F17" s="1123" t="s">
        <v>3229</v>
      </c>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v>100</v>
      </c>
      <c r="D18" s="1135">
        <v>75</v>
      </c>
      <c r="E18" s="1135">
        <v>65</v>
      </c>
      <c r="F18" s="1135">
        <v>50</v>
      </c>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2595</v>
      </c>
      <c r="E19" s="1475"/>
      <c r="F19" s="1475"/>
      <c r="G19" s="1475"/>
      <c r="H19" s="1171"/>
      <c r="I19" s="164"/>
      <c r="J19" s="164"/>
      <c r="K19" s="164"/>
      <c r="L19" s="164"/>
      <c r="M19" s="164"/>
      <c r="N19" s="164"/>
      <c r="O19" s="164"/>
      <c r="P19" s="164"/>
      <c r="Q19" s="164"/>
      <c r="R19" s="727"/>
      <c r="S19" s="134"/>
    </row>
    <row r="20" spans="1:45" ht="16.5" thickBot="1">
      <c r="A20" s="671" t="s">
        <v>2596</v>
      </c>
      <c r="B20" s="300">
        <f ca="1">IF(D20="——",S22,S22-F20)</f>
        <v>29514</v>
      </c>
      <c r="C20" s="164"/>
      <c r="D20" s="2317" t="s">
        <v>70</v>
      </c>
      <c r="E20" s="1476"/>
      <c r="F20" s="1095" t="e">
        <f ca="1">SUMIF(INDIRECT("'"&amp;H20&amp;"'"&amp;"!A:A"),"承租人权益价值",INDIRECT("'"&amp;H20&amp;"'"&amp;"!c:c"))</f>
        <v>#REF!</v>
      </c>
      <c r="G20" s="1095" t="s">
        <v>2597</v>
      </c>
      <c r="H20" s="2318"/>
      <c r="I20" s="164"/>
      <c r="J20" s="164"/>
      <c r="K20" s="164"/>
      <c r="L20" s="164"/>
      <c r="M20" s="164"/>
      <c r="N20" s="164"/>
      <c r="O20" s="164"/>
      <c r="P20" s="164"/>
      <c r="Q20" s="164"/>
      <c r="R20" s="727"/>
      <c r="S20" s="134"/>
    </row>
    <row r="21" spans="1:45" ht="15.75">
      <c r="A21" s="671" t="s">
        <v>2598</v>
      </c>
      <c r="B21" s="300">
        <f ca="1">ROUND(B20*10000/B22,0)</f>
        <v>33782</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8736.73</v>
      </c>
      <c r="C22" s="3591" t="s">
        <v>33</v>
      </c>
      <c r="D22" s="3592"/>
      <c r="E22" s="3592"/>
      <c r="F22" s="3592"/>
      <c r="G22" s="3592"/>
      <c r="H22" s="3592"/>
      <c r="I22" s="3592"/>
      <c r="J22" s="3592"/>
      <c r="K22" s="3592"/>
      <c r="L22" s="3592"/>
      <c r="M22" s="3592"/>
      <c r="N22" s="3592"/>
      <c r="O22" s="3592"/>
      <c r="P22" s="3592"/>
      <c r="Q22" s="3593"/>
      <c r="R22" s="672">
        <f ca="1">ROUND(S22*10000/B22,0)</f>
        <v>33782</v>
      </c>
      <c r="S22" s="24">
        <f ca="1">SUM(S24:S10000)</f>
        <v>29514</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3605" t="s">
        <v>3228</v>
      </c>
      <c r="B24" s="674">
        <f>面积清单!D2</f>
        <v>529.9</v>
      </c>
      <c r="C24" s="2990">
        <v>1</v>
      </c>
      <c r="D24" s="2991"/>
      <c r="E24" s="2990">
        <v>1</v>
      </c>
      <c r="F24" s="2991"/>
      <c r="G24" s="2990">
        <v>1</v>
      </c>
      <c r="H24" s="2991"/>
      <c r="I24" s="2990">
        <v>1</v>
      </c>
      <c r="J24" s="2991"/>
      <c r="K24" s="2990">
        <v>1</v>
      </c>
      <c r="L24" s="2991"/>
      <c r="M24" s="2990">
        <v>1</v>
      </c>
      <c r="N24" s="2991"/>
      <c r="O24" s="2990">
        <v>1</v>
      </c>
      <c r="P24" s="2991" t="s">
        <v>3182</v>
      </c>
      <c r="Q24" s="2990">
        <v>1</v>
      </c>
      <c r="R24" s="677">
        <f ca="1">结果表!G20</f>
        <v>42116</v>
      </c>
      <c r="S24" s="675">
        <f t="shared" ref="S24:S54" ca="1" si="11">ROUND(R24*B24/10000,0)</f>
        <v>2232</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t="s">
        <v>3225</v>
      </c>
      <c r="B25" s="57">
        <f>面积清单!L3-面积清单!D2</f>
        <v>4307.88</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3182</v>
      </c>
      <c r="Q25" s="24">
        <f>(SUMIF($17:$17,P25,$18:$18)-SUMIF($17:$17,$P$24,$18:$18)+100)/100</f>
        <v>1</v>
      </c>
      <c r="R25" s="672">
        <f ca="1">IF(B25="",0,ROUND($R$24*C25*E25*G25*I25*K25*M25*O25*Q25,0))</f>
        <v>42116</v>
      </c>
      <c r="S25" s="322">
        <f t="shared" ca="1" si="11"/>
        <v>18143</v>
      </c>
    </row>
    <row r="26" spans="1:45">
      <c r="A26" s="155" t="s">
        <v>3226</v>
      </c>
      <c r="B26" s="57">
        <f>面积清单!L4</f>
        <v>615.06999999999994</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t="s">
        <v>3230</v>
      </c>
      <c r="Q26" s="24">
        <f t="shared" ref="Q26:Q89" si="19">(SUMIF($17:$17,P26,$18:$18)-SUMIF($17:$17,$P$24,$18:$18)+100)/100</f>
        <v>0.75</v>
      </c>
      <c r="R26" s="672">
        <f t="shared" ref="R26:R89" ca="1" si="20">IF(B26="",0,ROUND($R$24*C26*E26*G26*I26*K26*M26*O26*Q26,0))</f>
        <v>31587</v>
      </c>
      <c r="S26" s="322">
        <f t="shared" ca="1" si="11"/>
        <v>1943</v>
      </c>
    </row>
    <row r="27" spans="1:45">
      <c r="A27" s="155" t="s">
        <v>3227</v>
      </c>
      <c r="B27" s="57">
        <f>面积清单!L5</f>
        <v>443.29</v>
      </c>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t="s">
        <v>3231</v>
      </c>
      <c r="Q27" s="24">
        <f t="shared" si="19"/>
        <v>0.65</v>
      </c>
      <c r="R27" s="672">
        <f t="shared" ca="1" si="20"/>
        <v>27375</v>
      </c>
      <c r="S27" s="322">
        <f t="shared" ca="1" si="11"/>
        <v>1214</v>
      </c>
    </row>
    <row r="28" spans="1:45">
      <c r="A28" s="155" t="s">
        <v>3229</v>
      </c>
      <c r="B28" s="57">
        <f>面积清单!L6</f>
        <v>2840.59</v>
      </c>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t="s">
        <v>3232</v>
      </c>
      <c r="Q28" s="24">
        <f t="shared" si="19"/>
        <v>0.5</v>
      </c>
      <c r="R28" s="672">
        <f t="shared" ca="1" si="20"/>
        <v>21058</v>
      </c>
      <c r="S28" s="322">
        <f t="shared" ca="1" si="11"/>
        <v>5982</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7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10</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48" t="s">
        <v>1127</v>
      </c>
      <c r="C6" s="1187">
        <f ca="1">ROUND(F6*F8*F7*(1-F9),0)</f>
        <v>0</v>
      </c>
      <c r="D6" s="160" t="s">
        <v>2605</v>
      </c>
      <c r="E6" s="308" t="s">
        <v>1129</v>
      </c>
      <c r="F6" s="309">
        <f ca="1">INDIRECT("'数据-取费表'!u"&amp;$G$1)</f>
        <v>0</v>
      </c>
      <c r="G6" s="1519"/>
      <c r="H6" s="1182" t="s">
        <v>822</v>
      </c>
      <c r="I6" s="3448" t="s">
        <v>1127</v>
      </c>
      <c r="J6" s="307">
        <f ca="1">ROUND(M6*M8*M7*(1-M9),0)</f>
        <v>0</v>
      </c>
      <c r="K6" s="1511" t="s">
        <v>2606</v>
      </c>
      <c r="L6" s="308" t="s">
        <v>1129</v>
      </c>
      <c r="M6" s="309">
        <f ca="1">INDIRECT("'数据-取费表'!z"&amp;$G$1)</f>
        <v>0</v>
      </c>
    </row>
    <row r="7" spans="1:37" ht="18" customHeight="1">
      <c r="A7" s="1186"/>
      <c r="B7" s="3449"/>
      <c r="C7" s="1188"/>
      <c r="D7" s="313"/>
      <c r="E7" s="1189" t="s">
        <v>1130</v>
      </c>
      <c r="F7" s="309">
        <f ca="1">IF(INDIRECT("'数据-取费表'!ah"&amp;$G$1)="",INDIRECT("'数据-取费表'!k"&amp;$G$1),INDIRECT("'数据-取费表'!ah"&amp;$G$1))</f>
        <v>0</v>
      </c>
      <c r="G7" s="1519"/>
      <c r="H7" s="310"/>
      <c r="I7" s="3449"/>
      <c r="J7" s="312"/>
      <c r="K7" s="313"/>
      <c r="L7" s="308" t="s">
        <v>1130</v>
      </c>
      <c r="M7" s="309">
        <f ca="1">F7</f>
        <v>0</v>
      </c>
    </row>
    <row r="8" spans="1:37" ht="18" customHeight="1">
      <c r="A8" s="310"/>
      <c r="B8" s="3449"/>
      <c r="C8" s="312"/>
      <c r="D8" s="313"/>
      <c r="E8" s="308" t="s">
        <v>1131</v>
      </c>
      <c r="F8" s="309">
        <f ca="1">INDIRECT("'数据-取费表'!ai"&amp;$G$1)</f>
        <v>0</v>
      </c>
      <c r="G8" s="1519"/>
      <c r="H8" s="310"/>
      <c r="I8" s="3449"/>
      <c r="J8" s="312"/>
      <c r="K8" s="313"/>
      <c r="L8" s="308" t="s">
        <v>1131</v>
      </c>
      <c r="M8" s="309">
        <f ca="1">INDIRECT("'数据-取费表'!ai"&amp;$G$1)</f>
        <v>0</v>
      </c>
    </row>
    <row r="9" spans="1:37" ht="18" customHeight="1">
      <c r="A9" s="310"/>
      <c r="B9" s="3450"/>
      <c r="C9" s="312"/>
      <c r="D9" s="313"/>
      <c r="E9" s="308" t="s">
        <v>1132</v>
      </c>
      <c r="F9" s="318">
        <f ca="1">INDIRECT("'数据-取费表'!w"&amp;$G$1)</f>
        <v>0</v>
      </c>
      <c r="G9" s="1519"/>
      <c r="H9" s="310"/>
      <c r="I9" s="345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8" t="s">
        <v>2811</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6">
        <f ca="1">IF(M47="住宅",IF(D1="——",MAX(J51,L48),MAX(J51,L48-'数据-取费表'!B24)),IF(D1="——",MIN(J51,L48),MIN(J51,L48-'数据-取费表'!B24)))</f>
        <v>0</v>
      </c>
      <c r="K53" s="3446" t="s">
        <v>1272</v>
      </c>
      <c r="L53" s="3447"/>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15" customHeight="1">
      <c r="A2" s="1520" t="s">
        <v>2819</v>
      </c>
      <c r="B2" s="3023" t="e">
        <f>C40</f>
        <v>#DIV/0!</v>
      </c>
      <c r="C2" s="3024" t="s">
        <v>2820</v>
      </c>
      <c r="D2" s="3024"/>
      <c r="E2" s="3025"/>
      <c r="F2" s="3026"/>
      <c r="G2" s="3027"/>
      <c r="H2" s="3028"/>
      <c r="I2" s="3029"/>
      <c r="J2" s="3457" t="s">
        <v>2821</v>
      </c>
      <c r="K2" s="3458"/>
      <c r="L2" s="3030" t="s">
        <v>2822</v>
      </c>
      <c r="M2" s="3030" t="s">
        <v>2823</v>
      </c>
      <c r="N2" s="3030" t="s">
        <v>2824</v>
      </c>
      <c r="O2" s="3030" t="s">
        <v>2825</v>
      </c>
      <c r="P2" s="3030" t="s">
        <v>2826</v>
      </c>
      <c r="Q2" s="3031" t="s">
        <v>2827</v>
      </c>
      <c r="R2" s="3032" t="s">
        <v>2828</v>
      </c>
      <c r="S2" s="3021"/>
      <c r="T2" s="3021"/>
      <c r="U2" s="3021"/>
      <c r="V2" s="3029"/>
    </row>
    <row r="3" spans="1:22" s="3033" customFormat="1" ht="13.15" customHeight="1">
      <c r="A3" s="3034" t="s">
        <v>2829</v>
      </c>
      <c r="B3" s="3035" t="e">
        <f>ROUND(B2*10000/B4,0)</f>
        <v>#DIV/0!</v>
      </c>
      <c r="C3" s="3024" t="s">
        <v>2830</v>
      </c>
      <c r="D3" s="3024"/>
      <c r="E3" s="3025"/>
      <c r="F3" s="3026"/>
      <c r="G3" s="3027"/>
      <c r="H3" s="3028"/>
      <c r="I3" s="3029"/>
      <c r="J3" s="3459" t="s">
        <v>2831</v>
      </c>
      <c r="K3" s="3460"/>
      <c r="L3" s="3036"/>
      <c r="M3" s="3036"/>
      <c r="N3" s="3036"/>
      <c r="O3" s="3036"/>
      <c r="P3" s="3036"/>
      <c r="Q3" s="3037"/>
      <c r="R3" s="3038">
        <f>SUM(L3:Q3)</f>
        <v>0</v>
      </c>
      <c r="S3" s="3021"/>
      <c r="T3" s="3021"/>
      <c r="U3" s="3021"/>
      <c r="V3" s="3029"/>
    </row>
    <row r="4" spans="1:22" s="3033" customFormat="1" ht="13.15" customHeight="1">
      <c r="A4" s="3039" t="s">
        <v>2832</v>
      </c>
      <c r="B4" s="3040"/>
      <c r="C4" s="3024"/>
      <c r="D4" s="3024"/>
      <c r="E4" s="3025"/>
      <c r="F4" s="3026"/>
      <c r="G4" s="3027"/>
      <c r="H4" s="3028"/>
      <c r="I4" s="3029"/>
      <c r="J4" s="3459" t="s">
        <v>2833</v>
      </c>
      <c r="K4" s="3460"/>
      <c r="L4" s="3041"/>
      <c r="M4" s="3041"/>
      <c r="N4" s="3041"/>
      <c r="O4" s="3041"/>
      <c r="P4" s="3041"/>
      <c r="Q4" s="3042"/>
      <c r="R4" s="3043">
        <f>SUM(L4:Q4)</f>
        <v>0</v>
      </c>
      <c r="S4" s="3021"/>
      <c r="T4" s="3021"/>
      <c r="U4" s="3021"/>
      <c r="V4" s="3029"/>
    </row>
    <row r="5" spans="1:22" s="3033" customFormat="1" ht="13.1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15" customHeight="1" thickBot="1">
      <c r="A6" s="3465" t="s">
        <v>2837</v>
      </c>
      <c r="B6" s="3466"/>
      <c r="C6" s="3467"/>
      <c r="D6" s="3050"/>
      <c r="E6" s="3051"/>
      <c r="F6" s="3052"/>
      <c r="G6" s="3053"/>
      <c r="H6" s="3028"/>
      <c r="I6" s="3029"/>
      <c r="J6" s="3451">
        <v>1</v>
      </c>
      <c r="K6" s="3452"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15" customHeight="1">
      <c r="A7" s="3056" t="s">
        <v>2847</v>
      </c>
      <c r="B7" s="3057"/>
      <c r="C7" s="3058"/>
      <c r="D7" s="3059">
        <f>SUM(D9,D10,D11,D17,0)</f>
        <v>0</v>
      </c>
      <c r="E7" s="3060" t="e">
        <f>E9+E10+E11+E17</f>
        <v>#DIV/0!</v>
      </c>
      <c r="F7" s="3061"/>
      <c r="G7" s="3062"/>
      <c r="H7" s="3028"/>
      <c r="I7" s="3029"/>
      <c r="J7" s="3451"/>
      <c r="K7" s="3453"/>
      <c r="L7" s="3063" t="s">
        <v>2848</v>
      </c>
      <c r="M7" s="3064"/>
      <c r="N7" s="3040"/>
      <c r="O7" s="3065"/>
      <c r="P7" s="3065"/>
      <c r="Q7" s="3066">
        <v>365</v>
      </c>
      <c r="R7" s="3067">
        <f>ROUND(M7*N7*O7*P7*Q7/10000,0)</f>
        <v>0</v>
      </c>
      <c r="S7" s="3021"/>
      <c r="T7" s="3021" t="s">
        <v>2849</v>
      </c>
      <c r="U7" s="3021"/>
      <c r="V7" s="3029"/>
    </row>
    <row r="8" spans="1:22" s="3033" customFormat="1" ht="13.15" customHeight="1">
      <c r="A8" s="3068" t="s">
        <v>2850</v>
      </c>
      <c r="B8" s="3468" t="s">
        <v>2851</v>
      </c>
      <c r="C8" s="3469"/>
      <c r="D8" s="3069" t="s">
        <v>2852</v>
      </c>
      <c r="E8" s="3070" t="s">
        <v>2853</v>
      </c>
      <c r="F8" s="3071" t="s">
        <v>2854</v>
      </c>
      <c r="G8" s="3072"/>
      <c r="H8" s="3028"/>
      <c r="I8" s="3029"/>
      <c r="J8" s="3451"/>
      <c r="K8" s="3453"/>
      <c r="L8" s="3063" t="s">
        <v>2855</v>
      </c>
      <c r="M8" s="3064"/>
      <c r="N8" s="3040"/>
      <c r="O8" s="3065"/>
      <c r="P8" s="3065"/>
      <c r="Q8" s="3066">
        <v>365</v>
      </c>
      <c r="R8" s="3067">
        <f t="shared" ref="R8:R13" si="0">ROUND(M8*N8*O8*P8*Q8/10000,0)</f>
        <v>0</v>
      </c>
      <c r="S8" s="3021"/>
      <c r="T8" s="3021" t="s">
        <v>2856</v>
      </c>
      <c r="U8" s="3021"/>
      <c r="V8" s="3029"/>
    </row>
    <row r="9" spans="1:22" s="3033" customFormat="1" ht="13.15" customHeight="1">
      <c r="A9" s="3068">
        <v>1</v>
      </c>
      <c r="B9" s="3468" t="s">
        <v>2857</v>
      </c>
      <c r="C9" s="3469"/>
      <c r="D9" s="3069">
        <f>ROUND(D6*E9,0)</f>
        <v>0</v>
      </c>
      <c r="E9" s="3073"/>
      <c r="F9" s="3074" t="s">
        <v>2858</v>
      </c>
      <c r="G9" s="3053"/>
      <c r="H9" s="3028"/>
      <c r="I9" s="3029"/>
      <c r="J9" s="3451"/>
      <c r="K9" s="3453"/>
      <c r="L9" s="3063" t="s">
        <v>2859</v>
      </c>
      <c r="M9" s="3064"/>
      <c r="N9" s="3040"/>
      <c r="O9" s="3065"/>
      <c r="P9" s="3065"/>
      <c r="Q9" s="3066">
        <v>365</v>
      </c>
      <c r="R9" s="3067">
        <f t="shared" si="0"/>
        <v>0</v>
      </c>
      <c r="S9" s="3021"/>
      <c r="T9" s="3021"/>
      <c r="U9" s="3021"/>
      <c r="V9" s="3029"/>
    </row>
    <row r="10" spans="1:22" s="3033" customFormat="1" ht="13.15" customHeight="1">
      <c r="A10" s="3068">
        <v>2</v>
      </c>
      <c r="B10" s="3468" t="s">
        <v>2860</v>
      </c>
      <c r="C10" s="3469"/>
      <c r="D10" s="3069">
        <f>ROUND(D6*E10,0)</f>
        <v>0</v>
      </c>
      <c r="E10" s="3073"/>
      <c r="F10" s="3074" t="s">
        <v>2861</v>
      </c>
      <c r="G10" s="3053"/>
      <c r="H10" s="3028"/>
      <c r="I10" s="3029"/>
      <c r="J10" s="3451"/>
      <c r="K10" s="3453"/>
      <c r="L10" s="3063" t="s">
        <v>2862</v>
      </c>
      <c r="M10" s="3064"/>
      <c r="N10" s="3040"/>
      <c r="O10" s="3065"/>
      <c r="P10" s="3065"/>
      <c r="Q10" s="3066">
        <v>365</v>
      </c>
      <c r="R10" s="3067">
        <f t="shared" si="0"/>
        <v>0</v>
      </c>
      <c r="S10" s="3021"/>
      <c r="T10" s="3021"/>
      <c r="U10" s="3021"/>
      <c r="V10" s="3029"/>
    </row>
    <row r="11" spans="1:22" s="3033" customFormat="1" ht="13.15" customHeight="1">
      <c r="A11" s="3068">
        <v>3</v>
      </c>
      <c r="B11" s="3468" t="s">
        <v>2863</v>
      </c>
      <c r="C11" s="3469"/>
      <c r="D11" s="3069">
        <f>D12+D14+D15+D16</f>
        <v>0</v>
      </c>
      <c r="E11" s="3075" t="e">
        <f>D11/D6</f>
        <v>#DIV/0!</v>
      </c>
      <c r="F11" s="3071"/>
      <c r="G11" s="3072"/>
      <c r="H11" s="3028"/>
      <c r="I11" s="3029"/>
      <c r="J11" s="3451"/>
      <c r="K11" s="3453"/>
      <c r="L11" s="3063" t="s">
        <v>2864</v>
      </c>
      <c r="M11" s="3064"/>
      <c r="N11" s="3040"/>
      <c r="O11" s="3065"/>
      <c r="P11" s="3065"/>
      <c r="Q11" s="3066">
        <v>365</v>
      </c>
      <c r="R11" s="3067">
        <f t="shared" si="0"/>
        <v>0</v>
      </c>
      <c r="S11" s="3021"/>
      <c r="T11" s="3021"/>
      <c r="U11" s="3021"/>
      <c r="V11" s="3029"/>
    </row>
    <row r="12" spans="1:22" s="3033" customFormat="1" ht="13.15" customHeight="1">
      <c r="A12" s="3076" t="s">
        <v>2865</v>
      </c>
      <c r="B12" s="3461" t="s">
        <v>2866</v>
      </c>
      <c r="C12" s="3462"/>
      <c r="D12" s="3077">
        <f>ROUND(D13*1.2%*(1-30%),0)</f>
        <v>0</v>
      </c>
      <c r="E12" s="3078">
        <v>1.2E-2</v>
      </c>
      <c r="F12" s="3071" t="s">
        <v>2867</v>
      </c>
      <c r="G12" s="3072"/>
      <c r="H12" s="3028"/>
      <c r="I12" s="3029"/>
      <c r="J12" s="3451"/>
      <c r="K12" s="3453"/>
      <c r="L12" s="3063" t="s">
        <v>2868</v>
      </c>
      <c r="M12" s="3064"/>
      <c r="N12" s="3040"/>
      <c r="O12" s="3065"/>
      <c r="P12" s="3065"/>
      <c r="Q12" s="3066">
        <v>365</v>
      </c>
      <c r="R12" s="3067">
        <f t="shared" si="0"/>
        <v>0</v>
      </c>
      <c r="S12" s="3021"/>
      <c r="T12" s="3021"/>
      <c r="U12" s="3021"/>
      <c r="V12" s="3029"/>
    </row>
    <row r="13" spans="1:22" s="3033" customFormat="1" ht="13.15" customHeight="1">
      <c r="A13" s="3076"/>
      <c r="B13" s="3079"/>
      <c r="C13" s="3080" t="s">
        <v>2869</v>
      </c>
      <c r="D13" s="3081"/>
      <c r="E13" s="3082"/>
      <c r="F13" s="3071"/>
      <c r="G13" s="3072"/>
      <c r="H13" s="3028"/>
      <c r="I13" s="3029"/>
      <c r="J13" s="3451"/>
      <c r="K13" s="3453"/>
      <c r="L13" s="3063" t="s">
        <v>2870</v>
      </c>
      <c r="M13" s="3064"/>
      <c r="N13" s="3040"/>
      <c r="O13" s="3065"/>
      <c r="P13" s="3065"/>
      <c r="Q13" s="3066">
        <v>365</v>
      </c>
      <c r="R13" s="3067">
        <f t="shared" si="0"/>
        <v>0</v>
      </c>
      <c r="S13" s="3021"/>
      <c r="T13" s="3021"/>
      <c r="U13" s="3021"/>
      <c r="V13" s="3029"/>
    </row>
    <row r="14" spans="1:22" s="3033" customFormat="1" ht="13.15" customHeight="1">
      <c r="A14" s="3076" t="s">
        <v>2871</v>
      </c>
      <c r="B14" s="3461" t="s">
        <v>2872</v>
      </c>
      <c r="C14" s="3462"/>
      <c r="D14" s="3077">
        <f>ROUND(E14*B5/10000,0)</f>
        <v>0</v>
      </c>
      <c r="E14" s="3066"/>
      <c r="F14" s="3071" t="s">
        <v>2873</v>
      </c>
      <c r="G14" s="3072"/>
      <c r="H14" s="3028"/>
      <c r="I14" s="3029"/>
      <c r="J14" s="3451"/>
      <c r="K14" s="3454"/>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2875</v>
      </c>
      <c r="B15" s="3461" t="s">
        <v>2876</v>
      </c>
      <c r="C15" s="3462"/>
      <c r="D15" s="3077">
        <f>ROUND(D6*E15,0)</f>
        <v>0</v>
      </c>
      <c r="E15" s="3078">
        <v>5.5E-2</v>
      </c>
      <c r="F15" s="3071" t="s">
        <v>2877</v>
      </c>
      <c r="G15" s="3053"/>
      <c r="H15" s="3028"/>
      <c r="I15" s="3029"/>
      <c r="J15" s="3451">
        <v>2</v>
      </c>
      <c r="K15" s="3452"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15" customHeight="1">
      <c r="A16" s="3076" t="s">
        <v>2884</v>
      </c>
      <c r="B16" s="3461" t="s">
        <v>2885</v>
      </c>
      <c r="C16" s="3462"/>
      <c r="D16" s="3088">
        <f>D6*E16</f>
        <v>0</v>
      </c>
      <c r="E16" s="3089"/>
      <c r="F16" s="3074" t="s">
        <v>2886</v>
      </c>
      <c r="G16" s="3053"/>
      <c r="H16" s="3028"/>
      <c r="I16" s="3029"/>
      <c r="J16" s="3451"/>
      <c r="K16" s="3453"/>
      <c r="L16" s="3063" t="s">
        <v>2887</v>
      </c>
      <c r="M16" s="3064"/>
      <c r="N16" s="3064"/>
      <c r="O16" s="3065"/>
      <c r="P16" s="3066">
        <v>365</v>
      </c>
      <c r="Q16" s="3040"/>
      <c r="R16" s="3087">
        <f>ROUND(M16*N16*O16*P16/10000,0)</f>
        <v>0</v>
      </c>
      <c r="S16" s="3021"/>
      <c r="T16" s="3021"/>
      <c r="U16" s="3021"/>
      <c r="V16" s="3029"/>
    </row>
    <row r="17" spans="1:22" s="3033" customFormat="1" ht="13.15" customHeight="1" thickBot="1">
      <c r="A17" s="3090">
        <v>4</v>
      </c>
      <c r="B17" s="3463" t="s">
        <v>2888</v>
      </c>
      <c r="C17" s="3464"/>
      <c r="D17" s="3091">
        <f>ROUND(D6*E17,0)</f>
        <v>0</v>
      </c>
      <c r="E17" s="3092"/>
      <c r="F17" s="3093" t="s">
        <v>2889</v>
      </c>
      <c r="G17" s="3053"/>
      <c r="H17" s="3028"/>
      <c r="I17" s="3029"/>
      <c r="J17" s="3451"/>
      <c r="K17" s="3453"/>
      <c r="L17" s="3063" t="s">
        <v>2890</v>
      </c>
      <c r="M17" s="3064"/>
      <c r="N17" s="3064"/>
      <c r="O17" s="3065"/>
      <c r="P17" s="3066">
        <v>365</v>
      </c>
      <c r="Q17" s="3040"/>
      <c r="R17" s="3087">
        <f>ROUND(M17*N17*O17*P17/10000,0)</f>
        <v>0</v>
      </c>
      <c r="S17" s="3021"/>
      <c r="T17" s="3021"/>
      <c r="U17" s="3021"/>
      <c r="V17" s="3029"/>
    </row>
    <row r="18" spans="1:22" s="3033" customFormat="1" ht="13.15" customHeight="1" thickBot="1">
      <c r="A18" s="3056" t="s">
        <v>2891</v>
      </c>
      <c r="B18" s="3057"/>
      <c r="C18" s="3057"/>
      <c r="D18" s="3094">
        <f>ROUND(D6*E18,0)</f>
        <v>0</v>
      </c>
      <c r="E18" s="3095"/>
      <c r="F18" s="3096" t="s">
        <v>2892</v>
      </c>
      <c r="G18" s="3053"/>
      <c r="H18" s="3028"/>
      <c r="I18" s="3029"/>
      <c r="J18" s="3451"/>
      <c r="K18" s="3453"/>
      <c r="L18" s="3063" t="s">
        <v>2893</v>
      </c>
      <c r="M18" s="3064"/>
      <c r="N18" s="3064"/>
      <c r="O18" s="3065"/>
      <c r="P18" s="3066">
        <v>365</v>
      </c>
      <c r="Q18" s="3040"/>
      <c r="R18" s="3087">
        <f>ROUND(M18*N18*O18*P18/10000,0)</f>
        <v>0</v>
      </c>
      <c r="S18" s="3021"/>
      <c r="T18" s="3021"/>
      <c r="U18" s="3021"/>
      <c r="V18" s="3029"/>
    </row>
    <row r="19" spans="1:22" s="3033" customFormat="1" ht="13.15" customHeight="1" thickBot="1">
      <c r="A19" s="3097" t="s">
        <v>2894</v>
      </c>
      <c r="B19" s="3051"/>
      <c r="C19" s="3051"/>
      <c r="D19" s="3051"/>
      <c r="E19" s="3051"/>
      <c r="F19" s="3052"/>
      <c r="G19" s="3072"/>
      <c r="H19" s="3028"/>
      <c r="I19" s="3029"/>
      <c r="J19" s="3451"/>
      <c r="K19" s="3454"/>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51">
        <v>3</v>
      </c>
      <c r="K20" s="3452"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15" customHeight="1">
      <c r="A21" s="3056"/>
      <c r="B21" s="3057"/>
      <c r="C21" s="3103" t="s">
        <v>2903</v>
      </c>
      <c r="D21" s="3104" t="s">
        <v>2904</v>
      </c>
      <c r="E21" s="3105" t="s">
        <v>2905</v>
      </c>
      <c r="F21" s="3100"/>
      <c r="G21" s="3072"/>
      <c r="H21" s="3028"/>
      <c r="I21" s="3029"/>
      <c r="J21" s="3451"/>
      <c r="K21" s="3453"/>
      <c r="L21" s="3063" t="s">
        <v>2906</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2907</v>
      </c>
      <c r="D22" s="3108" t="s">
        <v>2908</v>
      </c>
      <c r="E22" s="3109" t="s">
        <v>2909</v>
      </c>
      <c r="F22" s="3100"/>
      <c r="G22" s="3110"/>
      <c r="H22" s="3028"/>
      <c r="I22" s="3029"/>
      <c r="J22" s="3451"/>
      <c r="K22" s="3453"/>
      <c r="L22" s="3063" t="s">
        <v>2910</v>
      </c>
      <c r="M22" s="3064"/>
      <c r="N22" s="3064"/>
      <c r="O22" s="3065"/>
      <c r="P22" s="3066">
        <v>365</v>
      </c>
      <c r="Q22" s="3040"/>
      <c r="R22" s="3106">
        <f>ROUND(M22*N22*O22*P22/10000,0)</f>
        <v>0</v>
      </c>
      <c r="S22" s="3102"/>
      <c r="T22" s="3102"/>
      <c r="U22" s="3102"/>
      <c r="V22" s="3029"/>
    </row>
    <row r="23" spans="1:22" s="3033" customFormat="1" ht="13.15" customHeight="1">
      <c r="A23" s="3111">
        <v>1</v>
      </c>
      <c r="B23" s="3112" t="s">
        <v>2911</v>
      </c>
      <c r="C23" s="3113">
        <f>D6</f>
        <v>0</v>
      </c>
      <c r="D23" s="3114">
        <f>C23*(1+D24)</f>
        <v>0</v>
      </c>
      <c r="E23" s="3115">
        <f>D23*(1+E24)</f>
        <v>0</v>
      </c>
      <c r="F23" s="3116"/>
      <c r="G23" s="3117"/>
      <c r="H23" s="3028"/>
      <c r="I23" s="3029"/>
      <c r="J23" s="3451"/>
      <c r="K23" s="3453"/>
      <c r="L23" s="3063" t="s">
        <v>2912</v>
      </c>
      <c r="M23" s="3064"/>
      <c r="N23" s="3064"/>
      <c r="O23" s="3065"/>
      <c r="P23" s="3066">
        <v>365</v>
      </c>
      <c r="Q23" s="3040"/>
      <c r="R23" s="3106">
        <f>ROUND(M23*N23*O23*P23/10000,0)</f>
        <v>0</v>
      </c>
      <c r="S23" s="3021"/>
      <c r="T23" s="3021"/>
      <c r="U23" s="3021"/>
      <c r="V23" s="3029"/>
    </row>
    <row r="24" spans="1:22" s="3033" customFormat="1" ht="13.15" customHeight="1">
      <c r="A24" s="3118"/>
      <c r="B24" s="3119" t="s">
        <v>2913</v>
      </c>
      <c r="C24" s="3120"/>
      <c r="D24" s="3121"/>
      <c r="E24" s="3122"/>
      <c r="F24" s="3123"/>
      <c r="G24" s="3117"/>
      <c r="H24" s="3028"/>
      <c r="I24" s="3029"/>
      <c r="J24" s="3451"/>
      <c r="K24" s="3454"/>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15" customHeight="1">
      <c r="A26" s="3111">
        <v>2</v>
      </c>
      <c r="B26" s="3112" t="s">
        <v>2915</v>
      </c>
      <c r="C26" s="3113">
        <f>D7</f>
        <v>0</v>
      </c>
      <c r="D26" s="3114">
        <f>D23*D27</f>
        <v>0</v>
      </c>
      <c r="E26" s="3115">
        <f>E23*E27</f>
        <v>0</v>
      </c>
      <c r="F26" s="3116"/>
      <c r="G26" s="3117"/>
      <c r="H26" s="3028"/>
      <c r="I26" s="3029"/>
      <c r="J26" s="3455">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15" customHeight="1">
      <c r="A27" s="3118"/>
      <c r="B27" s="3119" t="s">
        <v>2921</v>
      </c>
      <c r="C27" s="3137" t="e">
        <f>E7</f>
        <v>#DIV/0!</v>
      </c>
      <c r="D27" s="3121"/>
      <c r="E27" s="3122"/>
      <c r="F27" s="3123"/>
      <c r="G27" s="3117"/>
      <c r="H27" s="3138"/>
      <c r="I27" s="3129"/>
      <c r="J27" s="3456"/>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1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15" customHeight="1">
      <c r="A32" s="3111">
        <v>4</v>
      </c>
      <c r="B32" s="3112" t="s">
        <v>2929</v>
      </c>
      <c r="C32" s="3113">
        <f>C23-C26-C29</f>
        <v>0</v>
      </c>
      <c r="D32" s="3114">
        <f>D23-D26-D29</f>
        <v>0</v>
      </c>
      <c r="E32" s="3115">
        <f>E23-E26-E29</f>
        <v>0</v>
      </c>
      <c r="F32" s="3116"/>
      <c r="G32" s="3110"/>
      <c r="H32" s="3028"/>
      <c r="I32" s="3029"/>
      <c r="J32" s="3457" t="s">
        <v>2821</v>
      </c>
      <c r="K32" s="3458"/>
      <c r="L32" s="3030" t="s">
        <v>2822</v>
      </c>
      <c r="M32" s="3030" t="s">
        <v>2823</v>
      </c>
      <c r="N32" s="3030" t="s">
        <v>2824</v>
      </c>
      <c r="O32" s="3030" t="s">
        <v>2825</v>
      </c>
      <c r="P32" s="3030" t="s">
        <v>2826</v>
      </c>
      <c r="Q32" s="3031" t="s">
        <v>2827</v>
      </c>
      <c r="R32" s="3153" t="s">
        <v>2828</v>
      </c>
      <c r="S32" s="3102"/>
      <c r="T32" s="3021"/>
      <c r="U32" s="3021"/>
      <c r="V32" s="3129"/>
    </row>
    <row r="33" spans="1:23" s="3033" customFormat="1" ht="13.15" customHeight="1">
      <c r="A33" s="3111"/>
      <c r="B33" s="3112"/>
      <c r="C33" s="3113"/>
      <c r="D33" s="3154"/>
      <c r="E33" s="3155"/>
      <c r="F33" s="3116"/>
      <c r="G33" s="3110"/>
      <c r="H33" s="3138"/>
      <c r="I33" s="3129"/>
      <c r="J33" s="3459" t="s">
        <v>2831</v>
      </c>
      <c r="K33" s="3460"/>
      <c r="L33" s="3036"/>
      <c r="M33" s="3036"/>
      <c r="N33" s="3036"/>
      <c r="O33" s="3036"/>
      <c r="P33" s="3036"/>
      <c r="Q33" s="3037"/>
      <c r="R33" s="3156">
        <f>SUM(L33:Q33)</f>
        <v>0</v>
      </c>
      <c r="S33" s="3102"/>
      <c r="T33" s="3021"/>
      <c r="U33" s="3021"/>
      <c r="V33" s="3029"/>
    </row>
    <row r="34" spans="1:23" s="3033" customFormat="1" ht="13.15" customHeight="1">
      <c r="A34" s="3111">
        <v>5</v>
      </c>
      <c r="B34" s="3112" t="s">
        <v>2930</v>
      </c>
      <c r="C34" s="3157"/>
      <c r="D34" s="3158"/>
      <c r="E34" s="3159"/>
      <c r="F34" s="3116"/>
      <c r="G34" s="3110"/>
      <c r="H34" s="3138"/>
      <c r="I34" s="3129"/>
      <c r="J34" s="3459" t="s">
        <v>2833</v>
      </c>
      <c r="K34" s="3460"/>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15" customHeight="1" thickBot="1">
      <c r="A36" s="3111">
        <v>7</v>
      </c>
      <c r="B36" s="3166" t="s">
        <v>2932</v>
      </c>
      <c r="C36" s="3167"/>
      <c r="D36" s="3168"/>
      <c r="E36" s="3169"/>
      <c r="F36" s="3170">
        <f>C36+D36+E36</f>
        <v>0</v>
      </c>
      <c r="G36" s="3110"/>
      <c r="H36" s="3028"/>
      <c r="I36" s="3029"/>
      <c r="J36" s="3451">
        <v>1</v>
      </c>
      <c r="K36" s="3452" t="s">
        <v>2933</v>
      </c>
      <c r="L36" s="3054"/>
      <c r="M36" s="3055"/>
      <c r="N36" s="3055"/>
      <c r="O36" s="3055"/>
      <c r="P36" s="3055"/>
      <c r="Q36" s="3055"/>
      <c r="R36" s="3038" t="s">
        <v>2845</v>
      </c>
      <c r="S36" s="3102"/>
      <c r="T36" s="3021" t="s">
        <v>2846</v>
      </c>
      <c r="U36" s="3021"/>
      <c r="V36" s="3029"/>
    </row>
    <row r="37" spans="1:23" s="3033" customFormat="1" ht="13.15" customHeight="1">
      <c r="A37" s="3111"/>
      <c r="B37" s="3112"/>
      <c r="C37" s="3112"/>
      <c r="D37" s="3112"/>
      <c r="E37" s="3112"/>
      <c r="F37" s="3116"/>
      <c r="G37" s="3110"/>
      <c r="H37" s="3028"/>
      <c r="I37" s="3029"/>
      <c r="J37" s="3451"/>
      <c r="K37" s="3453"/>
      <c r="L37" s="3063"/>
      <c r="M37" s="3064"/>
      <c r="N37" s="3040"/>
      <c r="O37" s="3065"/>
      <c r="P37" s="3065"/>
      <c r="Q37" s="3066"/>
      <c r="R37" s="3067"/>
      <c r="S37" s="3102"/>
      <c r="T37" s="3021" t="s">
        <v>2849</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51"/>
      <c r="K38" s="3453"/>
      <c r="L38" s="3063"/>
      <c r="M38" s="3064"/>
      <c r="N38" s="3040"/>
      <c r="O38" s="3065"/>
      <c r="P38" s="3065"/>
      <c r="Q38" s="3066"/>
      <c r="R38" s="3067"/>
      <c r="S38" s="3102"/>
      <c r="T38" s="3021" t="s">
        <v>2856</v>
      </c>
      <c r="U38" s="3021"/>
      <c r="V38" s="3029"/>
    </row>
    <row r="39" spans="1:23" s="3033" customFormat="1" ht="13.15" customHeight="1">
      <c r="A39" s="3111">
        <v>9</v>
      </c>
      <c r="B39" s="3112" t="s">
        <v>2934</v>
      </c>
      <c r="C39" s="3077" t="e">
        <f>C38</f>
        <v>#DIV/0!</v>
      </c>
      <c r="D39" s="3112">
        <f>D38/(1+D34)^C36</f>
        <v>0</v>
      </c>
      <c r="E39" s="3112">
        <f>E38/(1+E34)^(C36+D36)</f>
        <v>0</v>
      </c>
      <c r="F39" s="3116"/>
      <c r="G39" s="3171"/>
      <c r="H39" s="3028"/>
      <c r="I39" s="3029"/>
      <c r="J39" s="3451"/>
      <c r="K39" s="3453"/>
      <c r="L39" s="3063"/>
      <c r="M39" s="3064"/>
      <c r="N39" s="3040"/>
      <c r="O39" s="3065"/>
      <c r="P39" s="3065"/>
      <c r="Q39" s="3066"/>
      <c r="R39" s="3067"/>
      <c r="S39" s="3102"/>
      <c r="T39" s="3021"/>
      <c r="U39" s="3021"/>
      <c r="V39" s="3029"/>
    </row>
    <row r="40" spans="1:23" s="3033" customFormat="1" ht="13.15" customHeight="1">
      <c r="A40" s="3172">
        <v>10</v>
      </c>
      <c r="B40" s="3112" t="s">
        <v>2935</v>
      </c>
      <c r="C40" s="3173" t="e">
        <f>C39+D39+E39</f>
        <v>#DIV/0!</v>
      </c>
      <c r="D40" s="3174"/>
      <c r="E40" s="3174"/>
      <c r="F40" s="3175"/>
      <c r="G40" s="3110"/>
      <c r="H40" s="3028"/>
      <c r="I40" s="3029"/>
      <c r="J40" s="3451"/>
      <c r="K40" s="3454"/>
      <c r="L40" s="3083" t="s">
        <v>2874</v>
      </c>
      <c r="M40" s="3084"/>
      <c r="N40" s="3084"/>
      <c r="O40" s="3085"/>
      <c r="P40" s="3085"/>
      <c r="Q40" s="3086"/>
      <c r="R40" s="3032">
        <f>SUM(R37:R39)</f>
        <v>0</v>
      </c>
      <c r="S40" s="3102"/>
      <c r="T40" s="3021"/>
      <c r="U40" s="3021"/>
      <c r="V40" s="3029"/>
    </row>
    <row r="41" spans="1:23" s="3033" customFormat="1" ht="13.1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15" customHeight="1">
      <c r="G42" s="3180"/>
      <c r="H42" s="3028"/>
      <c r="I42" s="3029"/>
      <c r="J42" s="3455">
        <v>3</v>
      </c>
      <c r="K42" s="3131" t="s">
        <v>2916</v>
      </c>
      <c r="L42" s="3132"/>
      <c r="M42" s="3133"/>
      <c r="N42" s="3134" t="s">
        <v>2917</v>
      </c>
      <c r="O42" s="3134" t="s">
        <v>2918</v>
      </c>
      <c r="P42" s="3135" t="s">
        <v>2919</v>
      </c>
      <c r="Q42" s="3135" t="s">
        <v>2920</v>
      </c>
      <c r="R42" s="3038" t="s">
        <v>2845</v>
      </c>
      <c r="S42" s="3136"/>
      <c r="T42" s="3136"/>
      <c r="U42" s="3021"/>
      <c r="V42" s="3029"/>
    </row>
    <row r="43" spans="1:23" ht="13.15" customHeight="1">
      <c r="A43" s="3033"/>
      <c r="B43" s="3033"/>
      <c r="C43" s="3033"/>
      <c r="D43" s="3033"/>
      <c r="E43" s="3033"/>
      <c r="F43" s="3033"/>
      <c r="I43" s="3016"/>
      <c r="J43" s="3456"/>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2106</v>
      </c>
      <c r="B1" s="2004"/>
      <c r="C1" s="2004"/>
      <c r="D1" s="2004"/>
      <c r="E1" s="2005"/>
      <c r="F1" s="2885"/>
      <c r="G1" s="1625"/>
      <c r="H1" s="1625"/>
      <c r="I1" s="1625"/>
      <c r="J1" s="1625"/>
      <c r="K1" s="1625"/>
      <c r="L1" s="1625"/>
      <c r="M1" s="1625"/>
      <c r="N1" s="1625"/>
      <c r="O1" s="1625"/>
      <c r="P1" s="1625"/>
      <c r="Q1" s="1625"/>
      <c r="R1" s="1625"/>
      <c r="S1" s="1625"/>
    </row>
    <row r="2" spans="1:22" ht="15.75">
      <c r="A2" s="2006" t="s">
        <v>1907</v>
      </c>
      <c r="B2" s="2007">
        <f ca="1">SUMIF(B6:B13,"&lt;&gt;#ref!",B6:B13)</f>
        <v>183206</v>
      </c>
      <c r="C2" s="2008" t="s">
        <v>2099</v>
      </c>
      <c r="D2" s="2009" t="s">
        <v>2100</v>
      </c>
      <c r="E2" s="2782">
        <f>SUM(E6:E13)</f>
        <v>63402.909999999996</v>
      </c>
      <c r="F2" s="2885"/>
      <c r="G2" s="1625"/>
      <c r="H2" s="1625"/>
      <c r="I2" s="1625"/>
      <c r="J2" s="1625"/>
      <c r="K2" s="1625"/>
      <c r="L2" s="1625"/>
      <c r="M2" s="1625"/>
      <c r="N2" s="1625"/>
      <c r="O2" s="1625"/>
      <c r="P2" s="1625"/>
      <c r="Q2" s="1625"/>
      <c r="R2" s="1625"/>
      <c r="S2" s="1625"/>
    </row>
    <row r="3" spans="1:22" ht="15.75">
      <c r="A3" s="2006" t="s">
        <v>1119</v>
      </c>
      <c r="B3" s="2776">
        <f ca="1">ROUND(B2*10000/E2,0)</f>
        <v>28896</v>
      </c>
      <c r="C3" s="2008" t="s">
        <v>2107</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2101</v>
      </c>
      <c r="B5" s="3470" t="s">
        <v>2102</v>
      </c>
      <c r="C5" s="3471"/>
      <c r="D5" s="2886"/>
      <c r="E5" s="2010" t="s">
        <v>2103</v>
      </c>
      <c r="F5" s="2011" t="s">
        <v>2104</v>
      </c>
      <c r="G5" s="1625"/>
      <c r="H5" s="1625"/>
      <c r="I5" s="1625"/>
      <c r="J5" s="1625"/>
      <c r="K5" s="1625"/>
      <c r="L5" s="1625"/>
      <c r="M5" s="1625"/>
      <c r="N5" s="1625"/>
      <c r="O5" s="1625"/>
      <c r="P5" s="1625"/>
      <c r="Q5" s="1625"/>
      <c r="R5" s="1625"/>
      <c r="S5" s="1625"/>
    </row>
    <row r="6" spans="1:22">
      <c r="A6" s="2779" t="str">
        <f>'数据-取费表'!AN6</f>
        <v>收益法</v>
      </c>
      <c r="B6" s="2777">
        <f ca="1">IF(F6="是",'数据-取费表'!AO6,0)</f>
        <v>1605</v>
      </c>
      <c r="C6" s="2008" t="s">
        <v>2099</v>
      </c>
      <c r="D6" s="2887"/>
      <c r="E6" s="2781">
        <f>IF(OR(A6=0,F6="否"),0,'数据-取费表'!K6+'数据-取费表'!S6)</f>
        <v>529.9</v>
      </c>
      <c r="F6" s="2012" t="s">
        <v>2105</v>
      </c>
      <c r="G6" s="1625"/>
      <c r="H6" s="1625"/>
      <c r="I6" s="1625"/>
      <c r="J6" s="1625"/>
      <c r="K6" s="1625"/>
      <c r="L6" s="1625"/>
      <c r="M6" s="1625"/>
      <c r="N6" s="1625"/>
      <c r="O6" s="1625"/>
      <c r="P6" s="1625"/>
      <c r="Q6" s="1625"/>
      <c r="R6" s="1625"/>
      <c r="S6" s="1625"/>
    </row>
    <row r="7" spans="1:22">
      <c r="A7" s="2779">
        <f>'数据-取费表'!AN7</f>
        <v>0</v>
      </c>
      <c r="B7" s="2777" t="e">
        <f ca="1">IF(F7="是",'数据-取费表'!AO7,0)</f>
        <v>#REF!</v>
      </c>
      <c r="C7" s="2008" t="s">
        <v>2099</v>
      </c>
      <c r="D7" s="2887"/>
      <c r="E7" s="2781">
        <f>IF(OR(A7=0,F7="否"),0,'数据-取费表'!K7+'数据-取费表'!S7)</f>
        <v>0</v>
      </c>
      <c r="F7" s="2012" t="s">
        <v>2105</v>
      </c>
      <c r="G7" s="1625"/>
      <c r="H7" s="1625"/>
      <c r="I7" s="1625"/>
      <c r="J7" s="1625"/>
      <c r="K7" s="1625"/>
      <c r="L7" s="1625"/>
      <c r="M7" s="1625"/>
      <c r="N7" s="1625"/>
      <c r="O7" s="1625"/>
      <c r="P7" s="1625"/>
      <c r="Q7" s="1625"/>
      <c r="R7" s="1625"/>
      <c r="S7" s="1625"/>
    </row>
    <row r="8" spans="1:22">
      <c r="A8" s="2779" t="str">
        <f>'数据-取费表'!AN8</f>
        <v>收益法(办公)</v>
      </c>
      <c r="B8" s="2777">
        <f ca="1">IF(F8="是",'数据-取费表'!AO8,0)</f>
        <v>179302</v>
      </c>
      <c r="C8" s="2008" t="s">
        <v>2099</v>
      </c>
      <c r="D8" s="2887"/>
      <c r="E8" s="2781">
        <f>IF(OR(A8=0,F8="否"),0,'数据-取费表'!K8+'数据-取费表'!S8)</f>
        <v>56554.499999999993</v>
      </c>
      <c r="F8" s="2012" t="s">
        <v>2105</v>
      </c>
      <c r="G8" s="1625"/>
      <c r="H8" s="1625"/>
      <c r="I8" s="1625"/>
      <c r="J8" s="1625"/>
      <c r="K8" s="1625"/>
      <c r="L8" s="1625"/>
      <c r="M8" s="1625"/>
      <c r="N8" s="1625"/>
      <c r="O8" s="1625"/>
      <c r="P8" s="1625"/>
      <c r="Q8" s="1625"/>
      <c r="R8" s="1625"/>
      <c r="S8" s="1625"/>
    </row>
    <row r="9" spans="1:22">
      <c r="A9" s="2779" t="str">
        <f>'数据-取费表'!AN9</f>
        <v>收益法(车位)</v>
      </c>
      <c r="B9" s="2777">
        <f ca="1">IF(F9="是",'数据-取费表'!AO9,0)</f>
        <v>2299</v>
      </c>
      <c r="C9" s="2008" t="s">
        <v>2099</v>
      </c>
      <c r="D9" s="2887"/>
      <c r="E9" s="2781">
        <f>IF(OR(A9=0,F9="否"),0,'数据-取费表'!K9+'数据-取费表'!S9)</f>
        <v>6318.51</v>
      </c>
      <c r="F9" s="2012" t="s">
        <v>2105</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8" t="s">
        <v>2099</v>
      </c>
      <c r="D10" s="2887"/>
      <c r="E10" s="2781">
        <f>IF(OR(A10=0,F10="否"),0,'数据-取费表'!K10+'数据-取费表'!S10)</f>
        <v>0</v>
      </c>
      <c r="F10" s="2012" t="s">
        <v>2105</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8" t="s">
        <v>2099</v>
      </c>
      <c r="D11" s="2887"/>
      <c r="E11" s="2781">
        <f>IF(OR(A11=0,F11="否"),0,'数据-取费表'!K11+'数据-取费表'!S11)</f>
        <v>0</v>
      </c>
      <c r="F11" s="2012" t="s">
        <v>2105</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8" t="s">
        <v>2099</v>
      </c>
      <c r="D12" s="2887"/>
      <c r="E12" s="2781">
        <f>IF(OR(A12=0,F12="否"),0,'数据-取费表'!K12+'数据-取费表'!S12)</f>
        <v>0</v>
      </c>
      <c r="F12" s="2012"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4" t="s">
        <v>2109</v>
      </c>
      <c r="C1" s="1359" t="s">
        <v>2110</v>
      </c>
      <c r="D1" s="1346"/>
      <c r="E1" s="2494"/>
      <c r="F1" s="2015" t="s">
        <v>2111</v>
      </c>
      <c r="G1" s="1356" t="s">
        <v>2112</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7"/>
      <c r="D2" s="1228" t="e">
        <f ca="1">SUMIF(INDIRECT("'"&amp;F2&amp;"'"&amp;"!A:A"),"承租人权益价值",INDIRECT("'"&amp;F2&amp;"'"&amp;"!c:c"))</f>
        <v>#REF!</v>
      </c>
      <c r="E2" s="2018" t="s">
        <v>2113</v>
      </c>
      <c r="F2" s="2019"/>
      <c r="G2" s="1019"/>
      <c r="H2" s="1019"/>
      <c r="I2" s="1019"/>
      <c r="J2" s="1019"/>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71609.739999999991</v>
      </c>
      <c r="E3" s="1019"/>
      <c r="F3" s="2024"/>
      <c r="G3" s="1019"/>
      <c r="H3" s="1019"/>
      <c r="I3" s="1019"/>
      <c r="J3" s="1019"/>
      <c r="K3" s="2020"/>
      <c r="L3" s="2891"/>
      <c r="M3" s="2892"/>
      <c r="N3" s="2892"/>
      <c r="O3" s="2892"/>
      <c r="P3" s="2021"/>
      <c r="Q3" s="2022"/>
      <c r="R3" s="2022"/>
      <c r="S3" s="2022"/>
      <c r="T3" s="2022"/>
      <c r="U3" s="2022"/>
      <c r="V3" s="2022"/>
      <c r="W3" s="2022"/>
      <c r="X3" s="2022"/>
      <c r="Y3" s="2022"/>
      <c r="Z3" s="2022"/>
      <c r="AA3" s="2022"/>
      <c r="AB3" s="2022"/>
      <c r="AC3" s="1173"/>
    </row>
    <row r="4" spans="1:29" ht="15">
      <c r="A4" s="361" t="s">
        <v>2115</v>
      </c>
      <c r="B4" s="362"/>
      <c r="C4" s="3490" t="s">
        <v>2116</v>
      </c>
      <c r="D4" s="3491"/>
      <c r="E4" s="3492" t="s">
        <v>2117</v>
      </c>
      <c r="F4" s="3493"/>
      <c r="G4" s="3490" t="s">
        <v>2118</v>
      </c>
      <c r="H4" s="3491"/>
      <c r="I4" s="3490" t="s">
        <v>2119</v>
      </c>
      <c r="J4" s="3491"/>
      <c r="K4" s="2025" t="s">
        <v>2120</v>
      </c>
      <c r="L4" s="2893"/>
      <c r="M4" s="2894"/>
      <c r="N4" s="2894"/>
      <c r="O4" s="2894"/>
      <c r="P4" s="3494" t="s">
        <v>2121</v>
      </c>
      <c r="Q4" s="3495"/>
      <c r="R4" s="3500" t="s">
        <v>2117</v>
      </c>
      <c r="S4" s="3501"/>
      <c r="T4" s="3500" t="s">
        <v>2118</v>
      </c>
      <c r="U4" s="3501"/>
      <c r="V4" s="3506" t="s">
        <v>2119</v>
      </c>
      <c r="W4" s="3506"/>
      <c r="X4" s="1490"/>
      <c r="Y4" s="3500" t="s">
        <v>2121</v>
      </c>
      <c r="Z4" s="3501"/>
      <c r="AA4" s="3487" t="s">
        <v>2117</v>
      </c>
      <c r="AB4" s="3487" t="s">
        <v>2118</v>
      </c>
      <c r="AC4" s="3487" t="s">
        <v>2119</v>
      </c>
    </row>
    <row r="5" spans="1:29" ht="15">
      <c r="A5" s="364"/>
      <c r="B5" s="365"/>
      <c r="C5" s="3509" t="s">
        <v>2122</v>
      </c>
      <c r="D5" s="3510"/>
      <c r="E5" s="3516" t="s">
        <v>2123</v>
      </c>
      <c r="F5" s="3517"/>
      <c r="G5" s="3509" t="s">
        <v>2124</v>
      </c>
      <c r="H5" s="3510"/>
      <c r="I5" s="3509" t="s">
        <v>2125</v>
      </c>
      <c r="J5" s="3510"/>
      <c r="K5" s="2026"/>
      <c r="L5" s="2893"/>
      <c r="M5" s="2894"/>
      <c r="N5" s="2894"/>
      <c r="O5" s="2894"/>
      <c r="P5" s="3496"/>
      <c r="Q5" s="3497"/>
      <c r="R5" s="3502"/>
      <c r="S5" s="3503"/>
      <c r="T5" s="3502"/>
      <c r="U5" s="3503"/>
      <c r="V5" s="3506"/>
      <c r="W5" s="3506"/>
      <c r="X5" s="1490"/>
      <c r="Y5" s="3502"/>
      <c r="Z5" s="3503"/>
      <c r="AA5" s="3488"/>
      <c r="AB5" s="3488"/>
      <c r="AC5" s="3488"/>
    </row>
    <row r="6" spans="1:29" ht="15.75" thickBot="1">
      <c r="A6" s="366"/>
      <c r="B6" s="367"/>
      <c r="C6" s="3507" t="s">
        <v>2126</v>
      </c>
      <c r="D6" s="3508"/>
      <c r="E6" s="3514" t="s">
        <v>2126</v>
      </c>
      <c r="F6" s="3515"/>
      <c r="G6" s="3507" t="s">
        <v>2126</v>
      </c>
      <c r="H6" s="3508"/>
      <c r="I6" s="3507" t="s">
        <v>2126</v>
      </c>
      <c r="J6" s="3508"/>
      <c r="K6" s="2026" t="s">
        <v>2127</v>
      </c>
      <c r="L6" s="2893"/>
      <c r="M6" s="2894"/>
      <c r="N6" s="2894"/>
      <c r="O6" s="2894"/>
      <c r="P6" s="3498"/>
      <c r="Q6" s="3499"/>
      <c r="R6" s="3502"/>
      <c r="S6" s="3503"/>
      <c r="T6" s="3504"/>
      <c r="U6" s="3505"/>
      <c r="V6" s="3506"/>
      <c r="W6" s="3506"/>
      <c r="X6" s="1490"/>
      <c r="Y6" s="3504"/>
      <c r="Z6" s="3505"/>
      <c r="AA6" s="3489"/>
      <c r="AB6" s="3489"/>
      <c r="AC6" s="3489"/>
    </row>
    <row r="7" spans="1:29" s="113" customFormat="1" ht="15.75" thickBot="1">
      <c r="A7" s="368" t="s">
        <v>2128</v>
      </c>
      <c r="B7" s="369"/>
      <c r="C7" s="370">
        <f>'数据-取费表'!B2</f>
        <v>44769</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511" t="s">
        <v>2129</v>
      </c>
      <c r="Q7" s="3513"/>
      <c r="R7" s="710" t="s">
        <v>23</v>
      </c>
      <c r="S7" s="711">
        <f t="shared" ref="S7:S15" si="0">F7</f>
        <v>0</v>
      </c>
      <c r="T7" s="710" t="s">
        <v>23</v>
      </c>
      <c r="U7" s="711">
        <f t="shared" ref="U7:U15" si="1">H7</f>
        <v>0</v>
      </c>
      <c r="V7" s="710" t="s">
        <v>23</v>
      </c>
      <c r="W7" s="711">
        <f t="shared" ref="W7:W15" si="2">J7</f>
        <v>0</v>
      </c>
      <c r="X7" s="712"/>
      <c r="Y7" s="3511" t="s">
        <v>2129</v>
      </c>
      <c r="Z7" s="3512"/>
      <c r="AA7" s="713" t="e">
        <f>D7/F7</f>
        <v>#DIV/0!</v>
      </c>
      <c r="AB7" s="713" t="e">
        <f>D7/H7</f>
        <v>#DIV/0!</v>
      </c>
      <c r="AC7" s="713"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511" t="s">
        <v>2132</v>
      </c>
      <c r="Q8" s="3512"/>
      <c r="R8" s="710" t="s">
        <v>23</v>
      </c>
      <c r="S8" s="711">
        <f t="shared" si="0"/>
        <v>0</v>
      </c>
      <c r="T8" s="710" t="s">
        <v>23</v>
      </c>
      <c r="U8" s="711">
        <f t="shared" si="1"/>
        <v>0</v>
      </c>
      <c r="V8" s="710" t="s">
        <v>23</v>
      </c>
      <c r="W8" s="711">
        <f t="shared" si="2"/>
        <v>0</v>
      </c>
      <c r="X8" s="712"/>
      <c r="Y8" s="3511" t="s">
        <v>2132</v>
      </c>
      <c r="Z8" s="3512"/>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86" t="s">
        <v>2135</v>
      </c>
      <c r="Q9" s="1478" t="str">
        <f t="shared" ref="Q9:Q15" si="6">B9</f>
        <v>用途</v>
      </c>
      <c r="R9" s="710" t="s">
        <v>17</v>
      </c>
      <c r="S9" s="711">
        <f t="shared" si="0"/>
        <v>100</v>
      </c>
      <c r="T9" s="710" t="s">
        <v>17</v>
      </c>
      <c r="U9" s="711">
        <f t="shared" si="1"/>
        <v>100</v>
      </c>
      <c r="V9" s="710" t="s">
        <v>17</v>
      </c>
      <c r="W9" s="711">
        <f t="shared" si="2"/>
        <v>100</v>
      </c>
      <c r="X9" s="712"/>
      <c r="Y9" s="334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86"/>
      <c r="Q10" s="1478" t="str">
        <f t="shared" si="6"/>
        <v>土地使用年限（年）</v>
      </c>
      <c r="R10" s="710" t="s">
        <v>17</v>
      </c>
      <c r="S10" s="711">
        <f t="shared" si="0"/>
        <v>100</v>
      </c>
      <c r="T10" s="710" t="s">
        <v>17</v>
      </c>
      <c r="U10" s="711">
        <f t="shared" si="1"/>
        <v>100</v>
      </c>
      <c r="V10" s="710" t="s">
        <v>17</v>
      </c>
      <c r="W10" s="711">
        <f t="shared" si="2"/>
        <v>100</v>
      </c>
      <c r="X10" s="712"/>
      <c r="Y10" s="334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86"/>
      <c r="Q11" s="1478" t="str">
        <f t="shared" si="6"/>
        <v>容积率</v>
      </c>
      <c r="R11" s="710" t="s">
        <v>21</v>
      </c>
      <c r="S11" s="711" t="e">
        <f t="shared" si="0"/>
        <v>#N/A</v>
      </c>
      <c r="T11" s="710" t="s">
        <v>21</v>
      </c>
      <c r="U11" s="711" t="e">
        <f t="shared" si="1"/>
        <v>#N/A</v>
      </c>
      <c r="V11" s="710" t="s">
        <v>21</v>
      </c>
      <c r="W11" s="711" t="e">
        <f t="shared" si="2"/>
        <v>#N/A</v>
      </c>
      <c r="X11" s="712"/>
      <c r="Y11" s="3347"/>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86"/>
      <c r="Q12" s="1478">
        <f t="shared" si="6"/>
        <v>111</v>
      </c>
      <c r="R12" s="710" t="s">
        <v>21</v>
      </c>
      <c r="S12" s="711">
        <f t="shared" si="0"/>
        <v>100</v>
      </c>
      <c r="T12" s="710" t="s">
        <v>21</v>
      </c>
      <c r="U12" s="711">
        <f t="shared" si="1"/>
        <v>100</v>
      </c>
      <c r="V12" s="710" t="s">
        <v>21</v>
      </c>
      <c r="W12" s="711">
        <f t="shared" si="2"/>
        <v>100</v>
      </c>
      <c r="X12" s="712"/>
      <c r="Y12" s="3347"/>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86"/>
      <c r="Q13" s="1478">
        <f t="shared" si="6"/>
        <v>111</v>
      </c>
      <c r="R13" s="710" t="s">
        <v>21</v>
      </c>
      <c r="S13" s="711">
        <f t="shared" si="0"/>
        <v>100</v>
      </c>
      <c r="T13" s="710" t="s">
        <v>21</v>
      </c>
      <c r="U13" s="711">
        <f t="shared" si="1"/>
        <v>100</v>
      </c>
      <c r="V13" s="710" t="s">
        <v>21</v>
      </c>
      <c r="W13" s="711">
        <f t="shared" si="2"/>
        <v>100</v>
      </c>
      <c r="X13" s="712"/>
      <c r="Y13" s="3347"/>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86"/>
      <c r="Q14" s="1478">
        <f t="shared" si="6"/>
        <v>111</v>
      </c>
      <c r="R14" s="710" t="s">
        <v>21</v>
      </c>
      <c r="S14" s="711">
        <f t="shared" si="0"/>
        <v>100</v>
      </c>
      <c r="T14" s="710" t="s">
        <v>21</v>
      </c>
      <c r="U14" s="711">
        <f t="shared" si="1"/>
        <v>100</v>
      </c>
      <c r="V14" s="710" t="s">
        <v>21</v>
      </c>
      <c r="W14" s="711">
        <f t="shared" si="2"/>
        <v>100</v>
      </c>
      <c r="X14" s="712"/>
      <c r="Y14" s="3347"/>
      <c r="Z14" s="55">
        <f t="shared" si="7"/>
        <v>111</v>
      </c>
      <c r="AA14" s="713">
        <f t="shared" si="3"/>
        <v>1</v>
      </c>
      <c r="AB14" s="713">
        <f t="shared" si="4"/>
        <v>1</v>
      </c>
      <c r="AC14" s="713">
        <f t="shared" si="5"/>
        <v>1</v>
      </c>
    </row>
    <row r="15" spans="1:29" ht="99.7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84" t="s">
        <v>2140</v>
      </c>
      <c r="Q15" s="1487" t="str">
        <f t="shared" si="6"/>
        <v>居住社区成熟度</v>
      </c>
      <c r="R15" s="714" t="s">
        <v>21</v>
      </c>
      <c r="S15" s="715">
        <f t="shared" si="0"/>
        <v>100</v>
      </c>
      <c r="T15" s="714" t="s">
        <v>21</v>
      </c>
      <c r="U15" s="715">
        <f t="shared" si="1"/>
        <v>100</v>
      </c>
      <c r="V15" s="714" t="s">
        <v>21</v>
      </c>
      <c r="W15" s="715">
        <f t="shared" si="2"/>
        <v>100</v>
      </c>
      <c r="X15" s="1490"/>
      <c r="Y15" s="3477" t="s">
        <v>2140</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900"/>
      <c r="M16" s="2894"/>
      <c r="N16" s="2894"/>
      <c r="O16" s="2894"/>
      <c r="P16" s="3485"/>
      <c r="Q16" s="1487"/>
      <c r="R16" s="714"/>
      <c r="S16" s="715"/>
      <c r="T16" s="714"/>
      <c r="U16" s="715"/>
      <c r="V16" s="714"/>
      <c r="W16" s="715"/>
      <c r="X16" s="1490"/>
      <c r="Y16" s="3478"/>
      <c r="Z16" s="1491"/>
      <c r="AA16" s="1488">
        <v>1</v>
      </c>
      <c r="AB16" s="1488">
        <v>1</v>
      </c>
      <c r="AC16" s="1488">
        <v>1</v>
      </c>
    </row>
    <row r="17" spans="1:29" ht="85.5">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85"/>
      <c r="Q17" s="1487" t="str">
        <f>B17</f>
        <v>交通便捷度</v>
      </c>
      <c r="R17" s="714" t="s">
        <v>21</v>
      </c>
      <c r="S17" s="715">
        <f>F17</f>
        <v>100</v>
      </c>
      <c r="T17" s="714" t="s">
        <v>21</v>
      </c>
      <c r="U17" s="715">
        <f>H17</f>
        <v>100</v>
      </c>
      <c r="V17" s="714" t="s">
        <v>21</v>
      </c>
      <c r="W17" s="715">
        <f>J17</f>
        <v>100</v>
      </c>
      <c r="X17" s="1490"/>
      <c r="Y17" s="3478"/>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900"/>
      <c r="M18" s="2894"/>
      <c r="N18" s="2894"/>
      <c r="O18" s="2894"/>
      <c r="P18" s="3485"/>
      <c r="Q18" s="1487"/>
      <c r="R18" s="714"/>
      <c r="S18" s="715"/>
      <c r="T18" s="714"/>
      <c r="U18" s="715"/>
      <c r="V18" s="714"/>
      <c r="W18" s="715"/>
      <c r="X18" s="1490"/>
      <c r="Y18" s="3478"/>
      <c r="Z18" s="1491"/>
      <c r="AA18" s="1488">
        <v>1</v>
      </c>
      <c r="AB18" s="1488">
        <v>1</v>
      </c>
      <c r="AC18" s="1488">
        <v>1</v>
      </c>
    </row>
    <row r="19" spans="1:29" ht="42.7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85"/>
      <c r="Q19" s="1487" t="str">
        <f>B19</f>
        <v>公共配套设施</v>
      </c>
      <c r="R19" s="714" t="s">
        <v>21</v>
      </c>
      <c r="S19" s="715">
        <f>F19</f>
        <v>100</v>
      </c>
      <c r="T19" s="714" t="s">
        <v>21</v>
      </c>
      <c r="U19" s="715">
        <f>H19</f>
        <v>100</v>
      </c>
      <c r="V19" s="714" t="s">
        <v>21</v>
      </c>
      <c r="W19" s="715">
        <f>J19</f>
        <v>100</v>
      </c>
      <c r="X19" s="1490"/>
      <c r="Y19" s="3478"/>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900"/>
      <c r="M20" s="2894"/>
      <c r="N20" s="2894"/>
      <c r="O20" s="2894"/>
      <c r="P20" s="3485"/>
      <c r="Q20" s="1487"/>
      <c r="R20" s="714"/>
      <c r="S20" s="715"/>
      <c r="T20" s="714"/>
      <c r="U20" s="715"/>
      <c r="V20" s="714"/>
      <c r="W20" s="715"/>
      <c r="X20" s="1490"/>
      <c r="Y20" s="3478"/>
      <c r="Z20" s="1491"/>
      <c r="AA20" s="1488">
        <v>1</v>
      </c>
      <c r="AB20" s="1488">
        <v>1</v>
      </c>
      <c r="AC20" s="1488">
        <v>1</v>
      </c>
    </row>
    <row r="21" spans="1:29" ht="28.5">
      <c r="A21" s="387"/>
      <c r="B21" s="1246"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85"/>
      <c r="Q21" s="1487" t="str">
        <f>B21</f>
        <v>基础设施水平</v>
      </c>
      <c r="R21" s="714" t="s">
        <v>17</v>
      </c>
      <c r="S21" s="715">
        <f>F21</f>
        <v>100</v>
      </c>
      <c r="T21" s="714" t="s">
        <v>17</v>
      </c>
      <c r="U21" s="715">
        <f>H21</f>
        <v>100</v>
      </c>
      <c r="V21" s="714" t="s">
        <v>17</v>
      </c>
      <c r="W21" s="715">
        <f>J21</f>
        <v>100</v>
      </c>
      <c r="X21" s="1490"/>
      <c r="Y21" s="3478"/>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900"/>
      <c r="M22" s="2894"/>
      <c r="N22" s="2894"/>
      <c r="O22" s="2894"/>
      <c r="P22" s="3485"/>
      <c r="Q22" s="1487"/>
      <c r="R22" s="714"/>
      <c r="S22" s="715"/>
      <c r="T22" s="714"/>
      <c r="U22" s="715"/>
      <c r="V22" s="714"/>
      <c r="W22" s="715"/>
      <c r="X22" s="1490"/>
      <c r="Y22" s="3478"/>
      <c r="Z22" s="1491"/>
      <c r="AA22" s="1488">
        <v>1</v>
      </c>
      <c r="AB22" s="1488">
        <v>1</v>
      </c>
      <c r="AC22" s="1488">
        <v>1</v>
      </c>
    </row>
    <row r="23" spans="1:29" ht="57">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85"/>
      <c r="Q23" s="1487" t="str">
        <f>B23</f>
        <v>自然及人文环境</v>
      </c>
      <c r="R23" s="714" t="s">
        <v>21</v>
      </c>
      <c r="S23" s="715">
        <f>F23</f>
        <v>100</v>
      </c>
      <c r="T23" s="714" t="s">
        <v>21</v>
      </c>
      <c r="U23" s="715">
        <f>H23</f>
        <v>100</v>
      </c>
      <c r="V23" s="714" t="s">
        <v>21</v>
      </c>
      <c r="W23" s="715">
        <f>J23</f>
        <v>100</v>
      </c>
      <c r="X23" s="1490"/>
      <c r="Y23" s="3478"/>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900"/>
      <c r="M24" s="2894"/>
      <c r="N24" s="2894"/>
      <c r="O24" s="2894"/>
      <c r="P24" s="3485"/>
      <c r="Q24" s="1487"/>
      <c r="R24" s="714"/>
      <c r="S24" s="715"/>
      <c r="T24" s="714"/>
      <c r="U24" s="715"/>
      <c r="V24" s="714"/>
      <c r="W24" s="715"/>
      <c r="X24" s="1490"/>
      <c r="Y24" s="3478"/>
      <c r="Z24" s="1491"/>
      <c r="AA24" s="1488">
        <v>1</v>
      </c>
      <c r="AB24" s="1488">
        <v>1</v>
      </c>
      <c r="AC24" s="1488">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485"/>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78"/>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485"/>
      <c r="Q26" s="1487" t="str">
        <f t="shared" si="11"/>
        <v>朝向</v>
      </c>
      <c r="R26" s="714" t="s">
        <v>21</v>
      </c>
      <c r="S26" s="715">
        <f t="shared" si="12"/>
        <v>100</v>
      </c>
      <c r="T26" s="714" t="s">
        <v>21</v>
      </c>
      <c r="U26" s="715">
        <f t="shared" si="13"/>
        <v>100</v>
      </c>
      <c r="V26" s="714" t="s">
        <v>21</v>
      </c>
      <c r="W26" s="715">
        <f t="shared" si="14"/>
        <v>100</v>
      </c>
      <c r="X26" s="1490"/>
      <c r="Y26" s="3478"/>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485"/>
      <c r="Q27" s="1478">
        <f t="shared" si="11"/>
        <v>111</v>
      </c>
      <c r="R27" s="710" t="s">
        <v>21</v>
      </c>
      <c r="S27" s="711">
        <f t="shared" si="12"/>
        <v>100</v>
      </c>
      <c r="T27" s="710" t="s">
        <v>21</v>
      </c>
      <c r="U27" s="711">
        <f t="shared" si="13"/>
        <v>100</v>
      </c>
      <c r="V27" s="710" t="s">
        <v>21</v>
      </c>
      <c r="W27" s="711">
        <f t="shared" si="14"/>
        <v>100</v>
      </c>
      <c r="X27" s="712"/>
      <c r="Y27" s="3478"/>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485"/>
      <c r="Q28" s="1487">
        <f t="shared" si="11"/>
        <v>111</v>
      </c>
      <c r="R28" s="714" t="s">
        <v>21</v>
      </c>
      <c r="S28" s="715">
        <f t="shared" si="12"/>
        <v>100</v>
      </c>
      <c r="T28" s="714" t="s">
        <v>21</v>
      </c>
      <c r="U28" s="715">
        <f t="shared" si="13"/>
        <v>100</v>
      </c>
      <c r="V28" s="714" t="s">
        <v>21</v>
      </c>
      <c r="W28" s="715">
        <f t="shared" si="14"/>
        <v>100</v>
      </c>
      <c r="X28" s="1490"/>
      <c r="Y28" s="3478"/>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485"/>
      <c r="Q29" s="1487">
        <f t="shared" si="11"/>
        <v>111</v>
      </c>
      <c r="R29" s="714" t="s">
        <v>21</v>
      </c>
      <c r="S29" s="715">
        <f t="shared" si="12"/>
        <v>100</v>
      </c>
      <c r="T29" s="714" t="s">
        <v>21</v>
      </c>
      <c r="U29" s="715">
        <f t="shared" si="13"/>
        <v>100</v>
      </c>
      <c r="V29" s="714" t="s">
        <v>21</v>
      </c>
      <c r="W29" s="715">
        <f t="shared" si="14"/>
        <v>100</v>
      </c>
      <c r="X29" s="1490"/>
      <c r="Y29" s="3478"/>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485"/>
      <c r="Q30" s="1487">
        <f t="shared" si="11"/>
        <v>111</v>
      </c>
      <c r="R30" s="714" t="s">
        <v>21</v>
      </c>
      <c r="S30" s="715">
        <f t="shared" si="12"/>
        <v>100</v>
      </c>
      <c r="T30" s="714" t="s">
        <v>21</v>
      </c>
      <c r="U30" s="715">
        <f t="shared" si="13"/>
        <v>100</v>
      </c>
      <c r="V30" s="714" t="s">
        <v>21</v>
      </c>
      <c r="W30" s="715">
        <f t="shared" si="14"/>
        <v>100</v>
      </c>
      <c r="X30" s="1490"/>
      <c r="Y30" s="3478"/>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485"/>
      <c r="Q31" s="1487">
        <f t="shared" si="11"/>
        <v>111</v>
      </c>
      <c r="R31" s="714" t="s">
        <v>21</v>
      </c>
      <c r="S31" s="715">
        <f t="shared" si="12"/>
        <v>100</v>
      </c>
      <c r="T31" s="714" t="s">
        <v>21</v>
      </c>
      <c r="U31" s="715">
        <f t="shared" si="13"/>
        <v>100</v>
      </c>
      <c r="V31" s="714" t="s">
        <v>21</v>
      </c>
      <c r="W31" s="715">
        <f t="shared" si="14"/>
        <v>100</v>
      </c>
      <c r="X31" s="1490"/>
      <c r="Y31" s="3478"/>
      <c r="Z31" s="1491">
        <f t="shared" si="18"/>
        <v>111</v>
      </c>
      <c r="AA31" s="1488">
        <f t="shared" si="15"/>
        <v>1</v>
      </c>
      <c r="AB31" s="1488">
        <f t="shared" si="16"/>
        <v>1</v>
      </c>
      <c r="AC31" s="1488">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479" t="s">
        <v>2145</v>
      </c>
      <c r="Q32" s="1487" t="str">
        <f t="shared" si="11"/>
        <v>建筑类型</v>
      </c>
      <c r="R32" s="714" t="s">
        <v>21</v>
      </c>
      <c r="S32" s="715">
        <f t="shared" si="12"/>
        <v>100</v>
      </c>
      <c r="T32" s="714" t="s">
        <v>21</v>
      </c>
      <c r="U32" s="715">
        <f t="shared" si="13"/>
        <v>100</v>
      </c>
      <c r="V32" s="714" t="s">
        <v>21</v>
      </c>
      <c r="W32" s="715">
        <f t="shared" si="14"/>
        <v>100</v>
      </c>
      <c r="X32" s="1490"/>
      <c r="Y32" s="3482"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480"/>
      <c r="Q33" s="716" t="str">
        <f t="shared" si="11"/>
        <v>项目建筑规模</v>
      </c>
      <c r="R33" s="717" t="s">
        <v>21</v>
      </c>
      <c r="S33" s="718" t="e">
        <f t="shared" si="12"/>
        <v>#N/A</v>
      </c>
      <c r="T33" s="717" t="s">
        <v>21</v>
      </c>
      <c r="U33" s="718" t="e">
        <f t="shared" si="13"/>
        <v>#N/A</v>
      </c>
      <c r="V33" s="717" t="s">
        <v>21</v>
      </c>
      <c r="W33" s="718" t="e">
        <f t="shared" si="14"/>
        <v>#N/A</v>
      </c>
      <c r="X33" s="719"/>
      <c r="Y33" s="3482"/>
      <c r="Z33" s="720" t="str">
        <f t="shared" si="18"/>
        <v>项目建筑规模</v>
      </c>
      <c r="AA33" s="1488" t="e">
        <f t="shared" si="15"/>
        <v>#N/A</v>
      </c>
      <c r="AB33" s="1488" t="e">
        <f t="shared" si="16"/>
        <v>#N/A</v>
      </c>
      <c r="AC33" s="1488"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480"/>
      <c r="Q34" s="1487" t="str">
        <f t="shared" si="11"/>
        <v>建筑结构</v>
      </c>
      <c r="R34" s="714" t="s">
        <v>21</v>
      </c>
      <c r="S34" s="715">
        <f t="shared" si="12"/>
        <v>100</v>
      </c>
      <c r="T34" s="714" t="s">
        <v>21</v>
      </c>
      <c r="U34" s="715">
        <f t="shared" si="13"/>
        <v>100</v>
      </c>
      <c r="V34" s="714" t="s">
        <v>21</v>
      </c>
      <c r="W34" s="715">
        <f t="shared" si="14"/>
        <v>100</v>
      </c>
      <c r="X34" s="1490"/>
      <c r="Y34" s="3482"/>
      <c r="Z34" s="1491" t="str">
        <f t="shared" si="18"/>
        <v>建筑结构</v>
      </c>
      <c r="AA34" s="1488">
        <f t="shared" si="15"/>
        <v>1</v>
      </c>
      <c r="AB34" s="1488">
        <f t="shared" si="16"/>
        <v>1</v>
      </c>
      <c r="AC34" s="1488">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480"/>
      <c r="Q35" s="1487" t="str">
        <f t="shared" si="11"/>
        <v>建筑品质</v>
      </c>
      <c r="R35" s="714" t="s">
        <v>21</v>
      </c>
      <c r="S35" s="715">
        <f t="shared" si="12"/>
        <v>100</v>
      </c>
      <c r="T35" s="714" t="s">
        <v>21</v>
      </c>
      <c r="U35" s="715">
        <f t="shared" si="13"/>
        <v>100</v>
      </c>
      <c r="V35" s="714" t="s">
        <v>21</v>
      </c>
      <c r="W35" s="715">
        <f t="shared" si="14"/>
        <v>100</v>
      </c>
      <c r="X35" s="1490"/>
      <c r="Y35" s="3482"/>
      <c r="Z35" s="1491" t="str">
        <f t="shared" si="18"/>
        <v>建筑品质</v>
      </c>
      <c r="AA35" s="1488">
        <f t="shared" si="15"/>
        <v>1</v>
      </c>
      <c r="AB35" s="1488">
        <f t="shared" si="16"/>
        <v>1</v>
      </c>
      <c r="AC35" s="1488">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480"/>
      <c r="Q36" s="1487" t="str">
        <f t="shared" si="11"/>
        <v>公共部分装修</v>
      </c>
      <c r="R36" s="714" t="s">
        <v>21</v>
      </c>
      <c r="S36" s="715">
        <f t="shared" si="12"/>
        <v>100</v>
      </c>
      <c r="T36" s="714" t="s">
        <v>21</v>
      </c>
      <c r="U36" s="715">
        <f t="shared" si="13"/>
        <v>100</v>
      </c>
      <c r="V36" s="714" t="s">
        <v>21</v>
      </c>
      <c r="W36" s="715">
        <f t="shared" si="14"/>
        <v>100</v>
      </c>
      <c r="X36" s="1490"/>
      <c r="Y36" s="3482"/>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80"/>
      <c r="Q37" s="1478" t="str">
        <f t="shared" si="11"/>
        <v>成新度</v>
      </c>
      <c r="R37" s="710" t="s">
        <v>21</v>
      </c>
      <c r="S37" s="711" t="e">
        <f t="shared" si="12"/>
        <v>#N/A</v>
      </c>
      <c r="T37" s="710" t="s">
        <v>21</v>
      </c>
      <c r="U37" s="711" t="e">
        <f t="shared" si="13"/>
        <v>#N/A</v>
      </c>
      <c r="V37" s="710" t="s">
        <v>21</v>
      </c>
      <c r="W37" s="711" t="e">
        <f t="shared" si="14"/>
        <v>#N/A</v>
      </c>
      <c r="X37" s="712"/>
      <c r="Y37" s="3482"/>
      <c r="Z37" s="55" t="str">
        <f t="shared" si="18"/>
        <v>成新度</v>
      </c>
      <c r="AA37" s="713" t="e">
        <f t="shared" si="15"/>
        <v>#N/A</v>
      </c>
      <c r="AB37" s="713" t="e">
        <f t="shared" si="16"/>
        <v>#N/A</v>
      </c>
      <c r="AC37" s="713"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480" t="s">
        <v>2145</v>
      </c>
      <c r="Q38" s="1487" t="str">
        <f t="shared" si="11"/>
        <v>物业管理</v>
      </c>
      <c r="R38" s="714" t="s">
        <v>21</v>
      </c>
      <c r="S38" s="715">
        <f t="shared" si="12"/>
        <v>100</v>
      </c>
      <c r="T38" s="714" t="s">
        <v>21</v>
      </c>
      <c r="U38" s="715">
        <f t="shared" si="13"/>
        <v>100</v>
      </c>
      <c r="V38" s="714" t="s">
        <v>21</v>
      </c>
      <c r="W38" s="715">
        <f t="shared" si="14"/>
        <v>100</v>
      </c>
      <c r="X38" s="1490"/>
      <c r="Y38" s="3482" t="s">
        <v>2145</v>
      </c>
      <c r="Z38" s="1491" t="str">
        <f t="shared" si="18"/>
        <v>物业管理</v>
      </c>
      <c r="AA38" s="1488">
        <f t="shared" si="15"/>
        <v>1</v>
      </c>
      <c r="AB38" s="1488">
        <f t="shared" si="16"/>
        <v>1</v>
      </c>
      <c r="AC38" s="1488">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480"/>
      <c r="Q39" s="1487" t="str">
        <f t="shared" si="11"/>
        <v>市政基础设施</v>
      </c>
      <c r="R39" s="714" t="s">
        <v>21</v>
      </c>
      <c r="S39" s="715">
        <f t="shared" si="12"/>
        <v>100</v>
      </c>
      <c r="T39" s="714" t="s">
        <v>21</v>
      </c>
      <c r="U39" s="715">
        <f t="shared" si="13"/>
        <v>100</v>
      </c>
      <c r="V39" s="714" t="s">
        <v>21</v>
      </c>
      <c r="W39" s="715">
        <f t="shared" si="14"/>
        <v>100</v>
      </c>
      <c r="X39" s="1490"/>
      <c r="Y39" s="3482"/>
      <c r="Z39" s="1491" t="str">
        <f t="shared" si="18"/>
        <v>市政基础设施</v>
      </c>
      <c r="AA39" s="1488">
        <f t="shared" si="15"/>
        <v>1</v>
      </c>
      <c r="AB39" s="1488">
        <f t="shared" si="16"/>
        <v>1</v>
      </c>
      <c r="AC39" s="1488">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480"/>
      <c r="Q40" s="1487" t="str">
        <f t="shared" si="11"/>
        <v>房型</v>
      </c>
      <c r="R40" s="714" t="s">
        <v>21</v>
      </c>
      <c r="S40" s="715">
        <f t="shared" si="12"/>
        <v>100</v>
      </c>
      <c r="T40" s="714" t="s">
        <v>21</v>
      </c>
      <c r="U40" s="715">
        <f t="shared" si="13"/>
        <v>100</v>
      </c>
      <c r="V40" s="714" t="s">
        <v>21</v>
      </c>
      <c r="W40" s="715">
        <f t="shared" si="14"/>
        <v>100</v>
      </c>
      <c r="X40" s="1490"/>
      <c r="Y40" s="3482"/>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480"/>
      <c r="Q41" s="716" t="str">
        <f t="shared" si="11"/>
        <v>单套/主力户型建筑面积</v>
      </c>
      <c r="R41" s="717" t="s">
        <v>21</v>
      </c>
      <c r="S41" s="718">
        <f t="shared" si="12"/>
        <v>100</v>
      </c>
      <c r="T41" s="717" t="s">
        <v>21</v>
      </c>
      <c r="U41" s="718">
        <f t="shared" si="13"/>
        <v>100</v>
      </c>
      <c r="V41" s="717" t="s">
        <v>21</v>
      </c>
      <c r="W41" s="718">
        <f t="shared" si="14"/>
        <v>100</v>
      </c>
      <c r="X41" s="719"/>
      <c r="Y41" s="3482"/>
      <c r="Z41" s="720" t="str">
        <f t="shared" si="18"/>
        <v>单套/主力户型建筑面积</v>
      </c>
      <c r="AA41" s="1488">
        <f t="shared" si="15"/>
        <v>1</v>
      </c>
      <c r="AB41" s="1488">
        <f t="shared" si="16"/>
        <v>1</v>
      </c>
      <c r="AC41" s="1488">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480"/>
      <c r="Q42" s="1487" t="str">
        <f t="shared" si="11"/>
        <v>内部装修</v>
      </c>
      <c r="R42" s="714" t="s">
        <v>21</v>
      </c>
      <c r="S42" s="715">
        <f t="shared" si="12"/>
        <v>100</v>
      </c>
      <c r="T42" s="714" t="s">
        <v>21</v>
      </c>
      <c r="U42" s="715">
        <f t="shared" si="13"/>
        <v>100</v>
      </c>
      <c r="V42" s="714" t="s">
        <v>21</v>
      </c>
      <c r="W42" s="715">
        <f t="shared" si="14"/>
        <v>100</v>
      </c>
      <c r="X42" s="1490"/>
      <c r="Y42" s="3482"/>
      <c r="Z42" s="1491" t="str">
        <f t="shared" si="18"/>
        <v>内部装修</v>
      </c>
      <c r="AA42" s="1488">
        <f t="shared" si="15"/>
        <v>1</v>
      </c>
      <c r="AB42" s="1488">
        <f t="shared" si="16"/>
        <v>1</v>
      </c>
      <c r="AC42" s="1488">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480"/>
      <c r="Q43" s="1487" t="str">
        <f t="shared" si="11"/>
        <v>内部装修维护情况</v>
      </c>
      <c r="R43" s="714" t="s">
        <v>21</v>
      </c>
      <c r="S43" s="715">
        <f t="shared" si="12"/>
        <v>100</v>
      </c>
      <c r="T43" s="714" t="s">
        <v>21</v>
      </c>
      <c r="U43" s="715">
        <f t="shared" si="13"/>
        <v>100</v>
      </c>
      <c r="V43" s="714" t="s">
        <v>21</v>
      </c>
      <c r="W43" s="715">
        <f t="shared" si="14"/>
        <v>100</v>
      </c>
      <c r="X43" s="1490"/>
      <c r="Y43" s="3482"/>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480"/>
      <c r="Q44" s="1478">
        <f t="shared" si="11"/>
        <v>111</v>
      </c>
      <c r="R44" s="710" t="s">
        <v>21</v>
      </c>
      <c r="S44" s="711">
        <f t="shared" si="12"/>
        <v>100</v>
      </c>
      <c r="T44" s="710" t="s">
        <v>21</v>
      </c>
      <c r="U44" s="711">
        <f t="shared" si="13"/>
        <v>100</v>
      </c>
      <c r="V44" s="710" t="s">
        <v>21</v>
      </c>
      <c r="W44" s="711">
        <f t="shared" si="14"/>
        <v>100</v>
      </c>
      <c r="X44" s="712"/>
      <c r="Y44" s="3482"/>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480"/>
      <c r="Q45" s="1487">
        <f t="shared" si="11"/>
        <v>111</v>
      </c>
      <c r="R45" s="714" t="s">
        <v>21</v>
      </c>
      <c r="S45" s="715">
        <f t="shared" si="12"/>
        <v>100</v>
      </c>
      <c r="T45" s="714" t="s">
        <v>21</v>
      </c>
      <c r="U45" s="715">
        <f t="shared" si="13"/>
        <v>100</v>
      </c>
      <c r="V45" s="714" t="s">
        <v>21</v>
      </c>
      <c r="W45" s="715">
        <f t="shared" si="14"/>
        <v>100</v>
      </c>
      <c r="X45" s="1490"/>
      <c r="Y45" s="3482"/>
      <c r="Z45" s="1491">
        <f t="shared" si="18"/>
        <v>111</v>
      </c>
      <c r="AA45" s="1488">
        <f t="shared" si="15"/>
        <v>1</v>
      </c>
      <c r="AB45" s="1488">
        <f t="shared" si="16"/>
        <v>1</v>
      </c>
      <c r="AC45" s="1488">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481"/>
      <c r="Q46" s="1487">
        <f t="shared" si="11"/>
        <v>111</v>
      </c>
      <c r="R46" s="714" t="s">
        <v>20</v>
      </c>
      <c r="S46" s="715">
        <f t="shared" si="12"/>
        <v>100</v>
      </c>
      <c r="T46" s="714" t="s">
        <v>20</v>
      </c>
      <c r="U46" s="715">
        <f t="shared" si="13"/>
        <v>100</v>
      </c>
      <c r="V46" s="714" t="s">
        <v>20</v>
      </c>
      <c r="W46" s="715">
        <f t="shared" si="14"/>
        <v>100</v>
      </c>
      <c r="X46" s="1490"/>
      <c r="Y46" s="3483"/>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0"/>
      <c r="L47" s="2902"/>
      <c r="M47" s="2903"/>
      <c r="N47" s="2894"/>
      <c r="O47" s="2903"/>
      <c r="P47" s="3475" t="str">
        <f>A47</f>
        <v>成交单价（元/平方米）</v>
      </c>
      <c r="Q47" s="3475"/>
      <c r="R47" s="3476">
        <f>E47</f>
        <v>0</v>
      </c>
      <c r="S47" s="3476"/>
      <c r="T47" s="3476">
        <f>G47</f>
        <v>0</v>
      </c>
      <c r="U47" s="3476"/>
      <c r="V47" s="3476">
        <f>I47</f>
        <v>0</v>
      </c>
      <c r="W47" s="3476"/>
      <c r="X47" s="699"/>
      <c r="Y47" s="721"/>
      <c r="Z47" s="699"/>
      <c r="AA47" s="699"/>
      <c r="AB47" s="699"/>
      <c r="AC47" s="699"/>
    </row>
    <row r="48" spans="1:29" ht="15.75" thickBot="1">
      <c r="A48" s="445" t="s">
        <v>2158</v>
      </c>
      <c r="B48" s="446"/>
      <c r="C48" s="1275" t="e">
        <f>R49</f>
        <v>#DIV/0!</v>
      </c>
      <c r="D48" s="2488" t="s">
        <v>2638</v>
      </c>
      <c r="E48" s="1276" t="e">
        <f>R48</f>
        <v>#DIV/0!</v>
      </c>
      <c r="F48" s="2489"/>
      <c r="G48" s="1275" t="e">
        <f>T48</f>
        <v>#DIV/0!</v>
      </c>
      <c r="H48" s="2489"/>
      <c r="I48" s="1276" t="e">
        <f>V48</f>
        <v>#DIV/0!</v>
      </c>
      <c r="J48" s="2489"/>
      <c r="K48" s="2490">
        <f>F48+H48+J48</f>
        <v>0</v>
      </c>
      <c r="L48" s="2902"/>
      <c r="M48" s="2903"/>
      <c r="N48" s="2903"/>
      <c r="O48" s="2903"/>
      <c r="P48" s="3475" t="str">
        <f>A48</f>
        <v>比较价值（元/平方米）</v>
      </c>
      <c r="Q48" s="347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1"/>
      <c r="L49" s="2902"/>
      <c r="M49" s="2903"/>
      <c r="N49" s="2903"/>
      <c r="O49" s="2903"/>
      <c r="P49" s="3472" t="str">
        <f>A49</f>
        <v>估价对象XX用房的比较价值（楼面单价，元/平方米）</v>
      </c>
      <c r="Q49" s="3473"/>
      <c r="R49" s="3474" t="e">
        <f>IF(F1="售价",ROUND(IF(D48="简单平均",AVERAGE(R48:V48),R48*F48+T48*H48+V48*J48),0),ROUND(IF(D48="简单平均",AVERAGE(R48:V48),R48*F48+T48*H48+V48*J48),1))</f>
        <v>#DIV/0!</v>
      </c>
      <c r="S49" s="3474"/>
      <c r="T49" s="3474"/>
      <c r="U49" s="3474"/>
      <c r="V49" s="3474"/>
      <c r="W49" s="3474"/>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4"/>
      <c r="Q57" s="461"/>
    </row>
    <row r="58" spans="1:29" s="465" customFormat="1" ht="15">
      <c r="A58" s="462" t="s">
        <v>2164</v>
      </c>
      <c r="B58" s="463"/>
      <c r="C58" s="1301" t="str">
        <f>YEAR(C7)&amp;"-"&amp;MONTH(C7)</f>
        <v>2022-7</v>
      </c>
      <c r="D58" s="1300">
        <f>EDATE(C58,-1)</f>
        <v>44713</v>
      </c>
      <c r="E58" s="1300">
        <f>EDATE(D58,-1)</f>
        <v>44682</v>
      </c>
      <c r="F58" s="1300">
        <f t="shared" ref="F58:O58" si="19">EDATE(E58,-1)</f>
        <v>44652</v>
      </c>
      <c r="G58" s="1300">
        <f t="shared" si="19"/>
        <v>44621</v>
      </c>
      <c r="H58" s="1300">
        <f t="shared" si="19"/>
        <v>44593</v>
      </c>
      <c r="I58" s="1300">
        <f t="shared" si="19"/>
        <v>44562</v>
      </c>
      <c r="J58" s="1300">
        <f t="shared" si="19"/>
        <v>44531</v>
      </c>
      <c r="K58" s="1300">
        <f t="shared" si="19"/>
        <v>44501</v>
      </c>
      <c r="L58" s="1300">
        <f t="shared" si="19"/>
        <v>44470</v>
      </c>
      <c r="M58" s="1300">
        <f t="shared" si="19"/>
        <v>44440</v>
      </c>
      <c r="N58" s="1300">
        <f t="shared" si="19"/>
        <v>44409</v>
      </c>
      <c r="O58" s="1300">
        <f t="shared" si="19"/>
        <v>44378</v>
      </c>
      <c r="P58" s="1296"/>
    </row>
    <row r="59" spans="1:29" s="113" customFormat="1" ht="15">
      <c r="A59" s="466"/>
      <c r="B59" s="2055"/>
      <c r="C59" s="1298">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2168</v>
      </c>
      <c r="B63" s="485" t="s">
        <v>2134</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2190</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2191</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2143</v>
      </c>
      <c r="B100" s="485" t="s">
        <v>2192</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2194</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2195</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2196</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2197</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2198</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2199</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2200</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9">
        <v>6</v>
      </c>
      <c r="C139" s="980">
        <v>96</v>
      </c>
      <c r="D139" s="2076" t="s">
        <v>2211</v>
      </c>
      <c r="E139" s="981">
        <v>100</v>
      </c>
      <c r="F139" s="982">
        <v>102.5</v>
      </c>
      <c r="G139" s="2076" t="s">
        <v>2211</v>
      </c>
      <c r="H139" s="983">
        <v>105</v>
      </c>
      <c r="I139" s="2077" t="s">
        <v>2212</v>
      </c>
      <c r="J139" s="980">
        <v>20</v>
      </c>
      <c r="K139" s="984">
        <f>C145/(J139-2)</f>
        <v>4.0555555555555553E-3</v>
      </c>
    </row>
    <row r="140" spans="1:17" ht="15">
      <c r="B140" s="985">
        <v>5</v>
      </c>
      <c r="C140" s="986">
        <v>100</v>
      </c>
      <c r="D140" s="986"/>
      <c r="E140" s="987"/>
      <c r="F140" s="988">
        <v>102</v>
      </c>
      <c r="G140" s="986"/>
      <c r="H140" s="989"/>
      <c r="I140" s="2078" t="s">
        <v>2213</v>
      </c>
      <c r="J140" s="277">
        <f>ROUNDUP((J139-1)/2,0)</f>
        <v>10</v>
      </c>
      <c r="K140" s="990">
        <v>100</v>
      </c>
    </row>
    <row r="141" spans="1:17" ht="15">
      <c r="B141" s="985">
        <v>4</v>
      </c>
      <c r="C141" s="986">
        <v>102</v>
      </c>
      <c r="D141" s="986"/>
      <c r="E141" s="987"/>
      <c r="F141" s="988">
        <v>101.5</v>
      </c>
      <c r="G141" s="986"/>
      <c r="H141" s="989"/>
      <c r="I141" s="2078" t="s">
        <v>2214</v>
      </c>
      <c r="J141" s="277">
        <v>1</v>
      </c>
      <c r="K141" s="991">
        <f>ROUND(100+(J141-J140)*K139*100,1)</f>
        <v>96.4</v>
      </c>
    </row>
    <row r="142" spans="1:17" ht="15">
      <c r="B142" s="985">
        <v>3</v>
      </c>
      <c r="C142" s="986">
        <v>103</v>
      </c>
      <c r="D142" s="986"/>
      <c r="E142" s="987"/>
      <c r="F142" s="988">
        <v>101</v>
      </c>
      <c r="G142" s="986"/>
      <c r="H142" s="989"/>
      <c r="I142" s="2078" t="s">
        <v>2215</v>
      </c>
      <c r="J142" s="277">
        <f>J139</f>
        <v>20</v>
      </c>
      <c r="K142" s="992">
        <v>95</v>
      </c>
    </row>
    <row r="143" spans="1:17" ht="15">
      <c r="B143" s="985">
        <v>2</v>
      </c>
      <c r="C143" s="986">
        <v>100</v>
      </c>
      <c r="D143" s="986"/>
      <c r="E143" s="987"/>
      <c r="F143" s="988">
        <v>100.5</v>
      </c>
      <c r="G143" s="986"/>
      <c r="H143" s="989"/>
      <c r="I143" s="2078" t="s">
        <v>2216</v>
      </c>
      <c r="J143" s="986">
        <v>15</v>
      </c>
      <c r="K143" s="991">
        <f>ROUND(100+(J143-J140)*K139*100,1)</f>
        <v>102</v>
      </c>
    </row>
    <row r="144" spans="1:17" ht="15">
      <c r="B144" s="985">
        <v>1</v>
      </c>
      <c r="C144" s="986">
        <v>98</v>
      </c>
      <c r="D144" s="2079" t="s">
        <v>2217</v>
      </c>
      <c r="E144" s="987">
        <v>102</v>
      </c>
      <c r="F144" s="993">
        <v>100</v>
      </c>
      <c r="G144" s="2079" t="s">
        <v>2217</v>
      </c>
      <c r="H144" s="989">
        <v>105</v>
      </c>
      <c r="I144" s="2078" t="s">
        <v>2216</v>
      </c>
      <c r="J144" s="986">
        <v>18</v>
      </c>
      <c r="K144" s="991">
        <f>ROUND(100+(J144-J140)*K139*100,1)</f>
        <v>103.2</v>
      </c>
    </row>
    <row r="145" spans="2:11" ht="15.75" thickBot="1">
      <c r="B145" s="2080" t="s">
        <v>2218</v>
      </c>
      <c r="C145" s="994">
        <f>ROUND(MAX(C139:C144)/MIN(C139:C144)-1,3)</f>
        <v>7.2999999999999995E-2</v>
      </c>
      <c r="D145" s="995"/>
      <c r="E145" s="995"/>
      <c r="F145" s="2081" t="s">
        <v>2219</v>
      </c>
      <c r="G145" s="2082"/>
      <c r="H145" s="2083"/>
      <c r="I145" s="2084" t="s">
        <v>2216</v>
      </c>
      <c r="J145" s="996">
        <v>8</v>
      </c>
      <c r="K145" s="997">
        <f>ROUND(100+(J145-J140)*K139*100,1)</f>
        <v>99.2</v>
      </c>
    </row>
    <row r="147" spans="2:11">
      <c r="B147" s="2065" t="s">
        <v>2220</v>
      </c>
    </row>
    <row r="148" spans="2:11">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18">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估价对象为北京市房地产，为所有。根据《国有土地使用证》[]，估价对象（分摊）出让国有建设用地使用权面积为0平方米，建筑面积为71609.74平方米。</v>
      </c>
    </row>
    <row r="8" spans="1:1" ht="57.75">
      <c r="A8" s="1619" t="s">
        <v>1338</v>
      </c>
    </row>
    <row r="9" spans="1:1" ht="18.75">
      <c r="A9" s="1618" t="s">
        <v>1339</v>
      </c>
    </row>
    <row r="10" spans="1:1" ht="18">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估价对象为北京市房地产,属开发建设的，该项目尚在开发建设中。根据《国有土地使用证》[]，估价对象（分摊）出让国有建设用地使用权面积为0平方米，规划建筑面积为71609.74平方米。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2022年7月27日</v>
      </c>
    </row>
    <row r="16" spans="1:1" ht="18.75">
      <c r="A16" s="1621" t="s">
        <v>1343</v>
      </c>
    </row>
    <row r="17" spans="1:1" ht="75">
      <c r="A17" s="1616" t="s">
        <v>1344</v>
      </c>
    </row>
    <row r="18" spans="1:1" ht="36">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本次评估采用的主估价方法为比较法和收益法。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G26" sqref="G26"/>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3" t="s">
        <v>1707</v>
      </c>
      <c r="B1" s="1883"/>
      <c r="C1" s="1884" t="s">
        <v>27</v>
      </c>
      <c r="D1" s="1883"/>
      <c r="E1" s="1883"/>
      <c r="F1" s="1885" t="s">
        <v>1708</v>
      </c>
      <c r="G1" s="1697"/>
      <c r="H1" s="1886" t="str">
        <f>IF(G1="现房","——","估价对象范围")</f>
        <v>估价对象范围</v>
      </c>
      <c r="I1" s="1887"/>
    </row>
    <row r="2" spans="1:12" ht="21.75" customHeight="1" thickBot="1">
      <c r="A2" s="3380" t="str">
        <f>项目基本情况!S2</f>
        <v>北京市房地产</v>
      </c>
      <c r="B2" s="3381"/>
      <c r="C2" s="3381"/>
      <c r="D2" s="3381"/>
      <c r="E2" s="3381"/>
      <c r="F2" s="3381"/>
      <c r="G2" s="3381"/>
      <c r="H2" s="3381"/>
      <c r="I2" s="3382"/>
    </row>
    <row r="3" spans="1:12" ht="12.75">
      <c r="A3" s="3384" t="s">
        <v>1709</v>
      </c>
      <c r="B3" s="3385"/>
      <c r="C3" s="3385"/>
      <c r="D3" s="3385"/>
      <c r="E3" s="3385"/>
      <c r="F3" s="3385"/>
      <c r="G3" s="3385"/>
      <c r="H3" s="3385"/>
      <c r="I3" s="3385"/>
    </row>
    <row r="4" spans="1:12" ht="14.25">
      <c r="A4" s="1890" t="s">
        <v>1710</v>
      </c>
      <c r="B4" s="1891" t="s">
        <v>1711</v>
      </c>
      <c r="C4" s="1892" t="s">
        <v>3235</v>
      </c>
      <c r="D4" s="1892" t="s">
        <v>3233</v>
      </c>
      <c r="E4" s="3386" t="s">
        <v>1712</v>
      </c>
      <c r="F4" s="3387"/>
      <c r="G4" s="3387"/>
      <c r="H4" s="3387"/>
      <c r="I4" s="3388"/>
      <c r="K4" s="151" t="str">
        <f>IF(ISNUMBER(FIND("比较法",'结果表(办公)'!C4)),"比较法",IF(ISNUMBER(FIND("成本法",'结果表(办公)'!C4)),"成本法",IF(ISNUMBER(FIND("假设开发法",'结果表(办公)'!C4)),"假设开发法",IF(ISNUMBER(FIND("收益法",'结果表(办公)'!C4)),"收益法","基准地价系数修正法"))))</f>
        <v>比较法</v>
      </c>
      <c r="L4" s="15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360" t="s">
        <v>1713</v>
      </c>
      <c r="B5" s="3347">
        <v>25</v>
      </c>
      <c r="C5" s="3363"/>
      <c r="D5" s="3383"/>
      <c r="E5" s="136" t="s">
        <v>1714</v>
      </c>
      <c r="F5" s="1893"/>
      <c r="G5" s="1893"/>
      <c r="H5" s="1893"/>
      <c r="I5" s="1508"/>
    </row>
    <row r="6" spans="1:12" ht="12.75">
      <c r="A6" s="3360"/>
      <c r="B6" s="3347"/>
      <c r="C6" s="3364"/>
      <c r="D6" s="3383"/>
      <c r="E6" s="136" t="s">
        <v>1715</v>
      </c>
      <c r="F6" s="1893"/>
      <c r="G6" s="1893"/>
      <c r="H6" s="1893"/>
      <c r="I6" s="1508"/>
    </row>
    <row r="7" spans="1:12" ht="12.75">
      <c r="A7" s="3360"/>
      <c r="B7" s="3347"/>
      <c r="C7" s="3365"/>
      <c r="D7" s="3383"/>
      <c r="E7" s="136" t="s">
        <v>1716</v>
      </c>
      <c r="F7" s="1893"/>
      <c r="G7" s="1893"/>
      <c r="H7" s="1893"/>
      <c r="I7" s="1508"/>
    </row>
    <row r="8" spans="1:12" ht="12.75">
      <c r="A8" s="3360" t="s">
        <v>1717</v>
      </c>
      <c r="B8" s="3347">
        <v>15</v>
      </c>
      <c r="C8" s="3363"/>
      <c r="D8" s="3383"/>
      <c r="E8" s="136" t="s">
        <v>1718</v>
      </c>
      <c r="F8" s="1893"/>
      <c r="G8" s="1893"/>
      <c r="H8" s="1893"/>
      <c r="I8" s="1508"/>
    </row>
    <row r="9" spans="1:12" ht="12.75">
      <c r="A9" s="3360"/>
      <c r="B9" s="3347"/>
      <c r="C9" s="3365"/>
      <c r="D9" s="3383"/>
      <c r="E9" s="136" t="s">
        <v>1719</v>
      </c>
      <c r="F9" s="1893"/>
      <c r="G9" s="1893"/>
      <c r="H9" s="1893"/>
      <c r="I9" s="1508"/>
    </row>
    <row r="10" spans="1:12" ht="12.75">
      <c r="A10" s="3360" t="s">
        <v>1720</v>
      </c>
      <c r="B10" s="3347">
        <v>15</v>
      </c>
      <c r="C10" s="3363"/>
      <c r="D10" s="3383"/>
      <c r="E10" s="136" t="s">
        <v>1721</v>
      </c>
      <c r="F10" s="1893"/>
      <c r="G10" s="1893"/>
      <c r="H10" s="1893"/>
      <c r="I10" s="1508"/>
    </row>
    <row r="11" spans="1:12" ht="12.75">
      <c r="A11" s="3360"/>
      <c r="B11" s="3347"/>
      <c r="C11" s="3365"/>
      <c r="D11" s="3383"/>
      <c r="E11" s="136" t="s">
        <v>1722</v>
      </c>
      <c r="F11" s="1893"/>
      <c r="G11" s="1893"/>
      <c r="H11" s="1893"/>
      <c r="I11" s="1508"/>
    </row>
    <row r="12" spans="1:12" ht="12.75">
      <c r="A12" s="3360" t="s">
        <v>1723</v>
      </c>
      <c r="B12" s="3347">
        <v>15</v>
      </c>
      <c r="C12" s="3363"/>
      <c r="D12" s="3383"/>
      <c r="E12" s="136" t="s">
        <v>1724</v>
      </c>
      <c r="F12" s="1893"/>
      <c r="G12" s="1893"/>
      <c r="H12" s="1893"/>
      <c r="I12" s="1508"/>
    </row>
    <row r="13" spans="1:12" ht="12.75">
      <c r="A13" s="3360"/>
      <c r="B13" s="3347"/>
      <c r="C13" s="3365"/>
      <c r="D13" s="3383"/>
      <c r="E13" s="136" t="s">
        <v>1725</v>
      </c>
      <c r="F13" s="1893"/>
      <c r="G13" s="1893"/>
      <c r="H13" s="1893"/>
      <c r="I13" s="1508"/>
    </row>
    <row r="14" spans="1:12" ht="12.75">
      <c r="A14" s="3360" t="s">
        <v>1726</v>
      </c>
      <c r="B14" s="3347">
        <v>30</v>
      </c>
      <c r="C14" s="3363">
        <v>6</v>
      </c>
      <c r="D14" s="3383">
        <v>4</v>
      </c>
      <c r="E14" s="136" t="s">
        <v>1727</v>
      </c>
      <c r="F14" s="1893"/>
      <c r="G14" s="1893"/>
      <c r="H14" s="1893"/>
      <c r="I14" s="1508"/>
    </row>
    <row r="15" spans="1:12" ht="12.75">
      <c r="A15" s="3360"/>
      <c r="B15" s="3347"/>
      <c r="C15" s="3364"/>
      <c r="D15" s="3383"/>
      <c r="E15" s="136" t="s">
        <v>1728</v>
      </c>
      <c r="F15" s="1893"/>
      <c r="G15" s="1893"/>
      <c r="H15" s="1893"/>
      <c r="I15" s="1508"/>
    </row>
    <row r="16" spans="1:12" ht="12.75">
      <c r="A16" s="3360"/>
      <c r="B16" s="3347"/>
      <c r="C16" s="3365"/>
      <c r="D16" s="3383"/>
      <c r="E16" s="136" t="s">
        <v>1729</v>
      </c>
      <c r="F16" s="1893"/>
      <c r="G16" s="1893"/>
      <c r="H16" s="1893"/>
      <c r="I16" s="1508"/>
    </row>
    <row r="17" spans="1:36" ht="15">
      <c r="A17" s="1894" t="s">
        <v>1730</v>
      </c>
      <c r="B17" s="60"/>
      <c r="C17" s="137">
        <f>SUM(C5:C16)</f>
        <v>6</v>
      </c>
      <c r="D17" s="137">
        <f>SUM(D5:D16)</f>
        <v>4</v>
      </c>
      <c r="E17" s="134"/>
      <c r="F17" s="134"/>
      <c r="G17" s="134"/>
      <c r="H17" s="134"/>
      <c r="I17" s="134"/>
      <c r="K17" s="308"/>
      <c r="L17" s="308" t="s">
        <v>1731</v>
      </c>
      <c r="M17" s="308" t="s">
        <v>1732</v>
      </c>
    </row>
    <row r="18" spans="1:36" ht="31.9" customHeight="1" thickBot="1">
      <c r="A18" s="1895" t="s">
        <v>1733</v>
      </c>
      <c r="B18" s="1896"/>
      <c r="C18" s="138">
        <f>ROUND(C17/SUM(C17:D17),2)</f>
        <v>0.6</v>
      </c>
      <c r="D18" s="138">
        <f>1-C18</f>
        <v>0.4</v>
      </c>
      <c r="E18" s="3370" t="s">
        <v>2631</v>
      </c>
      <c r="F18" s="3371"/>
      <c r="G18" s="3371"/>
      <c r="H18" s="3371"/>
      <c r="I18" s="3371"/>
      <c r="K18" s="308" t="s">
        <v>1734</v>
      </c>
      <c r="L18" s="308">
        <f>IF(C1="",'数据-汇总表'!E3,SUMIF(项目类型,C1,'数据-汇总表'!E17:E26)+SUMIF(项目类型,C1,'数据-汇总表'!I17:I26))</f>
        <v>56554.499999999993</v>
      </c>
      <c r="M18" s="308">
        <f>IF(C1="",'数据-汇总表'!E3,SUMIF(项目类型,C1,'数据-汇总表'!E17:E26))</f>
        <v>56554.499999999993</v>
      </c>
    </row>
    <row r="19" spans="1:36" ht="15">
      <c r="A19" s="1897" t="s">
        <v>1735</v>
      </c>
      <c r="B19" s="1898" t="s">
        <v>1736</v>
      </c>
      <c r="C19" s="139">
        <f ca="1">SUMIF(INDIRECT("'"&amp;C4&amp;"'"&amp;"!A:A"),'结果表(办公)'!B19,INDIRECT("'"&amp;C4&amp;"'"&amp;"!B:B"))</f>
        <v>282773</v>
      </c>
      <c r="D19" s="140">
        <f ca="1">SUMIF(INDIRECT("'"&amp;D4&amp;"'"&amp;"!A:A"),'结果表(办公)'!B19,INDIRECT("'"&amp;D4&amp;"'"&amp;"!B:B"))</f>
        <v>179302</v>
      </c>
      <c r="E19" s="1897" t="s">
        <v>1737</v>
      </c>
      <c r="F19" s="1898" t="s">
        <v>1736</v>
      </c>
      <c r="G19" s="141">
        <f ca="1">ROUND(C19*$C$18+D19*$D$18,0)</f>
        <v>241385</v>
      </c>
      <c r="H19" s="1899"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0"/>
      <c r="B20" s="1138" t="s">
        <v>1740</v>
      </c>
      <c r="C20" s="142">
        <f ca="1">SUMIF(INDIRECT("'"&amp;C4&amp;"'"&amp;"!A:A"),'结果表(办公)'!B20,INDIRECT("'"&amp;C4&amp;"'"&amp;"!B:B"))</f>
        <v>50000</v>
      </c>
      <c r="D20" s="143">
        <f ca="1">SUMIF(INDIRECT("'"&amp;D4&amp;"'"&amp;"!A:A"),'结果表(办公)'!B20,INDIRECT("'"&amp;D4&amp;"'"&amp;"!B:B"))</f>
        <v>31704</v>
      </c>
      <c r="E20" s="1900"/>
      <c r="F20" s="1138" t="s">
        <v>1740</v>
      </c>
      <c r="G20" s="144">
        <f ca="1">ROUND(C20*$C$18+D20*$D$18,0)</f>
        <v>42682</v>
      </c>
      <c r="H20" s="898" t="s">
        <v>1741</v>
      </c>
      <c r="I20" s="134"/>
    </row>
    <row r="21" spans="1:36" ht="15" customHeight="1" thickBot="1">
      <c r="A21" s="918"/>
      <c r="B21" s="1901" t="s">
        <v>1742</v>
      </c>
      <c r="C21" s="728" t="e">
        <f ca="1">ROUND(C19*10000/L19,0)</f>
        <v>#DIV/0!</v>
      </c>
      <c r="D21" s="729" t="e">
        <f ca="1">ROUND(D19*10000/L19,0)</f>
        <v>#DIV/0!</v>
      </c>
      <c r="E21" s="918"/>
      <c r="F21" s="1901" t="s">
        <v>1742</v>
      </c>
      <c r="G21" s="145" t="e">
        <f ca="1">ROUND(G19*10000/L19,0)</f>
        <v>#DIV/0!</v>
      </c>
      <c r="H21" s="1902" t="s">
        <v>1741</v>
      </c>
      <c r="I21" s="134"/>
    </row>
    <row r="22" spans="1:36" ht="15" thickBot="1">
      <c r="A22" s="1824" t="s">
        <v>1743</v>
      </c>
      <c r="B22" s="1903"/>
      <c r="C22" s="1904"/>
      <c r="D22" s="730">
        <f ca="1">IF(C19&lt;D19,D19/C19-1,C19/D19-1)</f>
        <v>0.57707666395243784</v>
      </c>
      <c r="E22" s="134"/>
      <c r="F22" s="134"/>
      <c r="G22" s="134"/>
      <c r="H22" s="134"/>
      <c r="I22" s="134"/>
    </row>
    <row r="23" spans="1:36" ht="13.5" thickBot="1">
      <c r="A23" s="1883"/>
      <c r="B23" s="1883"/>
      <c r="C23" s="1883"/>
      <c r="D23" s="1883"/>
      <c r="E23" s="134"/>
      <c r="F23" s="134"/>
      <c r="G23" s="134"/>
      <c r="H23" s="134"/>
      <c r="I23" s="134"/>
    </row>
    <row r="24" spans="1:36" ht="14.25">
      <c r="A24" s="3354" t="s">
        <v>1744</v>
      </c>
      <c r="B24" s="1898" t="s">
        <v>1736</v>
      </c>
      <c r="C24" s="141">
        <f>IF(B30=0,0,D30)</f>
        <v>0</v>
      </c>
      <c r="D24" s="1905"/>
      <c r="E24" s="134"/>
      <c r="F24" s="134"/>
      <c r="G24" s="134"/>
      <c r="H24" s="134"/>
      <c r="I24" s="134"/>
    </row>
    <row r="25" spans="1:36" ht="14.25">
      <c r="A25" s="3355"/>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241385</v>
      </c>
      <c r="D32" s="1911" t="s">
        <v>3236</v>
      </c>
      <c r="E32" s="134"/>
      <c r="F32" s="134"/>
      <c r="G32" s="134"/>
      <c r="H32" s="134"/>
      <c r="I32" s="134"/>
    </row>
    <row r="33" spans="1:15" ht="15">
      <c r="A33" s="875" t="s">
        <v>1751</v>
      </c>
      <c r="B33" s="1912"/>
      <c r="C33" s="1913" t="s">
        <v>3241</v>
      </c>
      <c r="D33" s="1914" t="s">
        <v>3245</v>
      </c>
      <c r="E33" s="1915" t="s">
        <v>1752</v>
      </c>
      <c r="F33" s="1916" t="str">
        <f>IF(D32="楼面单价","取值（单价）","取值（总价）")</f>
        <v>取值（总价）</v>
      </c>
      <c r="G33" s="134"/>
      <c r="H33" s="134"/>
      <c r="I33" s="134"/>
    </row>
    <row r="34" spans="1:15" ht="15">
      <c r="A34" s="1917"/>
      <c r="B34" s="1918" t="s">
        <v>1753</v>
      </c>
      <c r="C34" s="153">
        <f ca="1">IF(C33="自定义",F34,C32-C35)</f>
        <v>11345</v>
      </c>
      <c r="D34" s="951">
        <f ca="1">IF(C33="自定义",ROUND(C34/C32,3),IF(C33="收益比率",SUMIF(INDIRECT("'"&amp;D33&amp;"'"&amp;"!b:b"),"土地收益比率",INDIRECT("'"&amp;D33&amp;"'"&amp;"!c:c")),SUMIF(INDIRECT("'"&amp;D33&amp;"'"&amp;"!b:b"),"土地成本比率",INDIRECT("'"&amp;D33&amp;"'"&amp;"!c:c"))))</f>
        <v>4.7000000000000042E-2</v>
      </c>
      <c r="E34" s="1919" t="s">
        <v>1754</v>
      </c>
      <c r="F34" s="1451"/>
      <c r="G34" s="134"/>
      <c r="H34" s="134"/>
      <c r="I34" s="134"/>
    </row>
    <row r="35" spans="1:15" ht="15.75" thickBot="1">
      <c r="A35" s="1920"/>
      <c r="B35" s="1921" t="s">
        <v>1755</v>
      </c>
      <c r="C35" s="1285">
        <f ca="1">IF(C33="自定义",F35,ROUND(C32*D35,0))</f>
        <v>230040</v>
      </c>
      <c r="D35" s="1286">
        <f ca="1">IF(C33="自定义",ROUND(C35/C32,3),IF(C33="收益比率",SUMIF(INDIRECT("'"&amp;D33&amp;"'"&amp;"!b:b"),"建筑物收益比率",INDIRECT("'"&amp;D33&amp;"'"&amp;"!c:c")),SUMIF(INDIRECT("'"&amp;D33&amp;"'"&amp;"!b:b"),"建筑物成本比率",INDIRECT("'"&amp;D33&amp;"'"&amp;"!c:c"))))</f>
        <v>0.95299999999999996</v>
      </c>
      <c r="E35" s="1922" t="s">
        <v>1756</v>
      </c>
      <c r="F35" s="159"/>
      <c r="G35" s="134"/>
      <c r="H35" s="134"/>
      <c r="I35" s="134"/>
    </row>
    <row r="36" spans="1:15" ht="15.75" thickBot="1">
      <c r="A36" s="3374" t="s">
        <v>1757</v>
      </c>
      <c r="B36" s="1923" t="s">
        <v>1758</v>
      </c>
      <c r="C36" s="150"/>
      <c r="D36" s="1924"/>
      <c r="E36" s="1925"/>
      <c r="F36" s="1926"/>
      <c r="G36" s="134"/>
      <c r="H36" s="134"/>
      <c r="I36" s="134"/>
    </row>
    <row r="37" spans="1:15" ht="15.75" thickBot="1">
      <c r="A37" s="3375"/>
      <c r="B37" s="1810" t="s">
        <v>1759</v>
      </c>
      <c r="C37" s="152"/>
      <c r="D37" s="1254"/>
      <c r="E37" s="1254"/>
      <c r="F37" s="1926"/>
      <c r="G37" s="134"/>
      <c r="H37" s="134"/>
      <c r="I37" s="134"/>
    </row>
    <row r="38" spans="1:15" ht="15.75" thickBot="1">
      <c r="A38" s="3376"/>
      <c r="B38" s="1927" t="s">
        <v>1760</v>
      </c>
      <c r="C38" s="683"/>
      <c r="D38" s="1928" t="s">
        <v>1761</v>
      </c>
      <c r="E38" s="1254"/>
      <c r="F38" s="1926"/>
      <c r="G38" s="134"/>
      <c r="H38" s="134"/>
      <c r="I38" s="134"/>
    </row>
    <row r="39" spans="1:15" ht="15">
      <c r="A39" s="1900" t="s">
        <v>1762</v>
      </c>
      <c r="B39" s="1929" t="s">
        <v>1746</v>
      </c>
      <c r="C39" s="1930" t="s">
        <v>1747</v>
      </c>
      <c r="D39" s="1930" t="s">
        <v>1765</v>
      </c>
      <c r="E39" s="1931" t="s">
        <v>1748</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3"/>
      <c r="B43" s="1713"/>
      <c r="C43" s="1713"/>
      <c r="D43" s="1713"/>
      <c r="E43" s="1713"/>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51" t="s">
        <v>1771</v>
      </c>
      <c r="B45" s="3352"/>
      <c r="C45" s="3353"/>
      <c r="D45" s="160">
        <f ca="1">ROUND(H101*F45,0)</f>
        <v>241385</v>
      </c>
      <c r="E45" s="161" t="s">
        <v>1772</v>
      </c>
      <c r="F45" s="162">
        <v>1</v>
      </c>
      <c r="G45" s="163" t="s">
        <v>1773</v>
      </c>
      <c r="H45" s="134"/>
      <c r="I45" s="134"/>
      <c r="J45" s="3432" t="s">
        <v>1774</v>
      </c>
      <c r="K45" s="3432"/>
      <c r="L45" s="3432"/>
      <c r="M45" s="3432"/>
      <c r="N45" s="3432"/>
      <c r="O45" s="3432"/>
    </row>
    <row r="46" spans="1:15" ht="14.25" customHeight="1">
      <c r="A46" s="3348" t="s">
        <v>1775</v>
      </c>
      <c r="B46" s="3349"/>
      <c r="C46" s="3349"/>
      <c r="D46" s="3349"/>
      <c r="E46" s="3349"/>
      <c r="F46" s="3349"/>
      <c r="G46" s="3350"/>
      <c r="H46" s="1942"/>
      <c r="I46" s="164"/>
      <c r="J46" s="3239">
        <v>1</v>
      </c>
      <c r="K46" s="3413" t="s">
        <v>1776</v>
      </c>
      <c r="L46" s="3413"/>
      <c r="M46" s="3433"/>
      <c r="N46" s="3433"/>
      <c r="O46" s="3433"/>
    </row>
    <row r="47" spans="1:15" ht="12" customHeight="1">
      <c r="A47" s="165" t="s">
        <v>1777</v>
      </c>
      <c r="B47" s="166"/>
      <c r="C47" s="167"/>
      <c r="D47" s="1200" t="s">
        <v>1778</v>
      </c>
      <c r="E47" s="308" t="s">
        <v>1779</v>
      </c>
      <c r="F47" s="168" t="s">
        <v>1780</v>
      </c>
      <c r="G47" s="2721" t="s">
        <v>1781</v>
      </c>
      <c r="H47" s="2722"/>
      <c r="I47" s="164"/>
      <c r="J47" s="3239">
        <v>2</v>
      </c>
      <c r="K47" s="3413" t="s">
        <v>1782</v>
      </c>
      <c r="L47" s="3413"/>
      <c r="M47" s="3434">
        <f>'数据-取费表'!B2</f>
        <v>44769</v>
      </c>
      <c r="N47" s="3434"/>
      <c r="O47" s="3434"/>
    </row>
    <row r="48" spans="1:15" ht="25.5">
      <c r="A48" s="3379" t="s">
        <v>1783</v>
      </c>
      <c r="B48" s="3362"/>
      <c r="C48" s="3362"/>
      <c r="D48" s="3234" t="b">
        <f>IF(H48="情况1",0,IF(H48="情况2",D52,IF(H48="情况3",D53,IF(H48="情况4",D54))))</f>
        <v>0</v>
      </c>
      <c r="E48" s="3249" t="str">
        <f>IF(H48="情况4","(销售额-原购置价)×税（费）率","销售额×税（费）率")</f>
        <v>销售额×税（费）率</v>
      </c>
      <c r="F48" s="2723">
        <f>IF(H48="情况1","免征",'数据-取费表'!B41)</f>
        <v>5.5000000000000007E-2</v>
      </c>
      <c r="G48" s="2724" t="s">
        <v>1784</v>
      </c>
      <c r="H48" s="2725"/>
      <c r="I48" s="1942"/>
      <c r="J48" s="3239">
        <v>3</v>
      </c>
      <c r="K48" s="3413" t="s">
        <v>1785</v>
      </c>
      <c r="L48" s="3413"/>
      <c r="M48" s="3435">
        <f ca="1">H101</f>
        <v>241385</v>
      </c>
      <c r="N48" s="3435"/>
      <c r="O48" s="3435"/>
    </row>
    <row r="49" spans="1:35" ht="25.5" customHeight="1">
      <c r="A49" s="3248" t="s">
        <v>1786</v>
      </c>
      <c r="B49" s="3346" t="s">
        <v>1787</v>
      </c>
      <c r="C49" s="3346"/>
      <c r="D49" s="1726">
        <v>0</v>
      </c>
      <c r="E49" s="330" t="s">
        <v>1788</v>
      </c>
      <c r="F49" s="3232" t="s">
        <v>34</v>
      </c>
      <c r="G49" s="3419"/>
      <c r="H49" s="2478" t="s">
        <v>2634</v>
      </c>
      <c r="I49" s="2479"/>
      <c r="J49" s="3239">
        <v>4</v>
      </c>
      <c r="K49" s="3413" t="str">
        <f>IF(项目基本情况!E8="房地产抵押价值","房地产抵押价值","抵押担保权已注销时的房地产抵押价值")</f>
        <v>房地产抵押价值</v>
      </c>
      <c r="L49" s="3413"/>
      <c r="M49" s="3435">
        <f ca="1">IF(项目基本情况!E8="房地产抵押价值",H107,H109)</f>
        <v>241385</v>
      </c>
      <c r="N49" s="3435"/>
      <c r="O49" s="3435"/>
    </row>
    <row r="50" spans="1:35" ht="25.5" customHeight="1">
      <c r="A50" s="2726"/>
      <c r="B50" s="3346" t="s">
        <v>1789</v>
      </c>
      <c r="C50" s="3346"/>
      <c r="D50" s="2727"/>
      <c r="E50" s="338"/>
      <c r="F50" s="3232"/>
      <c r="G50" s="3420"/>
      <c r="H50" s="2480" t="s">
        <v>2635</v>
      </c>
      <c r="I50" s="2479"/>
      <c r="J50" s="3432" t="s">
        <v>1790</v>
      </c>
      <c r="K50" s="3432"/>
      <c r="L50" s="3432"/>
      <c r="M50" s="3432"/>
      <c r="N50" s="3432"/>
      <c r="O50" s="3432"/>
    </row>
    <row r="51" spans="1:35" ht="20.45" customHeight="1">
      <c r="A51" s="2728"/>
      <c r="B51" s="3346" t="s">
        <v>1791</v>
      </c>
      <c r="C51" s="3346"/>
      <c r="D51" s="1200"/>
      <c r="E51" s="333"/>
      <c r="F51" s="3232"/>
      <c r="G51" s="3421"/>
      <c r="H51" s="2480" t="s">
        <v>2636</v>
      </c>
      <c r="I51" s="2479"/>
      <c r="J51" s="3233" t="s">
        <v>1792</v>
      </c>
      <c r="K51" s="3413" t="s">
        <v>1793</v>
      </c>
      <c r="L51" s="3413"/>
      <c r="M51" s="3233" t="s">
        <v>1794</v>
      </c>
      <c r="N51" s="3233" t="s">
        <v>1795</v>
      </c>
      <c r="O51" s="3233" t="s">
        <v>1796</v>
      </c>
    </row>
    <row r="52" spans="1:35" ht="24" customHeight="1">
      <c r="A52" s="3251" t="s">
        <v>1797</v>
      </c>
      <c r="B52" s="3346" t="s">
        <v>1798</v>
      </c>
      <c r="C52" s="3346"/>
      <c r="D52" s="1200">
        <f ca="1">ROUND(D45*'数据-取费表'!B41/(1+'数据-取费表'!C42),0)</f>
        <v>12644</v>
      </c>
      <c r="E52" s="3249" t="s">
        <v>1799</v>
      </c>
      <c r="F52" s="2729">
        <f>'数据-取费表'!B41</f>
        <v>5.5000000000000007E-2</v>
      </c>
      <c r="G52" s="2730"/>
      <c r="H52" s="2719"/>
      <c r="I52" s="1943"/>
      <c r="J52" s="3239">
        <v>1</v>
      </c>
      <c r="K52" s="3414" t="s">
        <v>1800</v>
      </c>
      <c r="L52" s="3414"/>
      <c r="M52" s="2700" t="b">
        <f>D48</f>
        <v>0</v>
      </c>
      <c r="N52" s="3239" t="str">
        <f>E48</f>
        <v>销售额×税（费）率</v>
      </c>
      <c r="O52" s="2701">
        <f>F48</f>
        <v>5.5000000000000007E-2</v>
      </c>
    </row>
    <row r="53" spans="1:35" ht="12" customHeight="1">
      <c r="A53" s="3251" t="s">
        <v>1801</v>
      </c>
      <c r="B53" s="3372" t="s">
        <v>2791</v>
      </c>
      <c r="C53" s="3373"/>
      <c r="D53" s="1200">
        <f ca="1">ROUND(D45*'数据-取费表'!B41/(1+'数据-取费表'!C42),0)</f>
        <v>12644</v>
      </c>
      <c r="E53" s="3249" t="s">
        <v>1799</v>
      </c>
      <c r="F53" s="2729">
        <f>'数据-取费表'!B41</f>
        <v>5.5000000000000007E-2</v>
      </c>
      <c r="G53" s="2730"/>
      <c r="H53" s="2719"/>
      <c r="I53" s="1943"/>
      <c r="J53" s="3239">
        <v>2</v>
      </c>
      <c r="K53" s="3414" t="s">
        <v>1802</v>
      </c>
      <c r="L53" s="3414"/>
      <c r="M53" s="2700">
        <f t="shared" ref="M53:O54" ca="1" si="0">D55</f>
        <v>121</v>
      </c>
      <c r="N53" s="3239" t="str">
        <f t="shared" si="0"/>
        <v>销售额×税（费）率</v>
      </c>
      <c r="O53" s="2701" t="str">
        <f t="shared" si="0"/>
        <v>免征</v>
      </c>
    </row>
    <row r="54" spans="1:35" ht="12" customHeight="1">
      <c r="A54" s="3251" t="s">
        <v>1803</v>
      </c>
      <c r="B54" s="3372" t="s">
        <v>2792</v>
      </c>
      <c r="C54" s="3373"/>
      <c r="D54" s="1200">
        <f ca="1">C68</f>
        <v>12644</v>
      </c>
      <c r="E54" s="333" t="s">
        <v>1804</v>
      </c>
      <c r="F54" s="2729">
        <f>'数据-取费表'!B41</f>
        <v>5.5000000000000007E-2</v>
      </c>
      <c r="G54" s="2730"/>
      <c r="H54" s="2731"/>
      <c r="I54" s="1943"/>
      <c r="J54" s="3239">
        <v>3</v>
      </c>
      <c r="K54" s="3414" t="s">
        <v>1805</v>
      </c>
      <c r="L54" s="3414"/>
      <c r="M54" s="2700">
        <f t="shared" ca="1" si="0"/>
        <v>136842</v>
      </c>
      <c r="N54" s="3239" t="str">
        <f t="shared" si="0"/>
        <v>增值额×税（费）率</v>
      </c>
      <c r="O54" s="2702" t="str">
        <f t="shared" si="0"/>
        <v>免征</v>
      </c>
    </row>
    <row r="55" spans="1:35" ht="24" customHeight="1">
      <c r="A55" s="3361" t="s">
        <v>1806</v>
      </c>
      <c r="B55" s="3362"/>
      <c r="C55" s="3362"/>
      <c r="D55" s="3234">
        <f ca="1">IF(H55="个人住宅",0,ROUND(D45*I55,0))</f>
        <v>121</v>
      </c>
      <c r="E55" s="3249" t="s">
        <v>1807</v>
      </c>
      <c r="F55" s="2729" t="str">
        <f>IF(H55="正常",I55,"免征")</f>
        <v>免征</v>
      </c>
      <c r="G55" s="2730"/>
      <c r="H55" s="2725"/>
      <c r="I55" s="170">
        <f>'数据-取费表'!B49</f>
        <v>5.0000000000000001E-4</v>
      </c>
      <c r="J55" s="3239">
        <f>IF(H59="非个人房产","",4)</f>
        <v>4</v>
      </c>
      <c r="K55" s="3414" t="str">
        <f>IF(H59="非个人房产","——","个人所得税")</f>
        <v>个人所得税</v>
      </c>
      <c r="L55" s="3414"/>
      <c r="M55" s="2703">
        <f ca="1">D59</f>
        <v>2299</v>
      </c>
      <c r="N55" s="3240" t="str">
        <f>E59</f>
        <v>差额计税</v>
      </c>
      <c r="O55" s="2704">
        <f>F59</f>
        <v>0.01</v>
      </c>
    </row>
    <row r="56" spans="1:35" ht="24.75">
      <c r="A56" s="3361" t="s">
        <v>1808</v>
      </c>
      <c r="B56" s="3362"/>
      <c r="C56" s="3362"/>
      <c r="D56" s="3234">
        <f ca="1">IF(H56="个人住宅",D57,D58)</f>
        <v>136842</v>
      </c>
      <c r="E56" s="3249" t="s">
        <v>1809</v>
      </c>
      <c r="F56" s="2729" t="str">
        <f>IF(H56="正常",F58,"免征")</f>
        <v>免征</v>
      </c>
      <c r="G56" s="2732" t="s">
        <v>1810</v>
      </c>
      <c r="H56" s="2733"/>
      <c r="I56" s="1944"/>
      <c r="J56" s="3239" t="str">
        <f>IF(项目基本情况!K6="上海银行",IF(J55="",4,J55+1),"")</f>
        <v/>
      </c>
      <c r="K56" s="3437" t="str">
        <f>IF(项目基本情况!K6="上海银行","其他处置费用","")</f>
        <v/>
      </c>
      <c r="L56" s="3438"/>
      <c r="M56" s="2700" t="str">
        <f>IF(项目基本情况!K6="上海银行",M69,"")</f>
        <v/>
      </c>
      <c r="N56" s="3437" t="str">
        <f>IF(项目基本情况!K6="上海银行","包含处置中涉及的律师、诉讼、拍卖、评估等费用","")</f>
        <v/>
      </c>
      <c r="O56" s="3440"/>
    </row>
    <row r="57" spans="1:35" ht="12.75">
      <c r="A57" s="3251" t="s">
        <v>1786</v>
      </c>
      <c r="B57" s="3372" t="s">
        <v>1811</v>
      </c>
      <c r="C57" s="3373"/>
      <c r="D57" s="1726">
        <v>0</v>
      </c>
      <c r="E57" s="330" t="s">
        <v>1788</v>
      </c>
      <c r="F57" s="308"/>
      <c r="G57" s="2730"/>
      <c r="H57" s="2734"/>
      <c r="I57" s="1944"/>
      <c r="J57" s="3414">
        <f>IF(AND(J55="",J56=""),4,IF(项目基本情况!K6="上海银行",'结果表(办公)'!J56+1,'结果表(办公)'!J55+1))</f>
        <v>5</v>
      </c>
      <c r="K57" s="3414" t="s">
        <v>1812</v>
      </c>
      <c r="L57" s="2705" t="s">
        <v>1813</v>
      </c>
      <c r="M57" s="2706"/>
      <c r="N57" s="2707">
        <f ca="1">SUMIF(M52:M56,"&lt;9e307")</f>
        <v>139262</v>
      </c>
      <c r="O57" s="2708"/>
      <c r="P57" s="2868">
        <f ca="1">N57/M49</f>
        <v>0.57692897238850793</v>
      </c>
    </row>
    <row r="58" spans="1:35" ht="24.75">
      <c r="A58" s="3251" t="s">
        <v>1797</v>
      </c>
      <c r="B58" s="3372" t="s">
        <v>1814</v>
      </c>
      <c r="C58" s="3346"/>
      <c r="D58" s="3234">
        <f ca="1">IF(H58="转让取得",C81,C97)</f>
        <v>136842</v>
      </c>
      <c r="E58" s="3249" t="s">
        <v>1809</v>
      </c>
      <c r="F58" s="308" t="s">
        <v>34</v>
      </c>
      <c r="G58" s="2730"/>
      <c r="H58" s="2733"/>
      <c r="I58" s="1944"/>
      <c r="J58" s="3414"/>
      <c r="K58" s="3414"/>
      <c r="L58" s="2705" t="s">
        <v>1815</v>
      </c>
      <c r="M58" s="2709"/>
      <c r="N58" s="2710" t="str">
        <f ca="1">NUMBERSTRING(INT(N57*10000),2)&amp;"元整"</f>
        <v>壹拾叁亿玖仟贰佰陆拾贰万元整</v>
      </c>
      <c r="O58" s="2711"/>
    </row>
    <row r="59" spans="1:35" ht="24.75" thickBot="1">
      <c r="A59" s="3417" t="s">
        <v>1816</v>
      </c>
      <c r="B59" s="3418"/>
      <c r="C59" s="3418"/>
      <c r="D59" s="2735">
        <f ca="1">IF(H59="非个人房产","——",IF(H59="个人住宅（满五唯一有凭证）",0,IF(H59="个人其他（无凭证）",ROUND(D45*F59,0),ROUND(C67*F59,0))))</f>
        <v>2299</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415">
        <f>J57+1</f>
        <v>6</v>
      </c>
      <c r="K59" s="3414" t="s">
        <v>1817</v>
      </c>
      <c r="L59" s="3239" t="s">
        <v>1813</v>
      </c>
      <c r="M59" s="2712"/>
      <c r="N59" s="2713">
        <f ca="1">M49-N57</f>
        <v>102123</v>
      </c>
      <c r="O59" s="2714"/>
    </row>
    <row r="60" spans="1:35" ht="12" customHeight="1">
      <c r="A60" s="1945"/>
      <c r="B60" s="1883"/>
      <c r="C60" s="1883"/>
      <c r="D60" s="1883"/>
      <c r="E60" s="1714"/>
      <c r="F60" s="1944"/>
      <c r="G60" s="1944"/>
      <c r="H60" s="1946"/>
      <c r="I60" s="134"/>
      <c r="J60" s="3416"/>
      <c r="K60" s="3414"/>
      <c r="L60" s="2705" t="s">
        <v>1815</v>
      </c>
      <c r="M60" s="2709"/>
      <c r="N60" s="2710" t="str">
        <f ca="1">NUMBERSTRING(INT(N59*10000),2)&amp;"元整"</f>
        <v>壹拾亿贰仟壹佰贰拾叁万元整</v>
      </c>
      <c r="O60" s="2711"/>
    </row>
    <row r="61" spans="1:35" ht="13.5" thickBot="1">
      <c r="A61" s="3359" t="s">
        <v>1818</v>
      </c>
      <c r="B61" s="3359"/>
      <c r="C61" s="3359"/>
      <c r="D61" s="3359"/>
      <c r="E61" s="3359"/>
      <c r="F61" s="1944"/>
      <c r="G61" s="1944"/>
      <c r="H61" s="1946"/>
      <c r="I61" s="134"/>
      <c r="J61" s="3239">
        <f>J59+1</f>
        <v>7</v>
      </c>
      <c r="K61" s="3414" t="s">
        <v>1819</v>
      </c>
      <c r="L61" s="3414"/>
      <c r="M61" s="2715"/>
      <c r="N61" s="2716">
        <f ca="1">ROUND(N59*10000/'数据-汇总表'!E3,0)</f>
        <v>14261</v>
      </c>
      <c r="O61" s="2717"/>
    </row>
    <row r="62" spans="1:35" ht="12.75">
      <c r="A62" s="3377" t="s">
        <v>1820</v>
      </c>
      <c r="B62" s="3378"/>
      <c r="C62" s="3244"/>
      <c r="D62" s="3244" t="s">
        <v>1821</v>
      </c>
      <c r="E62" s="171" t="s">
        <v>1822</v>
      </c>
      <c r="F62" s="1944"/>
      <c r="G62" s="1944"/>
      <c r="H62" s="1946"/>
      <c r="I62" s="134"/>
    </row>
    <row r="63" spans="1:35" ht="12.75">
      <c r="A63" s="178" t="s">
        <v>594</v>
      </c>
      <c r="B63" s="172" t="s">
        <v>1823</v>
      </c>
      <c r="C63" s="2739">
        <f ca="1">ROUND((C64+C65)/(1+'数据-取费表'!C42),0)</f>
        <v>229890</v>
      </c>
      <c r="D63" s="172"/>
      <c r="E63" s="173"/>
      <c r="F63" s="1944"/>
      <c r="G63" s="1944"/>
      <c r="H63" s="1946"/>
      <c r="I63" s="134"/>
      <c r="J63" s="3439" t="s">
        <v>1824</v>
      </c>
      <c r="K63" s="3235" t="s">
        <v>1825</v>
      </c>
      <c r="L63" s="3235">
        <f ca="1">IF(M49&gt;10000,M49*0.5%,IF(AND(M49&gt;1000,M49&lt;=10000),M49*1%,IF(AND(M49&gt;100,M49&lt;=1000),M49*3%,IF(AND(M49&gt;10,M49&lt;=100),M49*5%,M49*8%))))</f>
        <v>1206.925</v>
      </c>
      <c r="M63" s="308">
        <f ca="1">ROUND(L63,1)</f>
        <v>1206.9000000000001</v>
      </c>
      <c r="N63" s="2718"/>
      <c r="Z63" s="1888"/>
      <c r="AI63" s="1889"/>
    </row>
    <row r="64" spans="1:35" ht="14.25" customHeight="1">
      <c r="A64" s="174" t="s">
        <v>589</v>
      </c>
      <c r="B64" s="175" t="s">
        <v>1826</v>
      </c>
      <c r="C64" s="2740">
        <f ca="1">D45</f>
        <v>241385</v>
      </c>
      <c r="D64" s="175" t="s">
        <v>32</v>
      </c>
      <c r="E64" s="177"/>
      <c r="F64" s="1944"/>
      <c r="G64" s="1944"/>
      <c r="H64" s="1946"/>
      <c r="I64" s="134"/>
      <c r="J64" s="3439"/>
      <c r="K64" s="3235" t="s">
        <v>1827</v>
      </c>
      <c r="L64" s="3235">
        <f ca="1">IF(M49&gt;2000,M49*0.5%,IF(AND(M49&gt;1000,M49&lt;=2000),M49*0.6%,IF(AND(M49&gt;500,M49&lt;=1000),M49*0.7%,IF(AND(M49&gt;200,M49&lt;=500),M49*0.8%,IF(AND(M49&gt;100,M49&lt;=200),M49*0.9%,IF(AND(M49&gt;50,M49&lt;=100),M49*1%,IF(AND(M49&gt;20,M49&lt;=50),M49*1.5%,IF(AND(M49&gt;10,M49&lt;=20),M49*2%,IF(AND(M49&gt;1,M49&lt;=10),M49*2.5%)))))))))</f>
        <v>1206.925</v>
      </c>
      <c r="M64" s="308">
        <f t="shared" ref="M64:M65" ca="1" si="1">ROUND(L64,1)</f>
        <v>1206.9000000000001</v>
      </c>
      <c r="N64" s="2719" t="s">
        <v>1828</v>
      </c>
      <c r="Z64" s="1888"/>
      <c r="AI64" s="1889"/>
    </row>
    <row r="65" spans="1:35" ht="14.25" customHeight="1">
      <c r="A65" s="174" t="s">
        <v>590</v>
      </c>
      <c r="B65" s="175" t="s">
        <v>1829</v>
      </c>
      <c r="C65" s="2741"/>
      <c r="D65" s="175"/>
      <c r="E65" s="177"/>
      <c r="F65" s="1944"/>
      <c r="G65" s="1944"/>
      <c r="H65" s="1946"/>
      <c r="I65" s="134"/>
      <c r="J65" s="3439"/>
      <c r="K65" s="3235" t="s">
        <v>1830</v>
      </c>
      <c r="L65" s="3235">
        <f ca="1">IF(M49&gt;1000,M49*0.1%,IF(AND(M49&gt;500,M49&lt;=1000),M49*0.5%,IF(AND(M49&gt;50,M49&lt;=500),M49*1%,IF(AND(M49&gt;1,M49&lt;=50),M49*1.5%))))</f>
        <v>241.38499999999999</v>
      </c>
      <c r="M65" s="308">
        <f t="shared" ca="1" si="1"/>
        <v>241.4</v>
      </c>
      <c r="N65" s="2719" t="s">
        <v>1828</v>
      </c>
      <c r="Z65" s="1888"/>
      <c r="AI65" s="1889"/>
    </row>
    <row r="66" spans="1:35" ht="14.25" customHeight="1">
      <c r="A66" s="178" t="s">
        <v>591</v>
      </c>
      <c r="B66" s="179" t="s">
        <v>1831</v>
      </c>
      <c r="C66" s="2742"/>
      <c r="D66" s="179" t="s">
        <v>32</v>
      </c>
      <c r="E66" s="1460" t="s">
        <v>1096</v>
      </c>
      <c r="F66" s="1944"/>
      <c r="G66" s="1944"/>
      <c r="H66" s="1946"/>
      <c r="I66" s="134"/>
      <c r="J66" s="3439"/>
      <c r="K66" s="3235" t="s">
        <v>1832</v>
      </c>
      <c r="L66" s="3235">
        <f ca="1">M49*0.5%</f>
        <v>1206.925</v>
      </c>
      <c r="M66" s="308">
        <f ca="1">IF(L66&gt;0.5,0.5,ROUND(L66,0))</f>
        <v>0.5</v>
      </c>
      <c r="N66" s="2719" t="s">
        <v>1833</v>
      </c>
      <c r="Z66" s="1888"/>
      <c r="AI66" s="1889"/>
    </row>
    <row r="67" spans="1:35" ht="14.25" customHeight="1">
      <c r="A67" s="178" t="s">
        <v>592</v>
      </c>
      <c r="B67" s="179" t="s">
        <v>1834</v>
      </c>
      <c r="C67" s="2743">
        <f ca="1">C63-C66</f>
        <v>229890</v>
      </c>
      <c r="D67" s="175" t="s">
        <v>32</v>
      </c>
      <c r="E67" s="177"/>
      <c r="F67" s="1944"/>
      <c r="G67" s="1944"/>
      <c r="H67" s="1946"/>
      <c r="I67" s="134"/>
      <c r="J67" s="3439"/>
      <c r="K67" s="3235" t="s">
        <v>1835</v>
      </c>
      <c r="L67" s="3235">
        <f ca="1">IF(M49&gt;=10000,(8.25+(M49-10000)*0.01%),IF(AND(M49&gt;=8000,M49&lt;10000),(7.85+(M49-8000)*0.02%),IF(AND(M49&gt;=5000,M49&lt;8000),(6.65+(M49-5000)*0.04%),IF(AND(M49&gt;=2000,M49&lt;5000),(4.25+(PM49-2000)*0.08%),IF(AND(M49&gt;=1000,M49&lt;2000),(2.75+(M49-1000)*0.15%),IF(AND(M49&gt;=100,M49&lt;1000),(0.5+(M49-100)*0.25%),IF(AND(M49&gt;0,M49&lt;100),M49*0.5%)))))))</f>
        <v>31.388500000000001</v>
      </c>
      <c r="M67" s="308">
        <f ca="1">ROUND(L67*0.9,1)</f>
        <v>28.2</v>
      </c>
      <c r="N67" s="2718"/>
      <c r="Z67" s="1888"/>
      <c r="AI67" s="1889"/>
    </row>
    <row r="68" spans="1:35" ht="14.25" customHeight="1" thickBot="1">
      <c r="A68" s="181" t="s">
        <v>593</v>
      </c>
      <c r="B68" s="182" t="s">
        <v>1836</v>
      </c>
      <c r="C68" s="2744">
        <f ca="1">IF(C67&lt;=0,0,ROUND(C67*D68,0))</f>
        <v>12644</v>
      </c>
      <c r="D68" s="2745">
        <f>'数据-取费表'!B41</f>
        <v>5.5000000000000007E-2</v>
      </c>
      <c r="E68" s="184"/>
      <c r="F68" s="1944"/>
      <c r="G68" s="1944"/>
      <c r="H68" s="1946"/>
      <c r="I68" s="134"/>
      <c r="J68" s="3439"/>
      <c r="K68" s="3235" t="s">
        <v>1837</v>
      </c>
      <c r="L68" s="3235">
        <f ca="1">IF(M49&gt;10000,M49*0.5%,IF(AND(M49&gt;5000,M49&lt;=10000),M49*1%,IF(AND(M49&gt;1000,M49&lt;=5000),M49*2%,IF(AND(M49&gt;200,M49&lt;=1000),M49*3%,M49*5%))))</f>
        <v>1206.925</v>
      </c>
      <c r="M68" s="308">
        <f ca="1">ROUND(L68,1)</f>
        <v>1206.9000000000001</v>
      </c>
      <c r="N68" s="2718"/>
      <c r="Z68" s="1888"/>
      <c r="AI68" s="1889"/>
    </row>
    <row r="69" spans="1:35" s="1908" customFormat="1" ht="16.5" customHeight="1">
      <c r="A69" s="1947"/>
      <c r="B69" s="1948"/>
      <c r="C69" s="1949"/>
      <c r="D69" s="1950"/>
      <c r="E69" s="1951"/>
      <c r="F69" s="1714"/>
      <c r="G69" s="1714"/>
      <c r="H69" s="1713"/>
      <c r="I69" s="1883"/>
      <c r="J69" s="3439"/>
      <c r="K69" s="3235" t="s">
        <v>1838</v>
      </c>
      <c r="L69" s="3235"/>
      <c r="M69" s="308">
        <f ca="1">ROUND(SUM(M63:M68),0)</f>
        <v>3891</v>
      </c>
      <c r="N69" s="2720">
        <f ca="1">M69/M49</f>
        <v>1.6119477183752097E-2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398" t="s">
        <v>1839</v>
      </c>
      <c r="B70" s="3399"/>
      <c r="C70" s="3399"/>
      <c r="D70" s="3399"/>
      <c r="E70" s="3399"/>
      <c r="F70" s="3399"/>
      <c r="G70" s="3399"/>
      <c r="H70" s="3399"/>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77" t="s">
        <v>1820</v>
      </c>
      <c r="B71" s="3378"/>
      <c r="C71" s="3244"/>
      <c r="D71" s="3244"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f ca="1">ROUND(D45/(1+'数据-取费表'!C42),0)</f>
        <v>229890</v>
      </c>
      <c r="D72" s="175" t="s">
        <v>32</v>
      </c>
      <c r="E72" s="3246"/>
      <c r="F72" s="3245"/>
      <c r="G72" s="3245"/>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f ca="1">C74+C78</f>
        <v>1149</v>
      </c>
      <c r="D73" s="175" t="s">
        <v>32</v>
      </c>
      <c r="E73" s="3246"/>
      <c r="F73" s="3245"/>
      <c r="G73" s="3245"/>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3246"/>
      <c r="F74" s="3245"/>
      <c r="G74" s="3245"/>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372" t="s">
        <v>1847</v>
      </c>
      <c r="F76" s="3346"/>
      <c r="G76" s="3346"/>
      <c r="H76" s="3397"/>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3234" t="s">
        <v>1849</v>
      </c>
      <c r="F77" s="192"/>
      <c r="G77" s="1958"/>
      <c r="H77" s="3247"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f ca="1">ROUND(D45*D78/(1+'数据-取费表'!C42),0)</f>
        <v>1149</v>
      </c>
      <c r="D78" s="2752">
        <f>'数据-取费表'!B43</f>
        <v>5.000000000000001E-3</v>
      </c>
      <c r="E78" s="3356" t="s">
        <v>1851</v>
      </c>
      <c r="F78" s="3357"/>
      <c r="G78" s="3357"/>
      <c r="H78" s="3366"/>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592</v>
      </c>
      <c r="B79" s="179" t="s">
        <v>1852</v>
      </c>
      <c r="C79" s="2743">
        <f ca="1">C72-C73</f>
        <v>228741</v>
      </c>
      <c r="D79" s="175" t="s">
        <v>32</v>
      </c>
      <c r="E79" s="3246"/>
      <c r="F79" s="3245"/>
      <c r="G79" s="3245"/>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f ca="1">IF(C79&lt;=0,0,C79/C73)</f>
        <v>199.07832898172325</v>
      </c>
      <c r="D80" s="175" t="s">
        <v>32</v>
      </c>
      <c r="E80" s="3234" t="str">
        <f ca="1">IF(C80&gt;=200%,"增值额超过扣除项目金额200%",IF(C80&gt;=100%,"增值额超过扣除项目金额100%，未超过200%",IF(C80&gt;=50%,"增值额超过扣除项目金额50%，未超过100%",IF(C80&lt;50%,"增值额未超过扣除项目金额50%"))))</f>
        <v>增值额超过扣除项目金额200%</v>
      </c>
      <c r="F80" s="3245"/>
      <c r="G80" s="3245"/>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f ca="1">ROUND(IF(C79&lt;=0,0,IF(C80&gt;=200%,C79*60%-C73*35%,IF(C80&gt;=100%,C79*50%-C73*15%,IF(C80&gt;=50%,C79*40%-C73*5%,IF(C80&lt;50%,C79*30%,0))))),0)</f>
        <v>136842</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98" t="s">
        <v>1855</v>
      </c>
      <c r="B83" s="3399"/>
      <c r="C83" s="3399"/>
      <c r="D83" s="3399"/>
      <c r="E83" s="3399"/>
      <c r="F83" s="3399"/>
      <c r="G83" s="3399"/>
      <c r="H83" s="3399"/>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77" t="s">
        <v>1820</v>
      </c>
      <c r="B84" s="3378"/>
      <c r="C84" s="3244"/>
      <c r="D84" s="3244"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f ca="1">ROUND(D45/(1+'数据-取费表'!C42),0)</f>
        <v>229890</v>
      </c>
      <c r="D85" s="175" t="s">
        <v>32</v>
      </c>
      <c r="E85" s="3246"/>
      <c r="F85" s="3245"/>
      <c r="G85" s="3245"/>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f ca="1">IF(H88="仅含出让金",C87+C90+C91+C92+C93+C94,C87+C91+C92+C93+C94)</f>
        <v>1149</v>
      </c>
      <c r="D86" s="2756"/>
      <c r="E86" s="3246"/>
      <c r="F86" s="3245"/>
      <c r="G86" s="3245"/>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3241"/>
      <c r="F87" s="3242"/>
      <c r="G87" s="3242"/>
      <c r="H87" s="3243"/>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3242"/>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3242"/>
      <c r="G89" s="3242"/>
      <c r="H89" s="3243"/>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3242"/>
      <c r="G90" s="3441" t="s">
        <v>2629</v>
      </c>
      <c r="H90" s="3442"/>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56" t="s">
        <v>1864</v>
      </c>
      <c r="F91" s="3357"/>
      <c r="G91" s="3357"/>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56" t="s">
        <v>1867</v>
      </c>
      <c r="F92" s="3357"/>
      <c r="G92" s="3357"/>
      <c r="H92" s="3366"/>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f ca="1">ROUND(D45*D93/(1+'数据-取费表'!C42),0)</f>
        <v>1149</v>
      </c>
      <c r="D93" s="2752">
        <f>'数据-取费表'!B43</f>
        <v>5.000000000000001E-3</v>
      </c>
      <c r="E93" s="3356" t="s">
        <v>1851</v>
      </c>
      <c r="F93" s="3357"/>
      <c r="G93" s="3357"/>
      <c r="H93" s="3366"/>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367" t="s">
        <v>1871</v>
      </c>
      <c r="F94" s="3368"/>
      <c r="G94" s="3368"/>
      <c r="H94" s="3369"/>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592</v>
      </c>
      <c r="B95" s="179" t="s">
        <v>1852</v>
      </c>
      <c r="C95" s="2743">
        <f ca="1">ROUND(C85-C86,0)</f>
        <v>228741</v>
      </c>
      <c r="D95" s="175" t="s">
        <v>32</v>
      </c>
      <c r="E95" s="3246"/>
      <c r="F95" s="3245"/>
      <c r="G95" s="3245"/>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f ca="1">IF(C95&lt;=0,0,C95/C86)</f>
        <v>199.07832898172325</v>
      </c>
      <c r="D96" s="175" t="s">
        <v>32</v>
      </c>
      <c r="E96" s="3234" t="str">
        <f ca="1">IF(C96&gt;=200%,"增值额超过扣除项目金额200%",IF(C96&gt;=100%,"增值额超过扣除项目金额100%，未超过200%",IF(C96&gt;=50%,"增值额超过扣除项目金额50%，未超过100%",IF(C96&lt;50%,"增值额未超过扣除项目金额50%"))))</f>
        <v>增值额超过扣除项目金额200%</v>
      </c>
      <c r="F96" s="3245"/>
      <c r="G96" s="3245"/>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f ca="1">ROUND(IF(C95&lt;=0,0,IF(C96&gt;=200%,C95*60%-C86*35%,IF(C96&gt;=100%,C95*50%-C86*15%,IF(C96&gt;=50%,C95*40%-C86*5%,IF(C96&lt;50%,C95*30%,0))))),0)</f>
        <v>136842</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4"/>
      <c r="F98" s="1714"/>
      <c r="G98" s="1714"/>
      <c r="H98" s="1713"/>
      <c r="I98" s="134"/>
    </row>
    <row r="99" spans="1:35" ht="21.75" customHeight="1" thickBot="1">
      <c r="A99" s="1936" t="s">
        <v>1872</v>
      </c>
      <c r="B99" s="1883"/>
      <c r="C99" s="1883"/>
      <c r="D99" s="1883"/>
      <c r="E99" s="1714"/>
      <c r="F99" s="1714"/>
      <c r="G99" s="1714"/>
      <c r="H99" s="1713"/>
      <c r="I99" s="134"/>
    </row>
    <row r="100" spans="1:35" ht="18.75" customHeight="1">
      <c r="A100" s="3340" t="s">
        <v>1873</v>
      </c>
      <c r="B100" s="3341"/>
      <c r="C100" s="3341"/>
      <c r="D100" s="3358"/>
      <c r="E100" s="3341" t="s">
        <v>1874</v>
      </c>
      <c r="F100" s="3341"/>
      <c r="G100" s="3341"/>
      <c r="H100" s="3358"/>
      <c r="I100" s="134"/>
    </row>
    <row r="101" spans="1:35" ht="18.75" customHeight="1">
      <c r="A101" s="3422" t="s">
        <v>1875</v>
      </c>
      <c r="B101" s="3423"/>
      <c r="C101" s="2760" t="str">
        <f>C4</f>
        <v>比较法-办公</v>
      </c>
      <c r="D101" s="2761" t="str">
        <f>D4</f>
        <v>收益法(办公)</v>
      </c>
      <c r="E101" s="3436" t="s">
        <v>1876</v>
      </c>
      <c r="F101" s="3390"/>
      <c r="G101" s="1963" t="s">
        <v>1877</v>
      </c>
      <c r="H101" s="2770">
        <f ca="1">H118</f>
        <v>241385</v>
      </c>
      <c r="I101" s="134"/>
    </row>
    <row r="102" spans="1:35" ht="18.75" customHeight="1">
      <c r="A102" s="3392" t="s">
        <v>1878</v>
      </c>
      <c r="B102" s="2759" t="s">
        <v>1877</v>
      </c>
      <c r="C102" s="2760">
        <f ca="1">C19</f>
        <v>282773</v>
      </c>
      <c r="D102" s="2761">
        <f ca="1">D19</f>
        <v>179302</v>
      </c>
      <c r="E102" s="3436"/>
      <c r="F102" s="3390"/>
      <c r="G102" s="1963" t="s">
        <v>1879</v>
      </c>
      <c r="H102" s="2730">
        <f ca="1">I118</f>
        <v>42682</v>
      </c>
      <c r="I102" s="134"/>
    </row>
    <row r="103" spans="1:35" ht="42.75" customHeight="1">
      <c r="A103" s="3392"/>
      <c r="B103" s="2759" t="s">
        <v>1879</v>
      </c>
      <c r="C103" s="2762">
        <f ca="1">C20</f>
        <v>50000</v>
      </c>
      <c r="D103" s="2763">
        <f ca="1">D20</f>
        <v>31704</v>
      </c>
      <c r="E103" s="3430" t="s">
        <v>1880</v>
      </c>
      <c r="F103" s="3431"/>
      <c r="G103" s="1964" t="s">
        <v>1881</v>
      </c>
      <c r="H103" s="2770">
        <f>IF(D36="正常操作",H104+H105+H106,H105+H106)</f>
        <v>0</v>
      </c>
      <c r="I103" s="134"/>
    </row>
    <row r="104" spans="1:35" ht="18.75" customHeight="1">
      <c r="A104" s="3392" t="s">
        <v>1882</v>
      </c>
      <c r="B104" s="2764" t="s">
        <v>1877</v>
      </c>
      <c r="C104" s="2765">
        <f ca="1">H118</f>
        <v>241385</v>
      </c>
      <c r="D104" s="2766"/>
      <c r="E104" s="1810" t="s">
        <v>1883</v>
      </c>
      <c r="F104" s="1802"/>
      <c r="G104" s="1964" t="s">
        <v>1881</v>
      </c>
      <c r="H104" s="2771">
        <f>IF(D36="同一抵押权人同一抵押物续贷",C36&amp;"（续贷，未扣减，详见特别提示）",C36)</f>
        <v>0</v>
      </c>
      <c r="I104" s="134"/>
    </row>
    <row r="105" spans="1:35" ht="18.75" customHeight="1" thickBot="1">
      <c r="A105" s="3393"/>
      <c r="B105" s="2767" t="s">
        <v>1879</v>
      </c>
      <c r="C105" s="2768">
        <f ca="1">I118</f>
        <v>42682</v>
      </c>
      <c r="D105" s="2769"/>
      <c r="E105" s="1810" t="s">
        <v>1884</v>
      </c>
      <c r="F105" s="1802"/>
      <c r="G105" s="1964" t="s">
        <v>1881</v>
      </c>
      <c r="H105" s="2772">
        <f>C37</f>
        <v>0</v>
      </c>
      <c r="I105" s="134"/>
    </row>
    <row r="106" spans="1:35" ht="18.75" customHeight="1">
      <c r="A106" s="1883" t="s">
        <v>1885</v>
      </c>
      <c r="B106" s="1883"/>
      <c r="C106" s="1883"/>
      <c r="D106" s="1883"/>
      <c r="E106" s="1965" t="s">
        <v>1886</v>
      </c>
      <c r="F106" s="1802"/>
      <c r="G106" s="1964" t="s">
        <v>1881</v>
      </c>
      <c r="H106" s="2772">
        <f>C38</f>
        <v>0</v>
      </c>
      <c r="I106" s="134"/>
    </row>
    <row r="107" spans="1:35" ht="18.75" customHeight="1">
      <c r="A107" s="134"/>
      <c r="B107" s="134"/>
      <c r="C107" s="134"/>
      <c r="D107" s="134"/>
      <c r="E107" s="3389" t="str">
        <f>IF(项目基本情况!E8="已注销","——","3.房地产抵押价值")</f>
        <v>3.房地产抵押价值</v>
      </c>
      <c r="F107" s="3390"/>
      <c r="G107" s="1963" t="s">
        <v>1877</v>
      </c>
      <c r="H107" s="2770">
        <f ca="1">IF(E107="——","——",H101-H103)</f>
        <v>241385</v>
      </c>
      <c r="I107" s="134"/>
    </row>
    <row r="108" spans="1:35" ht="18.75" customHeight="1">
      <c r="A108" s="134"/>
      <c r="B108" s="134"/>
      <c r="C108" s="134"/>
      <c r="D108" s="134"/>
      <c r="E108" s="3389"/>
      <c r="F108" s="3390"/>
      <c r="G108" s="1963" t="s">
        <v>1879</v>
      </c>
      <c r="H108" s="2730">
        <f ca="1">ROUND(H107*10000/'数据-汇总表'!E3,0)</f>
        <v>33708</v>
      </c>
      <c r="I108" s="134"/>
    </row>
    <row r="109" spans="1:35" ht="18.75" customHeight="1">
      <c r="A109" s="134"/>
      <c r="B109" s="134"/>
      <c r="C109" s="134"/>
      <c r="D109" s="134"/>
      <c r="E109" s="3389" t="str">
        <f>IF(项目基本情况!E8="已注销及未注销","4.抵押担保权已注销时的房地产抵押价值",IF(项目基本情况!E8="已注销","3.抵押担保权已注销时的房地产抵押价值","——"))</f>
        <v>——</v>
      </c>
      <c r="F109" s="3390"/>
      <c r="G109" s="1963" t="s">
        <v>1877</v>
      </c>
      <c r="H109" s="2773" t="str">
        <f>IF(E109="——","——",H101-H105-H106)</f>
        <v>——</v>
      </c>
      <c r="I109" s="134"/>
    </row>
    <row r="110" spans="1:35" ht="18.75" customHeight="1">
      <c r="A110" s="134"/>
      <c r="B110" s="134"/>
      <c r="C110" s="134"/>
      <c r="D110" s="134"/>
      <c r="E110" s="3389"/>
      <c r="F110" s="3390"/>
      <c r="G110" s="1963" t="s">
        <v>1879</v>
      </c>
      <c r="H110" s="2730" t="str">
        <f>IF(H109="——","——",ROUND(H109*10000/'数据-汇总表'!E3,0))</f>
        <v>——</v>
      </c>
      <c r="I110" s="134"/>
    </row>
    <row r="111" spans="1:35" ht="18.75" customHeight="1">
      <c r="A111" s="134"/>
      <c r="B111" s="134"/>
      <c r="C111" s="134"/>
      <c r="D111" s="134"/>
      <c r="E111" s="3424" t="str">
        <f>IF(项目基本情况!E9="抵押净值",IF(OR(项目基本情况!E8="已注销",项目基本情况!E8="房地产抵押价值"),"4.抵押净值","5.抵押净值"),"——")</f>
        <v>——</v>
      </c>
      <c r="F111" s="3391"/>
      <c r="G111" s="1963" t="s">
        <v>1877</v>
      </c>
      <c r="H111" s="2770" t="str">
        <f>IF(E111="——","——",N59)</f>
        <v>——</v>
      </c>
      <c r="I111" s="134"/>
    </row>
    <row r="112" spans="1:35" ht="18.75" customHeight="1" thickBot="1">
      <c r="A112" s="134"/>
      <c r="B112" s="134"/>
      <c r="C112" s="134"/>
      <c r="D112" s="134"/>
      <c r="E112" s="3425"/>
      <c r="F112" s="3426"/>
      <c r="G112" s="1966" t="s">
        <v>1879</v>
      </c>
      <c r="H112" s="2774" t="str">
        <f>IF(E111="——","——",N61)</f>
        <v>——</v>
      </c>
      <c r="I112" s="134"/>
    </row>
    <row r="113" spans="1:27" ht="18.75" customHeight="1">
      <c r="A113" s="134"/>
      <c r="B113" s="134"/>
      <c r="C113" s="134"/>
      <c r="D113" s="134"/>
      <c r="E113" s="3394" t="s">
        <v>1885</v>
      </c>
      <c r="F113" s="3394"/>
      <c r="G113" s="3394"/>
      <c r="H113" s="3394"/>
      <c r="I113" s="134"/>
    </row>
    <row r="114" spans="1:27" ht="3.75" customHeight="1">
      <c r="A114" s="1883"/>
      <c r="B114" s="1883"/>
      <c r="C114" s="1883"/>
      <c r="D114" s="1883"/>
      <c r="E114" s="1945"/>
      <c r="F114" s="1945"/>
      <c r="G114" s="1945"/>
      <c r="H114" s="1945"/>
      <c r="I114" s="1883"/>
    </row>
    <row r="115" spans="1:27" ht="18.75" customHeight="1">
      <c r="A115" s="3407" t="s">
        <v>1887</v>
      </c>
      <c r="B115" s="3408"/>
      <c r="C115" s="3408"/>
      <c r="D115" s="3408"/>
      <c r="E115" s="3408"/>
      <c r="F115" s="3408"/>
      <c r="G115" s="3408"/>
      <c r="H115" s="3408"/>
      <c r="I115" s="3409"/>
    </row>
    <row r="116" spans="1:27" ht="27" customHeight="1">
      <c r="A116" s="3360" t="s">
        <v>1888</v>
      </c>
      <c r="B116" s="3395" t="s">
        <v>1889</v>
      </c>
      <c r="C116" s="3395" t="s">
        <v>1890</v>
      </c>
      <c r="D116" s="3411" t="s">
        <v>1891</v>
      </c>
      <c r="E116" s="3412"/>
      <c r="F116" s="3403" t="s">
        <v>1892</v>
      </c>
      <c r="G116" s="3403"/>
      <c r="H116" s="3360" t="s">
        <v>1893</v>
      </c>
      <c r="I116" s="3360"/>
    </row>
    <row r="117" spans="1:27" ht="18.75" customHeight="1">
      <c r="A117" s="3360"/>
      <c r="B117" s="3396"/>
      <c r="C117" s="3396"/>
      <c r="D117" s="3237" t="s">
        <v>1894</v>
      </c>
      <c r="E117" s="3237" t="s">
        <v>1895</v>
      </c>
      <c r="F117" s="3237" t="s">
        <v>1894</v>
      </c>
      <c r="G117" s="3237" t="s">
        <v>1896</v>
      </c>
      <c r="H117" s="3237" t="s">
        <v>1894</v>
      </c>
      <c r="I117" s="3237" t="s">
        <v>1896</v>
      </c>
    </row>
    <row r="118" spans="1:27" ht="24.75" customHeight="1">
      <c r="A118" s="2775" t="str">
        <f>项目基本情况!S2</f>
        <v>北京市房地产</v>
      </c>
      <c r="B118" s="3237">
        <f>M18</f>
        <v>56554.499999999993</v>
      </c>
      <c r="C118" s="3237">
        <f>M19</f>
        <v>0</v>
      </c>
      <c r="D118" s="3237">
        <f ca="1">ROUND(IF(D32="总价",C34,E118*B118/10000),0)</f>
        <v>11345</v>
      </c>
      <c r="E118" s="3237">
        <f ca="1">ROUND(IF(C33="自定义",IF(D32="楼面单价",C34,D118*10000/B118),I118-G118),0)</f>
        <v>2006</v>
      </c>
      <c r="F118" s="3237">
        <f ca="1">ROUND(IF(D32="总价",C35,G118*B118/10000),0)</f>
        <v>230040</v>
      </c>
      <c r="G118" s="3237">
        <f ca="1">ROUND(IF(D32="楼面单价",C35,F118*10000/B118),0)</f>
        <v>40676</v>
      </c>
      <c r="H118" s="3237">
        <f ca="1">ROUND(IF(D32="总价",C32,I118*B118/10000),0)</f>
        <v>241385</v>
      </c>
      <c r="I118" s="3237">
        <f ca="1">ROUND(IF(D32="楼面单价",C32,H118*10000/B118),0)</f>
        <v>42682</v>
      </c>
    </row>
    <row r="119" spans="1:27" ht="18.75" customHeight="1">
      <c r="A119" s="3360" t="s">
        <v>1897</v>
      </c>
      <c r="B119" s="3360"/>
      <c r="C119" s="3360"/>
      <c r="D119" s="3400" t="str">
        <f ca="1">NUMBERSTRING(INT(D118*10000),2)&amp;"元整"</f>
        <v>壹亿壹仟叁佰肆拾伍万元整</v>
      </c>
      <c r="E119" s="3402"/>
      <c r="F119" s="3400" t="str">
        <f ca="1">NUMBERSTRING(INT(F118*10000),2)&amp;"元整"</f>
        <v>贰拾叁亿零肆拾万元整</v>
      </c>
      <c r="G119" s="3402"/>
      <c r="H119" s="3400" t="str">
        <f ca="1">NUMBERSTRING(INT(H118*10000),2)&amp;"元整"</f>
        <v>贰拾肆亿壹仟叁佰捌拾伍万元整</v>
      </c>
      <c r="I119" s="3402"/>
    </row>
    <row r="120" spans="1:27" ht="18.75" customHeight="1">
      <c r="A120" s="3427" t="str">
        <f>IF(项目基本情况!B9="房地产市场价值","",MID(E103,3,LEN(E103)-2))</f>
        <v>估价师知悉的法定优先受偿款</v>
      </c>
      <c r="B120" s="3428"/>
      <c r="C120" s="3429"/>
      <c r="D120" s="3427">
        <f>H103</f>
        <v>0</v>
      </c>
      <c r="E120" s="3428"/>
      <c r="F120" s="3428"/>
      <c r="G120" s="3428"/>
      <c r="H120" s="3428"/>
      <c r="I120" s="3429"/>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04" t="s">
        <v>1897</v>
      </c>
      <c r="B121" s="3405"/>
      <c r="C121" s="3406"/>
      <c r="D121" s="3400" t="str">
        <f>IF(D120=0,"零元整",NUMBERSTRING(INT(D120*10000),2)&amp;"元整")</f>
        <v>零元整</v>
      </c>
      <c r="E121" s="3401"/>
      <c r="F121" s="3401"/>
      <c r="G121" s="3401"/>
      <c r="H121" s="3401"/>
      <c r="I121" s="3402"/>
      <c r="AA121" s="734"/>
    </row>
    <row r="122" spans="1:27" ht="18.75" customHeight="1">
      <c r="A122" s="3391" t="str">
        <f>IF(项目基本情况!B9="房地产市场价值","",MID(E107,3,LEN(E107)-2))</f>
        <v>房地产抵押价值</v>
      </c>
      <c r="B122" s="3391"/>
      <c r="C122" s="3391"/>
      <c r="D122" s="3427">
        <f ca="1">H107</f>
        <v>241385</v>
      </c>
      <c r="E122" s="3428"/>
      <c r="F122" s="3428"/>
      <c r="G122" s="3428"/>
      <c r="H122" s="3428"/>
      <c r="I122" s="3429"/>
      <c r="AA122" s="734"/>
    </row>
    <row r="123" spans="1:27" ht="18.75" customHeight="1">
      <c r="A123" s="3360" t="s">
        <v>1897</v>
      </c>
      <c r="B123" s="3360"/>
      <c r="C123" s="3360"/>
      <c r="D123" s="3400" t="str">
        <f ca="1">NUMBERSTRING(INT(D122*10000),2)&amp;"元整"</f>
        <v>贰拾肆亿壹仟叁佰捌拾伍万元整</v>
      </c>
      <c r="E123" s="3401"/>
      <c r="F123" s="3401"/>
      <c r="G123" s="3401"/>
      <c r="H123" s="3401"/>
      <c r="I123" s="3402"/>
      <c r="AA123" s="734"/>
    </row>
    <row r="124" spans="1:27" ht="18.75" customHeight="1">
      <c r="A124" s="3391" t="str">
        <f>IF(项目基本情况!B9="房地产市场价值","",MID(E109,3,LEN(E109)-2))</f>
        <v/>
      </c>
      <c r="B124" s="3391"/>
      <c r="C124" s="3391"/>
      <c r="D124" s="3427" t="str">
        <f>H109</f>
        <v>——</v>
      </c>
      <c r="E124" s="3428"/>
      <c r="F124" s="3428"/>
      <c r="G124" s="3428"/>
      <c r="H124" s="3428"/>
      <c r="I124" s="3429"/>
      <c r="AA124" s="734"/>
    </row>
    <row r="125" spans="1:27" ht="18.75" customHeight="1">
      <c r="A125" s="3360" t="s">
        <v>1897</v>
      </c>
      <c r="B125" s="3360"/>
      <c r="C125" s="3360"/>
      <c r="D125" s="3400" t="e">
        <f>NUMBERSTRING(INT(D124*10000),2)&amp;"元整"</f>
        <v>#VALUE!</v>
      </c>
      <c r="E125" s="3401"/>
      <c r="F125" s="3401"/>
      <c r="G125" s="3401"/>
      <c r="H125" s="3401"/>
      <c r="I125" s="3402"/>
      <c r="AA125" s="734"/>
    </row>
    <row r="126" spans="1:27" ht="18.75" customHeight="1">
      <c r="A126" s="3391" t="str">
        <f>IF(项目基本情况!B9="房地产市场价值","",MID(E111,3,LEN(E111)-2))</f>
        <v/>
      </c>
      <c r="B126" s="3391"/>
      <c r="C126" s="3391"/>
      <c r="D126" s="3427" t="str">
        <f>H111</f>
        <v>——</v>
      </c>
      <c r="E126" s="3428"/>
      <c r="F126" s="3428"/>
      <c r="G126" s="3428"/>
      <c r="H126" s="3428"/>
      <c r="I126" s="3429"/>
      <c r="AA126" s="734"/>
    </row>
    <row r="127" spans="1:27" ht="18.75" customHeight="1">
      <c r="A127" s="3360" t="s">
        <v>1897</v>
      </c>
      <c r="B127" s="3360"/>
      <c r="C127" s="3360"/>
      <c r="D127" s="3400" t="e">
        <f>NUMBERSTRING(INT(D126*10000),2)&amp;"元整"</f>
        <v>#VALUE!</v>
      </c>
      <c r="E127" s="3401"/>
      <c r="F127" s="3401"/>
      <c r="G127" s="3401"/>
      <c r="H127" s="3401"/>
      <c r="I127" s="3402"/>
      <c r="AA127" s="734"/>
    </row>
    <row r="128" spans="1:27" ht="21.75" customHeight="1">
      <c r="A128" s="3410" t="s">
        <v>1898</v>
      </c>
      <c r="B128" s="3410"/>
      <c r="C128" s="3410"/>
      <c r="D128" s="3410"/>
      <c r="E128" s="3410"/>
      <c r="F128" s="3410"/>
      <c r="G128" s="3410"/>
      <c r="H128" s="3410"/>
      <c r="I128" s="3410"/>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46" priority="10" stopIfTrue="1" operator="equal">
      <formula>25</formula>
    </cfRule>
  </conditionalFormatting>
  <conditionalFormatting sqref="C8:C9">
    <cfRule type="cellIs" dxfId="145" priority="9" stopIfTrue="1" operator="equal">
      <formula>15</formula>
    </cfRule>
  </conditionalFormatting>
  <conditionalFormatting sqref="C14:C16">
    <cfRule type="cellIs" dxfId="144" priority="8" stopIfTrue="1" operator="equal">
      <formula>30</formula>
    </cfRule>
  </conditionalFormatting>
  <conditionalFormatting sqref="D5:D7">
    <cfRule type="cellIs" dxfId="143" priority="7" stopIfTrue="1" operator="equal">
      <formula>25</formula>
    </cfRule>
  </conditionalFormatting>
  <conditionalFormatting sqref="D8:D9">
    <cfRule type="cellIs" dxfId="142" priority="6" stopIfTrue="1" operator="equal">
      <formula>15</formula>
    </cfRule>
  </conditionalFormatting>
  <conditionalFormatting sqref="C10:D13">
    <cfRule type="cellIs" dxfId="141" priority="5" stopIfTrue="1" operator="equal">
      <formula>15</formula>
    </cfRule>
  </conditionalFormatting>
  <conditionalFormatting sqref="D14:D16">
    <cfRule type="cellIs" dxfId="140" priority="4"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L53" sqref="L5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3" t="s">
        <v>2266</v>
      </c>
      <c r="C1" s="1345" t="s">
        <v>2110</v>
      </c>
      <c r="D1" s="1346" t="s">
        <v>27</v>
      </c>
      <c r="E1" s="1355"/>
      <c r="F1" s="2015" t="s">
        <v>3222</v>
      </c>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f>IF(C2="——",ROUND(C50*D3/10000,0),ROUND(C50*D3/10000,0)-D2)</f>
        <v>282773</v>
      </c>
      <c r="C2" s="2017" t="s">
        <v>70</v>
      </c>
      <c r="D2" s="1228" t="e">
        <f ca="1">SUMIF(INDIRECT("'"&amp;F2&amp;"'"&amp;"!A:A"),"承租人权益价值",INDIRECT("'"&amp;F2&amp;"'"&amp;"!c:c"))</f>
        <v>#REF!</v>
      </c>
      <c r="E2" s="2018" t="s">
        <v>1908</v>
      </c>
      <c r="F2" s="2019"/>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f>IF(C2="——",C50,ROUND(B2*10000/D3,0))</f>
        <v>50000</v>
      </c>
      <c r="C3" s="360" t="s">
        <v>2224</v>
      </c>
      <c r="D3" s="359">
        <f>IF(D1="",'数据-汇总表'!E3,SUMIF('数据-汇总表'!$C19:$C33,D1,'数据-汇总表'!$E19:$E33))</f>
        <v>56554.499999999993</v>
      </c>
      <c r="E3" s="2090"/>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490" t="s">
        <v>2226</v>
      </c>
      <c r="D4" s="3491"/>
      <c r="E4" s="3492" t="s">
        <v>2227</v>
      </c>
      <c r="F4" s="3493"/>
      <c r="G4" s="3490" t="s">
        <v>2228</v>
      </c>
      <c r="H4" s="3491"/>
      <c r="I4" s="3490" t="s">
        <v>2229</v>
      </c>
      <c r="J4" s="3491"/>
      <c r="K4" s="567" t="s">
        <v>2230</v>
      </c>
      <c r="L4" s="2893"/>
      <c r="M4" s="2894"/>
      <c r="N4" s="2894"/>
      <c r="O4" s="2894"/>
      <c r="P4" s="3524" t="s">
        <v>2231</v>
      </c>
      <c r="Q4" s="3525"/>
      <c r="R4" s="3528" t="s">
        <v>2227</v>
      </c>
      <c r="S4" s="3529"/>
      <c r="T4" s="3528" t="s">
        <v>2228</v>
      </c>
      <c r="U4" s="3529"/>
      <c r="V4" s="3530" t="s">
        <v>2229</v>
      </c>
      <c r="W4" s="3530"/>
      <c r="X4" s="2094"/>
      <c r="Y4" s="3528" t="s">
        <v>2231</v>
      </c>
      <c r="Z4" s="3529"/>
      <c r="AA4" s="3532" t="s">
        <v>2227</v>
      </c>
      <c r="AB4" s="3532" t="s">
        <v>2228</v>
      </c>
      <c r="AC4" s="3521" t="s">
        <v>2229</v>
      </c>
    </row>
    <row r="5" spans="1:29" ht="15">
      <c r="A5" s="364"/>
      <c r="B5" s="365"/>
      <c r="C5" s="3509" t="s">
        <v>2122</v>
      </c>
      <c r="D5" s="3510"/>
      <c r="E5" s="3516" t="s">
        <v>2123</v>
      </c>
      <c r="F5" s="3517"/>
      <c r="G5" s="3509" t="s">
        <v>2124</v>
      </c>
      <c r="H5" s="3510"/>
      <c r="I5" s="3509" t="s">
        <v>2125</v>
      </c>
      <c r="J5" s="3510"/>
      <c r="K5" s="567"/>
      <c r="L5" s="2893"/>
      <c r="M5" s="2894"/>
      <c r="N5" s="2894"/>
      <c r="O5" s="2894"/>
      <c r="P5" s="3526"/>
      <c r="Q5" s="3497"/>
      <c r="R5" s="3502"/>
      <c r="S5" s="3503"/>
      <c r="T5" s="3502"/>
      <c r="U5" s="3503"/>
      <c r="V5" s="3506"/>
      <c r="W5" s="3506"/>
      <c r="X5" s="1490"/>
      <c r="Y5" s="3502"/>
      <c r="Z5" s="3503"/>
      <c r="AA5" s="3488"/>
      <c r="AB5" s="3488"/>
      <c r="AC5" s="3522"/>
    </row>
    <row r="6" spans="1:29" ht="15.75" thickBot="1">
      <c r="A6" s="366"/>
      <c r="B6" s="367"/>
      <c r="C6" s="3507" t="s">
        <v>2126</v>
      </c>
      <c r="D6" s="3508"/>
      <c r="E6" s="3514" t="s">
        <v>2126</v>
      </c>
      <c r="F6" s="3515"/>
      <c r="G6" s="3507" t="s">
        <v>2126</v>
      </c>
      <c r="H6" s="3508"/>
      <c r="I6" s="3507" t="s">
        <v>2126</v>
      </c>
      <c r="J6" s="3508"/>
      <c r="K6" s="567" t="s">
        <v>2127</v>
      </c>
      <c r="L6" s="2893"/>
      <c r="M6" s="2894"/>
      <c r="N6" s="2894"/>
      <c r="O6" s="2894"/>
      <c r="P6" s="3527"/>
      <c r="Q6" s="3499"/>
      <c r="R6" s="3502"/>
      <c r="S6" s="3503"/>
      <c r="T6" s="3504"/>
      <c r="U6" s="3505"/>
      <c r="V6" s="3506"/>
      <c r="W6" s="3506"/>
      <c r="X6" s="1490"/>
      <c r="Y6" s="3504"/>
      <c r="Z6" s="3505"/>
      <c r="AA6" s="3489"/>
      <c r="AB6" s="3489"/>
      <c r="AC6" s="3523"/>
    </row>
    <row r="7" spans="1:29" s="113" customFormat="1" ht="15.75" thickBot="1">
      <c r="A7" s="368" t="s">
        <v>2128</v>
      </c>
      <c r="B7" s="369"/>
      <c r="C7" s="370">
        <f>'数据-取费表'!B2</f>
        <v>44769</v>
      </c>
      <c r="D7" s="371">
        <v>100</v>
      </c>
      <c r="E7" s="372">
        <f>C7</f>
        <v>44769</v>
      </c>
      <c r="F7" s="373">
        <f>SUMIF(59:59,YEAR(E7)&amp;"-"&amp;MONTH(E7),60:60)</f>
        <v>100</v>
      </c>
      <c r="G7" s="372">
        <f>C7</f>
        <v>44769</v>
      </c>
      <c r="H7" s="371">
        <f>SUMIF(59:59,YEAR(G7)&amp;"-"&amp;MONTH(G7),60:60)</f>
        <v>100</v>
      </c>
      <c r="I7" s="372">
        <f>C7</f>
        <v>44769</v>
      </c>
      <c r="J7" s="371">
        <f>SUMIF(59:59,YEAR(I7)&amp;"-"&amp;MONTH(I7),60:60)</f>
        <v>100</v>
      </c>
      <c r="K7" s="568"/>
      <c r="L7" s="2895"/>
      <c r="M7" s="2896"/>
      <c r="N7" s="2896"/>
      <c r="O7" s="2896"/>
      <c r="P7" s="3531" t="s">
        <v>2129</v>
      </c>
      <c r="Q7" s="3513"/>
      <c r="R7" s="710" t="s">
        <v>17</v>
      </c>
      <c r="S7" s="711">
        <f t="shared" ref="S7:S15" si="0">F7</f>
        <v>100</v>
      </c>
      <c r="T7" s="710" t="s">
        <v>17</v>
      </c>
      <c r="U7" s="711">
        <f t="shared" ref="U7:U15" si="1">H7</f>
        <v>100</v>
      </c>
      <c r="V7" s="710" t="s">
        <v>17</v>
      </c>
      <c r="W7" s="711">
        <f t="shared" ref="W7:W15" si="2">J7</f>
        <v>100</v>
      </c>
      <c r="X7" s="712"/>
      <c r="Y7" s="3511" t="s">
        <v>2129</v>
      </c>
      <c r="Z7" s="3512"/>
      <c r="AA7" s="713">
        <f>D7/F7</f>
        <v>1</v>
      </c>
      <c r="AB7" s="713">
        <f>D7/H7</f>
        <v>1</v>
      </c>
      <c r="AC7" s="2095">
        <f>D7/J7</f>
        <v>1</v>
      </c>
    </row>
    <row r="8" spans="1:29" s="113" customFormat="1" ht="15.75" thickBot="1">
      <c r="A8" s="368" t="s">
        <v>2130</v>
      </c>
      <c r="B8" s="369"/>
      <c r="C8" s="374" t="s">
        <v>2232</v>
      </c>
      <c r="D8" s="371">
        <v>100</v>
      </c>
      <c r="E8" s="374" t="s">
        <v>2167</v>
      </c>
      <c r="F8" s="373">
        <f>SUMIF(62:62,E8,63:63)-SUMIF(62:62,C8,63:63)+100</f>
        <v>100</v>
      </c>
      <c r="G8" s="374" t="s">
        <v>2167</v>
      </c>
      <c r="H8" s="371">
        <f>SUMIF(62:62,G8,63:63)-SUMIF(62:62,C8,63:63)+100</f>
        <v>100</v>
      </c>
      <c r="I8" s="374" t="s">
        <v>2167</v>
      </c>
      <c r="J8" s="371">
        <f>SUMIF(62:62,I8,63:63)-SUMIF(62:62,C8,63:63)+100</f>
        <v>100</v>
      </c>
      <c r="K8" s="568"/>
      <c r="L8" s="2895"/>
      <c r="M8" s="2896"/>
      <c r="N8" s="2896"/>
      <c r="O8" s="2896"/>
      <c r="P8" s="3531" t="s">
        <v>2132</v>
      </c>
      <c r="Q8" s="3512"/>
      <c r="R8" s="710" t="s">
        <v>17</v>
      </c>
      <c r="S8" s="711">
        <f t="shared" si="0"/>
        <v>100</v>
      </c>
      <c r="T8" s="710" t="s">
        <v>17</v>
      </c>
      <c r="U8" s="711">
        <f t="shared" si="1"/>
        <v>100</v>
      </c>
      <c r="V8" s="710" t="s">
        <v>17</v>
      </c>
      <c r="W8" s="711">
        <f t="shared" si="2"/>
        <v>100</v>
      </c>
      <c r="X8" s="712"/>
      <c r="Y8" s="3511" t="s">
        <v>2132</v>
      </c>
      <c r="Z8" s="3512"/>
      <c r="AA8" s="713">
        <f t="shared" ref="AA8:AA47" si="3">D8/F8</f>
        <v>1</v>
      </c>
      <c r="AB8" s="713">
        <f t="shared" ref="AB8:AB47" si="4">D8/H8</f>
        <v>1</v>
      </c>
      <c r="AC8" s="2095">
        <f t="shared" ref="AC8:AC47" si="5">D8/J8</f>
        <v>1</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86" t="s">
        <v>2135</v>
      </c>
      <c r="Q9" s="1478" t="str">
        <f t="shared" ref="Q9:Q15" si="6">B9</f>
        <v>用途</v>
      </c>
      <c r="R9" s="710" t="s">
        <v>17</v>
      </c>
      <c r="S9" s="711">
        <f t="shared" si="0"/>
        <v>100</v>
      </c>
      <c r="T9" s="710" t="s">
        <v>17</v>
      </c>
      <c r="U9" s="711">
        <f t="shared" si="1"/>
        <v>100</v>
      </c>
      <c r="V9" s="710" t="s">
        <v>17</v>
      </c>
      <c r="W9" s="711">
        <f t="shared" si="2"/>
        <v>100</v>
      </c>
      <c r="X9" s="712"/>
      <c r="Y9" s="3347" t="s">
        <v>2136</v>
      </c>
      <c r="Z9" s="55" t="str">
        <f t="shared" ref="Z9:Z15" si="7">Q9</f>
        <v>用途</v>
      </c>
      <c r="AA9" s="713">
        <f t="shared" si="3"/>
        <v>1</v>
      </c>
      <c r="AB9" s="713">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86"/>
      <c r="Q10" s="1478" t="str">
        <f t="shared" si="6"/>
        <v>土地使用年限（年）</v>
      </c>
      <c r="R10" s="710" t="s">
        <v>17</v>
      </c>
      <c r="S10" s="711">
        <f t="shared" si="0"/>
        <v>100</v>
      </c>
      <c r="T10" s="710" t="s">
        <v>17</v>
      </c>
      <c r="U10" s="711">
        <f t="shared" si="1"/>
        <v>100</v>
      </c>
      <c r="V10" s="710" t="s">
        <v>17</v>
      </c>
      <c r="W10" s="711">
        <f t="shared" si="2"/>
        <v>100</v>
      </c>
      <c r="X10" s="712"/>
      <c r="Y10" s="3347"/>
      <c r="Z10" s="55" t="str">
        <f t="shared" si="7"/>
        <v>土地使用年限（年）</v>
      </c>
      <c r="AA10" s="713">
        <f t="shared" si="3"/>
        <v>1</v>
      </c>
      <c r="AB10" s="713">
        <f t="shared" si="4"/>
        <v>1</v>
      </c>
      <c r="AC10" s="2095">
        <f t="shared" si="5"/>
        <v>1</v>
      </c>
    </row>
    <row r="11" spans="1:29" ht="15">
      <c r="A11" s="387"/>
      <c r="B11" s="381" t="s">
        <v>2138</v>
      </c>
      <c r="C11" s="388"/>
      <c r="D11" s="132">
        <v>100</v>
      </c>
      <c r="E11" s="388"/>
      <c r="F11" s="132">
        <f>LOOKUP(E11,69:69,70:70)-LOOKUP(C11,69:69,70:70)+100</f>
        <v>100</v>
      </c>
      <c r="G11" s="389"/>
      <c r="H11" s="132">
        <f>LOOKUP(G11,69:69,70:70)-LOOKUP(C11,69:69,70:70)+100</f>
        <v>100</v>
      </c>
      <c r="I11" s="388"/>
      <c r="J11" s="132">
        <f>LOOKUP(I11,69:69,70:70)-LOOKUP(C11,69:69,70:70)+100</f>
        <v>100</v>
      </c>
      <c r="K11" s="569"/>
      <c r="L11" s="2899"/>
      <c r="M11" s="2894"/>
      <c r="N11" s="2894"/>
      <c r="O11" s="2894"/>
      <c r="P11" s="3486"/>
      <c r="Q11" s="1478" t="str">
        <f t="shared" si="6"/>
        <v>容积率</v>
      </c>
      <c r="R11" s="710" t="s">
        <v>17</v>
      </c>
      <c r="S11" s="711">
        <f t="shared" si="0"/>
        <v>100</v>
      </c>
      <c r="T11" s="710" t="s">
        <v>17</v>
      </c>
      <c r="U11" s="711">
        <f t="shared" si="1"/>
        <v>100</v>
      </c>
      <c r="V11" s="710" t="s">
        <v>17</v>
      </c>
      <c r="W11" s="711">
        <f t="shared" si="2"/>
        <v>100</v>
      </c>
      <c r="X11" s="712"/>
      <c r="Y11" s="3347"/>
      <c r="Z11" s="55" t="str">
        <f t="shared" si="7"/>
        <v>容积率</v>
      </c>
      <c r="AA11" s="713">
        <f t="shared" si="3"/>
        <v>1</v>
      </c>
      <c r="AB11" s="713">
        <f t="shared" si="4"/>
        <v>1</v>
      </c>
      <c r="AC11" s="2095">
        <f t="shared" si="5"/>
        <v>1</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86"/>
      <c r="Q12" s="1478">
        <f t="shared" si="6"/>
        <v>111</v>
      </c>
      <c r="R12" s="710" t="s">
        <v>17</v>
      </c>
      <c r="S12" s="711">
        <f t="shared" si="0"/>
        <v>100</v>
      </c>
      <c r="T12" s="710" t="s">
        <v>17</v>
      </c>
      <c r="U12" s="711">
        <f t="shared" si="1"/>
        <v>100</v>
      </c>
      <c r="V12" s="710" t="s">
        <v>17</v>
      </c>
      <c r="W12" s="711">
        <f t="shared" si="2"/>
        <v>100</v>
      </c>
      <c r="X12" s="712"/>
      <c r="Y12" s="3347"/>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86"/>
      <c r="Q13" s="1478">
        <f t="shared" si="6"/>
        <v>111</v>
      </c>
      <c r="R13" s="710" t="s">
        <v>17</v>
      </c>
      <c r="S13" s="711">
        <f t="shared" si="0"/>
        <v>100</v>
      </c>
      <c r="T13" s="710" t="s">
        <v>17</v>
      </c>
      <c r="U13" s="711">
        <f t="shared" si="1"/>
        <v>100</v>
      </c>
      <c r="V13" s="710" t="s">
        <v>17</v>
      </c>
      <c r="W13" s="711">
        <f t="shared" si="2"/>
        <v>100</v>
      </c>
      <c r="X13" s="712"/>
      <c r="Y13" s="3347"/>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86"/>
      <c r="Q14" s="1478">
        <f t="shared" si="6"/>
        <v>111</v>
      </c>
      <c r="R14" s="710" t="s">
        <v>17</v>
      </c>
      <c r="S14" s="711">
        <f t="shared" si="0"/>
        <v>100</v>
      </c>
      <c r="T14" s="710" t="s">
        <v>17</v>
      </c>
      <c r="U14" s="711">
        <f t="shared" si="1"/>
        <v>100</v>
      </c>
      <c r="V14" s="710" t="s">
        <v>17</v>
      </c>
      <c r="W14" s="711">
        <f t="shared" si="2"/>
        <v>100</v>
      </c>
      <c r="X14" s="712"/>
      <c r="Y14" s="3347"/>
      <c r="Z14" s="55">
        <f t="shared" si="7"/>
        <v>111</v>
      </c>
      <c r="AA14" s="713">
        <f t="shared" si="3"/>
        <v>1</v>
      </c>
      <c r="AB14" s="713">
        <f t="shared" si="4"/>
        <v>1</v>
      </c>
      <c r="AC14" s="2095">
        <f t="shared" si="5"/>
        <v>1</v>
      </c>
    </row>
    <row r="15" spans="1:29" ht="71.2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84" t="s">
        <v>2140</v>
      </c>
      <c r="Q15" s="1487" t="str">
        <f t="shared" si="6"/>
        <v>办公集聚程度</v>
      </c>
      <c r="R15" s="714" t="s">
        <v>17</v>
      </c>
      <c r="S15" s="715">
        <f t="shared" si="0"/>
        <v>100</v>
      </c>
      <c r="T15" s="714" t="s">
        <v>17</v>
      </c>
      <c r="U15" s="715">
        <f t="shared" si="1"/>
        <v>100</v>
      </c>
      <c r="V15" s="714" t="s">
        <v>17</v>
      </c>
      <c r="W15" s="715">
        <f t="shared" si="2"/>
        <v>100</v>
      </c>
      <c r="X15" s="1490"/>
      <c r="Y15" s="3477" t="s">
        <v>2140</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900"/>
      <c r="M16" s="2894"/>
      <c r="N16" s="2894"/>
      <c r="O16" s="2894"/>
      <c r="P16" s="3485"/>
      <c r="Q16" s="1487"/>
      <c r="R16" s="714"/>
      <c r="S16" s="715"/>
      <c r="T16" s="714"/>
      <c r="U16" s="715"/>
      <c r="V16" s="714"/>
      <c r="W16" s="715"/>
      <c r="X16" s="1490"/>
      <c r="Y16" s="3478"/>
      <c r="Z16" s="1491"/>
      <c r="AA16" s="1488">
        <v>1</v>
      </c>
      <c r="AB16" s="1488">
        <v>1</v>
      </c>
      <c r="AC16" s="2098">
        <v>1</v>
      </c>
    </row>
    <row r="17" spans="1:29" ht="71.2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85"/>
      <c r="Q17" s="1487" t="str">
        <f>B17</f>
        <v>交通便捷度</v>
      </c>
      <c r="R17" s="714" t="s">
        <v>17</v>
      </c>
      <c r="S17" s="715">
        <f>F17</f>
        <v>100</v>
      </c>
      <c r="T17" s="714" t="s">
        <v>17</v>
      </c>
      <c r="U17" s="715">
        <f>H17</f>
        <v>100</v>
      </c>
      <c r="V17" s="714" t="s">
        <v>17</v>
      </c>
      <c r="W17" s="715">
        <f>J17</f>
        <v>100</v>
      </c>
      <c r="X17" s="1490"/>
      <c r="Y17" s="3478"/>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900"/>
      <c r="M18" s="2894"/>
      <c r="N18" s="2894"/>
      <c r="O18" s="2894"/>
      <c r="P18" s="3485"/>
      <c r="Q18" s="1487"/>
      <c r="R18" s="714"/>
      <c r="S18" s="715"/>
      <c r="T18" s="714"/>
      <c r="U18" s="715"/>
      <c r="V18" s="714"/>
      <c r="W18" s="715"/>
      <c r="X18" s="1490"/>
      <c r="Y18" s="3478"/>
      <c r="Z18" s="1491"/>
      <c r="AA18" s="1488">
        <v>1</v>
      </c>
      <c r="AB18" s="1488">
        <v>1</v>
      </c>
      <c r="AC18" s="2098">
        <v>1</v>
      </c>
    </row>
    <row r="19" spans="1:29" ht="42.7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85"/>
      <c r="Q19" s="1487" t="str">
        <f>B19</f>
        <v>公共配套设施</v>
      </c>
      <c r="R19" s="714" t="s">
        <v>17</v>
      </c>
      <c r="S19" s="715">
        <f>F19</f>
        <v>100</v>
      </c>
      <c r="T19" s="714" t="s">
        <v>17</v>
      </c>
      <c r="U19" s="715">
        <f>H19</f>
        <v>100</v>
      </c>
      <c r="V19" s="714" t="s">
        <v>17</v>
      </c>
      <c r="W19" s="715">
        <f>J19</f>
        <v>100</v>
      </c>
      <c r="X19" s="1490"/>
      <c r="Y19" s="3478"/>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900"/>
      <c r="M20" s="2894"/>
      <c r="N20" s="2894"/>
      <c r="O20" s="2894"/>
      <c r="P20" s="3485"/>
      <c r="Q20" s="1487"/>
      <c r="R20" s="714"/>
      <c r="S20" s="715"/>
      <c r="T20" s="714"/>
      <c r="U20" s="715"/>
      <c r="V20" s="714"/>
      <c r="W20" s="715"/>
      <c r="X20" s="1490"/>
      <c r="Y20" s="3478"/>
      <c r="Z20" s="1491"/>
      <c r="AA20" s="1488">
        <v>1</v>
      </c>
      <c r="AB20" s="1488">
        <v>1</v>
      </c>
      <c r="AC20" s="2098">
        <v>1</v>
      </c>
    </row>
    <row r="21" spans="1:29" ht="28.5">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85"/>
      <c r="Q21" s="1487" t="str">
        <f>B21</f>
        <v>基础设施水平</v>
      </c>
      <c r="R21" s="714" t="s">
        <v>17</v>
      </c>
      <c r="S21" s="715">
        <f>F21</f>
        <v>100</v>
      </c>
      <c r="T21" s="714" t="s">
        <v>17</v>
      </c>
      <c r="U21" s="715">
        <f>H21</f>
        <v>100</v>
      </c>
      <c r="V21" s="714" t="s">
        <v>17</v>
      </c>
      <c r="W21" s="715">
        <f>J21</f>
        <v>100</v>
      </c>
      <c r="X21" s="1490"/>
      <c r="Y21" s="3478"/>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900"/>
      <c r="M22" s="2894"/>
      <c r="N22" s="2894"/>
      <c r="O22" s="2894"/>
      <c r="P22" s="3485"/>
      <c r="Q22" s="1487"/>
      <c r="R22" s="714"/>
      <c r="S22" s="715"/>
      <c r="T22" s="714"/>
      <c r="U22" s="715"/>
      <c r="V22" s="714"/>
      <c r="W22" s="715"/>
      <c r="X22" s="1490"/>
      <c r="Y22" s="3478"/>
      <c r="Z22" s="1491"/>
      <c r="AA22" s="1488">
        <v>1</v>
      </c>
      <c r="AB22" s="1488">
        <v>1</v>
      </c>
      <c r="AC22" s="2098">
        <v>1</v>
      </c>
    </row>
    <row r="23" spans="1:29" ht="42.7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85"/>
      <c r="Q23" s="1487" t="str">
        <f>B23</f>
        <v>环境质量</v>
      </c>
      <c r="R23" s="714" t="s">
        <v>17</v>
      </c>
      <c r="S23" s="715">
        <f>F23</f>
        <v>100</v>
      </c>
      <c r="T23" s="714" t="s">
        <v>17</v>
      </c>
      <c r="U23" s="715">
        <f>H23</f>
        <v>100</v>
      </c>
      <c r="V23" s="714" t="s">
        <v>17</v>
      </c>
      <c r="W23" s="715">
        <f>J23</f>
        <v>100</v>
      </c>
      <c r="X23" s="1490"/>
      <c r="Y23" s="3478"/>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900"/>
      <c r="M24" s="2894"/>
      <c r="N24" s="2894"/>
      <c r="O24" s="2894"/>
      <c r="P24" s="3485"/>
      <c r="Q24" s="1487"/>
      <c r="R24" s="714"/>
      <c r="S24" s="715"/>
      <c r="T24" s="714"/>
      <c r="U24" s="715"/>
      <c r="V24" s="714"/>
      <c r="W24" s="715"/>
      <c r="X24" s="1490"/>
      <c r="Y24" s="3478"/>
      <c r="Z24" s="1491"/>
      <c r="AA24" s="1488">
        <v>1</v>
      </c>
      <c r="AB24" s="1488">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485"/>
      <c r="Q25" s="1487" t="str">
        <f>B25</f>
        <v>毗邻道路的类型与等级</v>
      </c>
      <c r="R25" s="714" t="s">
        <v>17</v>
      </c>
      <c r="S25" s="715">
        <f>F25</f>
        <v>100</v>
      </c>
      <c r="T25" s="714" t="s">
        <v>17</v>
      </c>
      <c r="U25" s="715">
        <f>H25</f>
        <v>100</v>
      </c>
      <c r="V25" s="714" t="s">
        <v>17</v>
      </c>
      <c r="W25" s="715">
        <f>J25</f>
        <v>100</v>
      </c>
      <c r="X25" s="1490"/>
      <c r="Y25" s="3478"/>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900"/>
      <c r="M26" s="2894"/>
      <c r="N26" s="2894"/>
      <c r="O26" s="2894"/>
      <c r="P26" s="3485"/>
      <c r="Q26" s="1487"/>
      <c r="R26" s="714"/>
      <c r="S26" s="715"/>
      <c r="T26" s="714"/>
      <c r="U26" s="715"/>
      <c r="V26" s="714"/>
      <c r="W26" s="715"/>
      <c r="X26" s="1490"/>
      <c r="Y26" s="3478"/>
      <c r="Z26" s="1491"/>
      <c r="AA26" s="1488">
        <v>1</v>
      </c>
      <c r="AB26" s="1488">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485"/>
      <c r="Q27" s="1487" t="str">
        <f t="shared" ref="Q27:Q47" si="11">B27</f>
        <v>楼层</v>
      </c>
      <c r="R27" s="714" t="s">
        <v>17</v>
      </c>
      <c r="S27" s="715">
        <f>F27</f>
        <v>100</v>
      </c>
      <c r="T27" s="714" t="s">
        <v>17</v>
      </c>
      <c r="U27" s="715">
        <f>H27</f>
        <v>100</v>
      </c>
      <c r="V27" s="714" t="s">
        <v>17</v>
      </c>
      <c r="W27" s="715">
        <f>J27</f>
        <v>100</v>
      </c>
      <c r="X27" s="1490"/>
      <c r="Y27" s="3478"/>
      <c r="Z27" s="1491" t="str">
        <f>Q27</f>
        <v>楼层</v>
      </c>
      <c r="AA27" s="1488">
        <f t="shared" si="3"/>
        <v>1</v>
      </c>
      <c r="AB27" s="1488">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485"/>
      <c r="Q28" s="1478" t="str">
        <f t="shared" si="11"/>
        <v>朝向</v>
      </c>
      <c r="R28" s="710" t="s">
        <v>17</v>
      </c>
      <c r="S28" s="711">
        <f>F28</f>
        <v>100</v>
      </c>
      <c r="T28" s="710" t="s">
        <v>17</v>
      </c>
      <c r="U28" s="711">
        <f>H28</f>
        <v>100</v>
      </c>
      <c r="V28" s="710" t="s">
        <v>17</v>
      </c>
      <c r="W28" s="711">
        <f>J28</f>
        <v>100</v>
      </c>
      <c r="X28" s="712"/>
      <c r="Y28" s="3478"/>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485"/>
      <c r="Q29" s="1487">
        <f t="shared" si="11"/>
        <v>111</v>
      </c>
      <c r="R29" s="714" t="s">
        <v>17</v>
      </c>
      <c r="S29" s="715">
        <f t="shared" ref="S29:S47" si="12">F29</f>
        <v>100</v>
      </c>
      <c r="T29" s="714" t="s">
        <v>17</v>
      </c>
      <c r="U29" s="715">
        <f t="shared" ref="U29:U47" si="13">H29</f>
        <v>100</v>
      </c>
      <c r="V29" s="714" t="s">
        <v>17</v>
      </c>
      <c r="W29" s="715">
        <f t="shared" ref="W29:W47" si="14">J29</f>
        <v>100</v>
      </c>
      <c r="X29" s="1490"/>
      <c r="Y29" s="3478"/>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485"/>
      <c r="Q30" s="1487">
        <f t="shared" si="11"/>
        <v>111</v>
      </c>
      <c r="R30" s="714" t="s">
        <v>17</v>
      </c>
      <c r="S30" s="715">
        <f t="shared" si="12"/>
        <v>100</v>
      </c>
      <c r="T30" s="714" t="s">
        <v>17</v>
      </c>
      <c r="U30" s="715">
        <f t="shared" si="13"/>
        <v>100</v>
      </c>
      <c r="V30" s="714" t="s">
        <v>17</v>
      </c>
      <c r="W30" s="715">
        <f t="shared" si="14"/>
        <v>100</v>
      </c>
      <c r="X30" s="1490"/>
      <c r="Y30" s="3478"/>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485"/>
      <c r="Q31" s="1487">
        <f t="shared" si="11"/>
        <v>111</v>
      </c>
      <c r="R31" s="714" t="s">
        <v>17</v>
      </c>
      <c r="S31" s="715">
        <f t="shared" si="12"/>
        <v>100</v>
      </c>
      <c r="T31" s="714" t="s">
        <v>17</v>
      </c>
      <c r="U31" s="715">
        <f t="shared" si="13"/>
        <v>100</v>
      </c>
      <c r="V31" s="714" t="s">
        <v>17</v>
      </c>
      <c r="W31" s="715">
        <f t="shared" si="14"/>
        <v>100</v>
      </c>
      <c r="X31" s="1490"/>
      <c r="Y31" s="3478"/>
      <c r="Z31" s="1491">
        <f t="shared" si="15"/>
        <v>111</v>
      </c>
      <c r="AA31" s="1488">
        <f t="shared" si="3"/>
        <v>1</v>
      </c>
      <c r="AB31" s="1488">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485"/>
      <c r="Q32" s="1487">
        <f t="shared" si="11"/>
        <v>111</v>
      </c>
      <c r="R32" s="714" t="s">
        <v>17</v>
      </c>
      <c r="S32" s="715">
        <f t="shared" si="12"/>
        <v>100</v>
      </c>
      <c r="T32" s="714" t="s">
        <v>17</v>
      </c>
      <c r="U32" s="715">
        <f t="shared" si="13"/>
        <v>100</v>
      </c>
      <c r="V32" s="714" t="s">
        <v>17</v>
      </c>
      <c r="W32" s="715">
        <f t="shared" si="14"/>
        <v>100</v>
      </c>
      <c r="X32" s="1490"/>
      <c r="Y32" s="3478"/>
      <c r="Z32" s="1491">
        <f t="shared" si="15"/>
        <v>111</v>
      </c>
      <c r="AA32" s="1488">
        <f t="shared" si="3"/>
        <v>1</v>
      </c>
      <c r="AB32" s="1488">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479" t="s">
        <v>2145</v>
      </c>
      <c r="Q33" s="1487" t="str">
        <f t="shared" si="11"/>
        <v>建筑类型</v>
      </c>
      <c r="R33" s="714" t="s">
        <v>17</v>
      </c>
      <c r="S33" s="715">
        <f t="shared" si="12"/>
        <v>100</v>
      </c>
      <c r="T33" s="714" t="s">
        <v>17</v>
      </c>
      <c r="U33" s="715">
        <f t="shared" si="13"/>
        <v>100</v>
      </c>
      <c r="V33" s="714" t="s">
        <v>17</v>
      </c>
      <c r="W33" s="715">
        <f t="shared" si="14"/>
        <v>100</v>
      </c>
      <c r="X33" s="1490"/>
      <c r="Y33" s="3482" t="s">
        <v>2145</v>
      </c>
      <c r="Z33" s="1491" t="str">
        <f t="shared" si="15"/>
        <v>建筑类型</v>
      </c>
      <c r="AA33" s="1488">
        <f t="shared" si="3"/>
        <v>1</v>
      </c>
      <c r="AB33" s="1488">
        <f t="shared" si="4"/>
        <v>1</v>
      </c>
      <c r="AC33" s="2098">
        <f t="shared" si="5"/>
        <v>1</v>
      </c>
    </row>
    <row r="34" spans="1:29" s="430" customFormat="1" ht="15">
      <c r="A34" s="427"/>
      <c r="B34" s="381" t="s">
        <v>2146</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899"/>
      <c r="M34" s="2901"/>
      <c r="N34" s="2901"/>
      <c r="O34" s="2901"/>
      <c r="P34" s="3480"/>
      <c r="Q34" s="716" t="str">
        <f t="shared" si="11"/>
        <v>项目建筑规模</v>
      </c>
      <c r="R34" s="717" t="s">
        <v>17</v>
      </c>
      <c r="S34" s="718">
        <f t="shared" si="12"/>
        <v>100</v>
      </c>
      <c r="T34" s="717" t="s">
        <v>17</v>
      </c>
      <c r="U34" s="718">
        <f t="shared" si="13"/>
        <v>100</v>
      </c>
      <c r="V34" s="717" t="s">
        <v>17</v>
      </c>
      <c r="W34" s="718">
        <f t="shared" si="14"/>
        <v>100</v>
      </c>
      <c r="X34" s="719"/>
      <c r="Y34" s="3482"/>
      <c r="Z34" s="720" t="str">
        <f t="shared" si="15"/>
        <v>项目建筑规模</v>
      </c>
      <c r="AA34" s="1488">
        <f t="shared" si="3"/>
        <v>1</v>
      </c>
      <c r="AB34" s="1488">
        <f t="shared" si="4"/>
        <v>1</v>
      </c>
      <c r="AC34" s="2098">
        <f t="shared" si="5"/>
        <v>1</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80"/>
      <c r="Q35" s="1487" t="str">
        <f t="shared" si="11"/>
        <v>建筑结构</v>
      </c>
      <c r="R35" s="714" t="s">
        <v>17</v>
      </c>
      <c r="S35" s="715">
        <f t="shared" si="12"/>
        <v>100</v>
      </c>
      <c r="T35" s="714" t="s">
        <v>17</v>
      </c>
      <c r="U35" s="715">
        <f t="shared" si="13"/>
        <v>100</v>
      </c>
      <c r="V35" s="714" t="s">
        <v>17</v>
      </c>
      <c r="W35" s="715">
        <f t="shared" si="14"/>
        <v>100</v>
      </c>
      <c r="X35" s="1490"/>
      <c r="Y35" s="3482"/>
      <c r="Z35" s="1491" t="str">
        <f t="shared" si="15"/>
        <v>建筑结构</v>
      </c>
      <c r="AA35" s="1488">
        <f t="shared" si="3"/>
        <v>1</v>
      </c>
      <c r="AB35" s="1488">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80"/>
      <c r="Q36" s="1487" t="str">
        <f t="shared" si="11"/>
        <v>公共部分装修</v>
      </c>
      <c r="R36" s="714" t="s">
        <v>17</v>
      </c>
      <c r="S36" s="715">
        <f t="shared" si="12"/>
        <v>100</v>
      </c>
      <c r="T36" s="714" t="s">
        <v>17</v>
      </c>
      <c r="U36" s="715">
        <f t="shared" si="13"/>
        <v>100</v>
      </c>
      <c r="V36" s="714" t="s">
        <v>17</v>
      </c>
      <c r="W36" s="715">
        <f t="shared" si="14"/>
        <v>100</v>
      </c>
      <c r="X36" s="1490"/>
      <c r="Y36" s="3482"/>
      <c r="Z36" s="1491" t="str">
        <f t="shared" si="15"/>
        <v>公共部分装修</v>
      </c>
      <c r="AA36" s="1488">
        <f t="shared" si="3"/>
        <v>1</v>
      </c>
      <c r="AB36" s="1488">
        <f t="shared" si="4"/>
        <v>1</v>
      </c>
      <c r="AC36" s="2098">
        <f t="shared" si="5"/>
        <v>1</v>
      </c>
    </row>
    <row r="37" spans="1:29" ht="15">
      <c r="A37" s="431"/>
      <c r="B37" s="381" t="s">
        <v>2242</v>
      </c>
      <c r="C37" s="433">
        <f>'数据-取费表'!N8</f>
        <v>0.97</v>
      </c>
      <c r="D37" s="394">
        <v>100</v>
      </c>
      <c r="E37" s="433">
        <f>C37</f>
        <v>0.97</v>
      </c>
      <c r="F37" s="420">
        <f>LOOKUP(E37,111:111,112:112)-LOOKUP(C37,111:111,112:112)+100</f>
        <v>100</v>
      </c>
      <c r="G37" s="433">
        <f>C37</f>
        <v>0.97</v>
      </c>
      <c r="H37" s="420">
        <f>LOOKUP(G37,111:111,112:112)-LOOKUP(C37,111:111,112:112)+100</f>
        <v>100</v>
      </c>
      <c r="I37" s="433">
        <f>C37</f>
        <v>0.97</v>
      </c>
      <c r="J37" s="394">
        <f>LOOKUP(I37,111:111,112:112)-LOOKUP(C37,111:111,112:112)+100</f>
        <v>100</v>
      </c>
      <c r="K37" s="569"/>
      <c r="L37" s="2900"/>
      <c r="M37" s="2894"/>
      <c r="N37" s="2894"/>
      <c r="O37" s="2894"/>
      <c r="P37" s="3480"/>
      <c r="Q37" s="1487" t="str">
        <f t="shared" si="11"/>
        <v>成新度</v>
      </c>
      <c r="R37" s="714" t="s">
        <v>17</v>
      </c>
      <c r="S37" s="715">
        <f t="shared" si="12"/>
        <v>100</v>
      </c>
      <c r="T37" s="714" t="s">
        <v>17</v>
      </c>
      <c r="U37" s="715">
        <f t="shared" si="13"/>
        <v>100</v>
      </c>
      <c r="V37" s="714" t="s">
        <v>17</v>
      </c>
      <c r="W37" s="715">
        <f t="shared" si="14"/>
        <v>100</v>
      </c>
      <c r="X37" s="1490"/>
      <c r="Y37" s="3482"/>
      <c r="Z37" s="1491" t="str">
        <f t="shared" si="15"/>
        <v>成新度</v>
      </c>
      <c r="AA37" s="1488">
        <f t="shared" si="3"/>
        <v>1</v>
      </c>
      <c r="AB37" s="1488">
        <f t="shared" si="4"/>
        <v>1</v>
      </c>
      <c r="AC37" s="2098">
        <f t="shared" si="5"/>
        <v>1</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80"/>
      <c r="Q38" s="1478" t="str">
        <f t="shared" si="11"/>
        <v>写字楼等级</v>
      </c>
      <c r="R38" s="710" t="s">
        <v>17</v>
      </c>
      <c r="S38" s="711">
        <f t="shared" si="12"/>
        <v>100</v>
      </c>
      <c r="T38" s="710" t="s">
        <v>17</v>
      </c>
      <c r="U38" s="711">
        <f t="shared" si="13"/>
        <v>100</v>
      </c>
      <c r="V38" s="710" t="s">
        <v>17</v>
      </c>
      <c r="W38" s="711">
        <f t="shared" si="14"/>
        <v>100</v>
      </c>
      <c r="X38" s="712"/>
      <c r="Y38" s="3482"/>
      <c r="Z38" s="55" t="str">
        <f t="shared" si="15"/>
        <v>写字楼等级</v>
      </c>
      <c r="AA38" s="713">
        <f t="shared" si="3"/>
        <v>1</v>
      </c>
      <c r="AB38" s="713">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80" t="s">
        <v>2145</v>
      </c>
      <c r="Q39" s="1487" t="str">
        <f t="shared" si="11"/>
        <v>物业管理</v>
      </c>
      <c r="R39" s="714" t="s">
        <v>17</v>
      </c>
      <c r="S39" s="715">
        <f t="shared" si="12"/>
        <v>100</v>
      </c>
      <c r="T39" s="714" t="s">
        <v>17</v>
      </c>
      <c r="U39" s="715">
        <f t="shared" si="13"/>
        <v>100</v>
      </c>
      <c r="V39" s="714" t="s">
        <v>17</v>
      </c>
      <c r="W39" s="715">
        <f t="shared" si="14"/>
        <v>100</v>
      </c>
      <c r="X39" s="1490"/>
      <c r="Y39" s="3482" t="s">
        <v>2145</v>
      </c>
      <c r="Z39" s="1491" t="str">
        <f t="shared" si="15"/>
        <v>物业管理</v>
      </c>
      <c r="AA39" s="1488">
        <f t="shared" si="3"/>
        <v>1</v>
      </c>
      <c r="AB39" s="1488">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80"/>
      <c r="Q40" s="1487" t="str">
        <f t="shared" si="11"/>
        <v>市政基础设施</v>
      </c>
      <c r="R40" s="714" t="s">
        <v>17</v>
      </c>
      <c r="S40" s="715">
        <f t="shared" si="12"/>
        <v>100</v>
      </c>
      <c r="T40" s="714" t="s">
        <v>17</v>
      </c>
      <c r="U40" s="715">
        <f t="shared" si="13"/>
        <v>100</v>
      </c>
      <c r="V40" s="714" t="s">
        <v>17</v>
      </c>
      <c r="W40" s="715">
        <f t="shared" si="14"/>
        <v>100</v>
      </c>
      <c r="X40" s="1490"/>
      <c r="Y40" s="3482"/>
      <c r="Z40" s="1491" t="str">
        <f t="shared" si="15"/>
        <v>市政基础设施</v>
      </c>
      <c r="AA40" s="1488">
        <f t="shared" si="3"/>
        <v>1</v>
      </c>
      <c r="AB40" s="1488">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80"/>
      <c r="Q41" s="1487" t="str">
        <f t="shared" si="11"/>
        <v>层高</v>
      </c>
      <c r="R41" s="714" t="s">
        <v>17</v>
      </c>
      <c r="S41" s="715">
        <f t="shared" si="12"/>
        <v>100</v>
      </c>
      <c r="T41" s="714" t="s">
        <v>17</v>
      </c>
      <c r="U41" s="715">
        <f t="shared" si="13"/>
        <v>100</v>
      </c>
      <c r="V41" s="714" t="s">
        <v>17</v>
      </c>
      <c r="W41" s="715">
        <f t="shared" si="14"/>
        <v>100</v>
      </c>
      <c r="X41" s="1490"/>
      <c r="Y41" s="3482"/>
      <c r="Z41" s="1491" t="str">
        <f t="shared" si="15"/>
        <v>层高</v>
      </c>
      <c r="AA41" s="1488">
        <f t="shared" si="3"/>
        <v>1</v>
      </c>
      <c r="AB41" s="1488">
        <f t="shared" si="4"/>
        <v>1</v>
      </c>
      <c r="AC41" s="2098">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80"/>
      <c r="Q42" s="716" t="str">
        <f t="shared" si="11"/>
        <v>单套建筑面积</v>
      </c>
      <c r="R42" s="717" t="s">
        <v>17</v>
      </c>
      <c r="S42" s="718">
        <f t="shared" si="12"/>
        <v>100</v>
      </c>
      <c r="T42" s="717" t="s">
        <v>17</v>
      </c>
      <c r="U42" s="718">
        <f t="shared" si="13"/>
        <v>100</v>
      </c>
      <c r="V42" s="717" t="s">
        <v>17</v>
      </c>
      <c r="W42" s="718">
        <f t="shared" si="14"/>
        <v>100</v>
      </c>
      <c r="X42" s="719"/>
      <c r="Y42" s="3482"/>
      <c r="Z42" s="720" t="str">
        <f t="shared" si="15"/>
        <v>单套建筑面积</v>
      </c>
      <c r="AA42" s="1488">
        <f t="shared" si="3"/>
        <v>1</v>
      </c>
      <c r="AB42" s="1488">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80"/>
      <c r="Q43" s="1487" t="str">
        <f t="shared" si="11"/>
        <v>内部装修</v>
      </c>
      <c r="R43" s="714" t="s">
        <v>17</v>
      </c>
      <c r="S43" s="715">
        <f t="shared" si="12"/>
        <v>100</v>
      </c>
      <c r="T43" s="714" t="s">
        <v>17</v>
      </c>
      <c r="U43" s="715">
        <f t="shared" si="13"/>
        <v>100</v>
      </c>
      <c r="V43" s="714" t="s">
        <v>17</v>
      </c>
      <c r="W43" s="715">
        <f t="shared" si="14"/>
        <v>100</v>
      </c>
      <c r="X43" s="1490"/>
      <c r="Y43" s="3482"/>
      <c r="Z43" s="1491" t="str">
        <f t="shared" si="15"/>
        <v>内部装修</v>
      </c>
      <c r="AA43" s="1488">
        <f t="shared" si="3"/>
        <v>1</v>
      </c>
      <c r="AB43" s="1488">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480"/>
      <c r="Q44" s="1487" t="str">
        <f t="shared" si="11"/>
        <v>内部装修维护情况</v>
      </c>
      <c r="R44" s="714" t="s">
        <v>17</v>
      </c>
      <c r="S44" s="715">
        <f t="shared" si="12"/>
        <v>100</v>
      </c>
      <c r="T44" s="714" t="s">
        <v>17</v>
      </c>
      <c r="U44" s="715">
        <f t="shared" si="13"/>
        <v>100</v>
      </c>
      <c r="V44" s="714" t="s">
        <v>17</v>
      </c>
      <c r="W44" s="715">
        <f t="shared" si="14"/>
        <v>100</v>
      </c>
      <c r="X44" s="1490"/>
      <c r="Y44" s="3482"/>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80"/>
      <c r="Q45" s="1478">
        <f t="shared" si="11"/>
        <v>111</v>
      </c>
      <c r="R45" s="710" t="s">
        <v>17</v>
      </c>
      <c r="S45" s="711">
        <f t="shared" si="12"/>
        <v>100</v>
      </c>
      <c r="T45" s="710" t="s">
        <v>17</v>
      </c>
      <c r="U45" s="711">
        <f t="shared" si="13"/>
        <v>100</v>
      </c>
      <c r="V45" s="710" t="s">
        <v>17</v>
      </c>
      <c r="W45" s="711">
        <f t="shared" si="14"/>
        <v>100</v>
      </c>
      <c r="X45" s="712"/>
      <c r="Y45" s="3482"/>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80"/>
      <c r="Q46" s="1487">
        <f t="shared" si="11"/>
        <v>111</v>
      </c>
      <c r="R46" s="714" t="s">
        <v>17</v>
      </c>
      <c r="S46" s="715">
        <f t="shared" si="12"/>
        <v>100</v>
      </c>
      <c r="T46" s="714" t="s">
        <v>17</v>
      </c>
      <c r="U46" s="715">
        <f t="shared" si="13"/>
        <v>100</v>
      </c>
      <c r="V46" s="714" t="s">
        <v>17</v>
      </c>
      <c r="W46" s="715">
        <f t="shared" si="14"/>
        <v>100</v>
      </c>
      <c r="X46" s="1490"/>
      <c r="Y46" s="3482"/>
      <c r="Z46" s="1491">
        <f t="shared" si="15"/>
        <v>111</v>
      </c>
      <c r="AA46" s="1488">
        <f t="shared" si="3"/>
        <v>1</v>
      </c>
      <c r="AB46" s="1488">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81"/>
      <c r="Q47" s="1487">
        <f t="shared" si="11"/>
        <v>111</v>
      </c>
      <c r="R47" s="714" t="s">
        <v>17</v>
      </c>
      <c r="S47" s="715">
        <f t="shared" si="12"/>
        <v>100</v>
      </c>
      <c r="T47" s="714" t="s">
        <v>17</v>
      </c>
      <c r="U47" s="715">
        <f t="shared" si="13"/>
        <v>100</v>
      </c>
      <c r="V47" s="714" t="s">
        <v>17</v>
      </c>
      <c r="W47" s="715">
        <f t="shared" si="14"/>
        <v>100</v>
      </c>
      <c r="X47" s="1490"/>
      <c r="Y47" s="3483"/>
      <c r="Z47" s="1491">
        <f t="shared" si="15"/>
        <v>111</v>
      </c>
      <c r="AA47" s="1488">
        <f t="shared" si="3"/>
        <v>1</v>
      </c>
      <c r="AB47" s="1488">
        <f t="shared" si="4"/>
        <v>1</v>
      </c>
      <c r="AC47" s="2098">
        <f t="shared" si="5"/>
        <v>1</v>
      </c>
    </row>
    <row r="48" spans="1:29" ht="15">
      <c r="A48" s="438" t="s">
        <v>2157</v>
      </c>
      <c r="B48" s="439"/>
      <c r="C48" s="1269" t="s">
        <v>1</v>
      </c>
      <c r="D48" s="1270"/>
      <c r="E48" s="1271">
        <v>50000</v>
      </c>
      <c r="F48" s="1272"/>
      <c r="G48" s="1273">
        <f>E48</f>
        <v>50000</v>
      </c>
      <c r="H48" s="1274"/>
      <c r="I48" s="1271">
        <f>E48</f>
        <v>50000</v>
      </c>
      <c r="J48" s="444"/>
      <c r="K48" s="723"/>
      <c r="L48" s="2902"/>
      <c r="M48" s="2894"/>
      <c r="N48" s="2894"/>
      <c r="O48" s="2894"/>
      <c r="P48" s="3486" t="str">
        <f>A48</f>
        <v>成交单价（元/平方米）</v>
      </c>
      <c r="Q48" s="3475"/>
      <c r="R48" s="3476">
        <f>E48</f>
        <v>50000</v>
      </c>
      <c r="S48" s="3476"/>
      <c r="T48" s="3476">
        <f>G48</f>
        <v>50000</v>
      </c>
      <c r="U48" s="3476"/>
      <c r="V48" s="3476">
        <f>I48</f>
        <v>50000</v>
      </c>
      <c r="W48" s="3476"/>
      <c r="X48" s="405"/>
      <c r="Y48" s="721"/>
      <c r="Z48" s="405"/>
      <c r="AA48" s="405"/>
      <c r="AB48" s="405"/>
      <c r="AC48" s="586"/>
    </row>
    <row r="49" spans="1:29" ht="15.75" thickBot="1">
      <c r="A49" s="445" t="s">
        <v>2249</v>
      </c>
      <c r="B49" s="446"/>
      <c r="C49" s="1275">
        <f>R50</f>
        <v>50000</v>
      </c>
      <c r="D49" s="2488" t="s">
        <v>2638</v>
      </c>
      <c r="E49" s="1276">
        <f>R49</f>
        <v>50000</v>
      </c>
      <c r="F49" s="2489"/>
      <c r="G49" s="1275">
        <f>T49</f>
        <v>50000</v>
      </c>
      <c r="H49" s="2489"/>
      <c r="I49" s="1276">
        <f>V49</f>
        <v>50000</v>
      </c>
      <c r="J49" s="2489"/>
      <c r="K49" s="2491">
        <f>F49+H49+J49</f>
        <v>0</v>
      </c>
      <c r="L49" s="2902"/>
      <c r="M49" s="2894"/>
      <c r="N49" s="2894"/>
      <c r="O49" s="2894"/>
      <c r="P49" s="3486" t="str">
        <f>A49</f>
        <v>比较价值（元/平方米）</v>
      </c>
      <c r="Q49" s="3475"/>
      <c r="R49" s="3476">
        <f>IF(F1="售价",ROUND(PRODUCT(R48,AA7:AA47),0),ROUND(PRODUCT(R48,AA7:AA47),1))</f>
        <v>50000</v>
      </c>
      <c r="S49" s="3476"/>
      <c r="T49" s="3476">
        <f>IF(F1="售价",ROUND(PRODUCT(T48,AB7:AB47),0),ROUND(PRODUCT(T48,AB7:AB47),1))</f>
        <v>50000</v>
      </c>
      <c r="U49" s="3476"/>
      <c r="V49" s="3476">
        <f>IF(F1="售价",ROUND(PRODUCT(V48,AC7:AC47),0),ROUND(PRODUCT(V48,AC7:AC47),1))</f>
        <v>50000</v>
      </c>
      <c r="W49" s="3476"/>
      <c r="X49" s="405"/>
      <c r="Y49" s="405"/>
      <c r="Z49" s="405"/>
      <c r="AA49" s="405"/>
      <c r="AB49" s="405"/>
      <c r="AC49" s="586"/>
    </row>
    <row r="50" spans="1:29" ht="15.75" thickBot="1">
      <c r="A50" s="449" t="s">
        <v>2250</v>
      </c>
      <c r="B50" s="450"/>
      <c r="C50" s="1278">
        <f>R50</f>
        <v>50000</v>
      </c>
      <c r="D50" s="1278"/>
      <c r="E50" s="1278"/>
      <c r="F50" s="1278"/>
      <c r="G50" s="1278"/>
      <c r="H50" s="1278"/>
      <c r="I50" s="1278"/>
      <c r="J50" s="451"/>
      <c r="K50" s="724"/>
      <c r="L50" s="2902"/>
      <c r="M50" s="2894"/>
      <c r="N50" s="2894"/>
      <c r="O50" s="2894"/>
      <c r="P50" s="3518" t="str">
        <f>A50</f>
        <v>估价对象XX用房的比较价值（楼面单价，元/平方米）</v>
      </c>
      <c r="Q50" s="3519"/>
      <c r="R50" s="3520">
        <f>IF(F1="售价",ROUND(IF(D49="简单平均",AVERAGE(R49:V49),R49*F49+T49*H49+V49*J49),0),ROUND(IF(D49="简单平均",AVERAGE(R49:V49),R49*F49+T49*H49+V49*J49),1))</f>
        <v>50000</v>
      </c>
      <c r="S50" s="3520"/>
      <c r="T50" s="3520"/>
      <c r="U50" s="3520"/>
      <c r="V50" s="3520"/>
      <c r="W50" s="3520"/>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f>IF(E48&lt;E49,E49/E48-1,E48/E49-1)</f>
        <v>0</v>
      </c>
      <c r="F53" s="457" t="str">
        <f>IF(OR(E53&gt;=0.3,E53&lt;=-0.3),"超过30%","")</f>
        <v/>
      </c>
      <c r="G53" s="456">
        <f>IF(G48&lt;G49,G49/G48-1,G48/G49-1)</f>
        <v>0</v>
      </c>
      <c r="H53" s="457" t="str">
        <f>IF(OR(G53&gt;=0.3,G53&lt;=-0.3),"超过30%","")</f>
        <v/>
      </c>
      <c r="I53" s="456">
        <f>IF(I48&lt;I49,I49/I48-1,I48/I49-1)</f>
        <v>0</v>
      </c>
      <c r="J53" s="457"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f>IF(E49&lt;G49,G49/E49-1,E49/G49-1)</f>
        <v>0</v>
      </c>
      <c r="F54" s="457" t="str">
        <f>IF(OR(E54&gt;=0.2,E54&lt;=-0.2),"超过20%","")</f>
        <v/>
      </c>
      <c r="G54" s="456">
        <f>IF(G49&lt;I49,I49/G49-1,G49/I49-1)</f>
        <v>0</v>
      </c>
      <c r="H54" s="457" t="str">
        <f>IF(OR(G54&gt;=0.2,G54&lt;=-0.2),"超过20%","")</f>
        <v/>
      </c>
      <c r="I54" s="456">
        <f>IF(I49&lt;E49,E49/I49-1,I49/E49-1)</f>
        <v>0</v>
      </c>
      <c r="J54" s="457"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f>IF(E48&lt;G48,G48/E48-1,E48/G48-1)</f>
        <v>0</v>
      </c>
      <c r="F55" s="457" t="str">
        <f>IF(OR(E55&gt;=0.3,E55&lt;=-0.3),"超过30%","")</f>
        <v/>
      </c>
      <c r="G55" s="456">
        <f>IF(G48&lt;I48,I48/G48-1,G48/I48-1)</f>
        <v>0</v>
      </c>
      <c r="H55" s="457" t="str">
        <f>IF(OR(G55&gt;=0.3,G55&lt;=-0.3),"超过30%","")</f>
        <v/>
      </c>
      <c r="I55" s="456">
        <f>IF(I48&lt;E48,E48/I48-1,I48/E48-1)</f>
        <v>0</v>
      </c>
      <c r="J55" s="457"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9" t="str">
        <f>YEAR(C7)&amp;"-"&amp;MONTH(C7)</f>
        <v>2022-7</v>
      </c>
      <c r="D59" s="1300">
        <f>EDATE(C59,-1)</f>
        <v>44713</v>
      </c>
      <c r="E59" s="1300">
        <f>EDATE(D59,-1)</f>
        <v>44682</v>
      </c>
      <c r="F59" s="1300">
        <f t="shared" ref="F59:O59" si="16">EDATE(E59,-1)</f>
        <v>44652</v>
      </c>
      <c r="G59" s="1300">
        <f t="shared" si="16"/>
        <v>44621</v>
      </c>
      <c r="H59" s="1300">
        <f t="shared" si="16"/>
        <v>44593</v>
      </c>
      <c r="I59" s="1300">
        <f t="shared" si="16"/>
        <v>44562</v>
      </c>
      <c r="J59" s="1300">
        <f t="shared" si="16"/>
        <v>44531</v>
      </c>
      <c r="K59" s="1300">
        <f t="shared" si="16"/>
        <v>44501</v>
      </c>
      <c r="L59" s="1300">
        <f t="shared" si="16"/>
        <v>44470</v>
      </c>
      <c r="M59" s="1300">
        <f t="shared" si="16"/>
        <v>44440</v>
      </c>
      <c r="N59" s="1300">
        <f t="shared" si="16"/>
        <v>44409</v>
      </c>
      <c r="O59" s="1300">
        <f t="shared" si="16"/>
        <v>44378</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v>0</v>
      </c>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0(含)-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v>0</v>
      </c>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6" priority="20" stopIfTrue="1" operator="containsText" text="超过">
      <formula>NOT(ISERROR(SEARCH("超过",F53)))</formula>
    </cfRule>
  </conditionalFormatting>
  <conditionalFormatting sqref="H55">
    <cfRule type="containsText" dxfId="135" priority="19" stopIfTrue="1" operator="containsText" text="超过">
      <formula>NOT(ISERROR(SEARCH("超过",H55)))</formula>
    </cfRule>
  </conditionalFormatting>
  <conditionalFormatting sqref="F55">
    <cfRule type="containsText" dxfId="134" priority="18" stopIfTrue="1" operator="containsText" text="超过">
      <formula>NOT(ISERROR(SEARCH("超过",F55)))</formula>
    </cfRule>
  </conditionalFormatting>
  <conditionalFormatting sqref="F54 H54">
    <cfRule type="containsText" dxfId="133" priority="17" stopIfTrue="1" operator="containsText" text="超过">
      <formula>NOT(ISERROR(SEARCH("超过",F54)))</formula>
    </cfRule>
  </conditionalFormatting>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G55">
    <cfRule type="expression" dxfId="129" priority="13" stopIfTrue="1">
      <formula>$H$55="超过30%"</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J53">
    <cfRule type="containsText" dxfId="126" priority="10" stopIfTrue="1" operator="containsText" text="超过">
      <formula>NOT(ISERROR(SEARCH("超过",J53)))</formula>
    </cfRule>
  </conditionalFormatting>
  <conditionalFormatting sqref="J55">
    <cfRule type="containsText" dxfId="125" priority="9" stopIfTrue="1" operator="containsText" text="超过">
      <formula>NOT(ISERROR(SEARCH("超过",J55)))</formula>
    </cfRule>
  </conditionalFormatting>
  <conditionalFormatting sqref="J54">
    <cfRule type="containsText" dxfId="124" priority="8" stopIfTrue="1" operator="containsText" text="超过">
      <formula>NOT(ISERROR(SEARCH("超过",J54)))</formula>
    </cfRule>
  </conditionalFormatting>
  <conditionalFormatting sqref="I53">
    <cfRule type="expression" dxfId="123" priority="7" stopIfTrue="1">
      <formula>$J$53="超过30%"</formula>
    </cfRule>
  </conditionalFormatting>
  <conditionalFormatting sqref="I54">
    <cfRule type="expression" dxfId="122" priority="6" stopIfTrue="1">
      <formula>$J$53+$J$54="超过20%"</formula>
    </cfRule>
  </conditionalFormatting>
  <conditionalFormatting sqref="I55">
    <cfRule type="expression" dxfId="121" priority="5" stopIfTrue="1">
      <formula>$J$55="超过30%"</formula>
    </cfRule>
  </conditionalFormatting>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F7:F47 H7:H47 J7:J47">
    <cfRule type="cellIs" dxfId="1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27</v>
      </c>
      <c r="D1" s="1497" t="s">
        <v>70</v>
      </c>
      <c r="E1" s="1498" t="s">
        <v>1111</v>
      </c>
      <c r="F1" s="1174">
        <f ca="1">J53</f>
        <v>41.43</v>
      </c>
      <c r="G1" s="1513">
        <f>MATCH(C1,'数据-取费表'!A6:A16,0)+5</f>
        <v>8</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179302</v>
      </c>
      <c r="C2" s="1522" t="s">
        <v>1240</v>
      </c>
      <c r="D2" s="1522"/>
      <c r="E2" s="1523"/>
      <c r="F2" s="1524"/>
      <c r="G2" s="2884"/>
      <c r="H2" s="2873"/>
      <c r="I2" s="2873"/>
      <c r="J2" s="2873"/>
      <c r="K2" s="2874"/>
      <c r="L2" s="2873"/>
      <c r="M2" s="2873"/>
    </row>
    <row r="3" spans="1:37" ht="18" customHeight="1" thickBot="1">
      <c r="A3" s="1525" t="s">
        <v>1241</v>
      </c>
      <c r="B3" s="1526">
        <f ca="1">IF(ISERROR(B2*10000/F43),0,ROUND(B2*10000/F43,0))</f>
        <v>31704</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9301</v>
      </c>
      <c r="D5" s="1499" t="s">
        <v>1126</v>
      </c>
      <c r="E5" s="1184"/>
      <c r="F5" s="1185"/>
      <c r="G5" s="1519"/>
      <c r="H5" s="305">
        <v>1</v>
      </c>
      <c r="I5" s="306" t="s">
        <v>1125</v>
      </c>
      <c r="J5" s="1183">
        <f ca="1">J6+J10+J12</f>
        <v>0</v>
      </c>
      <c r="K5" s="1499" t="s">
        <v>1126</v>
      </c>
      <c r="L5" s="1184"/>
      <c r="M5" s="1185"/>
    </row>
    <row r="6" spans="1:37" ht="18" customHeight="1">
      <c r="A6" s="1182" t="s">
        <v>822</v>
      </c>
      <c r="B6" s="3448" t="s">
        <v>1127</v>
      </c>
      <c r="C6" s="1187">
        <f ca="1">ROUND(F6*F8*F7*(1-F9)/10000,0)</f>
        <v>9289</v>
      </c>
      <c r="D6" s="160" t="s">
        <v>2608</v>
      </c>
      <c r="E6" s="308" t="s">
        <v>1129</v>
      </c>
      <c r="F6" s="309">
        <f ca="1">INDIRECT("'数据-取费表'!u"&amp;$G$1)</f>
        <v>5</v>
      </c>
      <c r="G6" s="1519"/>
      <c r="H6" s="1182" t="s">
        <v>822</v>
      </c>
      <c r="I6" s="3448" t="s">
        <v>1127</v>
      </c>
      <c r="J6" s="307">
        <f ca="1">ROUND(M6*M8*M7*(1-M9)/10000,0)</f>
        <v>0</v>
      </c>
      <c r="K6" s="160" t="s">
        <v>2607</v>
      </c>
      <c r="L6" s="308" t="s">
        <v>1129</v>
      </c>
      <c r="M6" s="309">
        <f ca="1">INDIRECT("'数据-取费表'!z"&amp;$G$1)</f>
        <v>0</v>
      </c>
    </row>
    <row r="7" spans="1:37" ht="18" customHeight="1">
      <c r="A7" s="1186"/>
      <c r="B7" s="3449"/>
      <c r="C7" s="1188"/>
      <c r="D7" s="313"/>
      <c r="E7" s="3236" t="s">
        <v>1130</v>
      </c>
      <c r="F7" s="309">
        <f ca="1">IF(INDIRECT("'数据-取费表'!ah"&amp;$G$1)="",INDIRECT("'数据-取费表'!k"&amp;$G$1),INDIRECT("'数据-取费表'!ah"&amp;$G$1))</f>
        <v>56554.499999999993</v>
      </c>
      <c r="G7" s="1519"/>
      <c r="H7" s="310"/>
      <c r="I7" s="3449"/>
      <c r="J7" s="312"/>
      <c r="K7" s="313"/>
      <c r="L7" s="308" t="s">
        <v>1130</v>
      </c>
      <c r="M7" s="309">
        <f ca="1">F7</f>
        <v>56554.499999999993</v>
      </c>
    </row>
    <row r="8" spans="1:37" ht="18" customHeight="1">
      <c r="A8" s="310"/>
      <c r="B8" s="3449"/>
      <c r="C8" s="312"/>
      <c r="D8" s="313"/>
      <c r="E8" s="308" t="s">
        <v>1131</v>
      </c>
      <c r="F8" s="309">
        <f ca="1">INDIRECT("'数据-取费表'!ai"&amp;$G$1)</f>
        <v>365</v>
      </c>
      <c r="G8" s="1519"/>
      <c r="H8" s="310"/>
      <c r="I8" s="3449"/>
      <c r="J8" s="312"/>
      <c r="K8" s="313"/>
      <c r="L8" s="308" t="s">
        <v>1131</v>
      </c>
      <c r="M8" s="309">
        <f ca="1">INDIRECT("'数据-取费表'!ai"&amp;$G$1)</f>
        <v>365</v>
      </c>
    </row>
    <row r="9" spans="1:37" ht="18" customHeight="1">
      <c r="A9" s="310"/>
      <c r="B9" s="3450"/>
      <c r="C9" s="312"/>
      <c r="D9" s="313"/>
      <c r="E9" s="308" t="s">
        <v>1132</v>
      </c>
      <c r="F9" s="318">
        <f ca="1">INDIRECT("'数据-取费表'!w"&amp;$G$1)</f>
        <v>0.1</v>
      </c>
      <c r="G9" s="1519"/>
      <c r="H9" s="310"/>
      <c r="I9" s="3450"/>
      <c r="J9" s="312"/>
      <c r="K9" s="313"/>
      <c r="L9" s="319" t="s">
        <v>1132</v>
      </c>
      <c r="M9" s="320">
        <f ca="1">INDIRECT("'数据-取费表'!ab"&amp;$G$1)</f>
        <v>0</v>
      </c>
    </row>
    <row r="10" spans="1:37" ht="18" customHeight="1">
      <c r="A10" s="1182" t="s">
        <v>826</v>
      </c>
      <c r="B10" s="1500" t="s">
        <v>1133</v>
      </c>
      <c r="C10" s="322">
        <f ca="1">ROUND(IF(F10="押一",C6/12*F11,IF(F10="押二",C6/12*2*F11,IF(F10="押三",C6/12*3*F11,C11*F11))),0)</f>
        <v>12</v>
      </c>
      <c r="D10" s="1501" t="s">
        <v>2615</v>
      </c>
      <c r="E10" s="319" t="s">
        <v>1134</v>
      </c>
      <c r="F10" s="1229" t="s">
        <v>3218</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31919</v>
      </c>
      <c r="D13" s="3230" t="s">
        <v>1139</v>
      </c>
      <c r="E13" s="3230" t="s">
        <v>1140</v>
      </c>
      <c r="F13" s="1195">
        <f ca="1">INDIRECT("'数据-取费表'!y"&amp;$G$1)</f>
        <v>0.97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22622</v>
      </c>
      <c r="D14" s="3246" t="s">
        <v>1142</v>
      </c>
      <c r="E14" s="3245"/>
      <c r="F14" s="325"/>
      <c r="G14" s="1519"/>
      <c r="H14" s="1094" t="s">
        <v>822</v>
      </c>
      <c r="I14" s="308" t="s">
        <v>1143</v>
      </c>
      <c r="J14" s="24">
        <f ca="1">C29</f>
        <v>32906</v>
      </c>
      <c r="K14" s="3234"/>
      <c r="L14" s="897"/>
      <c r="M14" s="898"/>
    </row>
    <row r="15" spans="1:37" s="1532" customFormat="1" ht="18" customHeight="1" thickBot="1">
      <c r="A15" s="1094" t="s">
        <v>823</v>
      </c>
      <c r="B15" s="308" t="s">
        <v>1144</v>
      </c>
      <c r="C15" s="24">
        <f ca="1">ROUND(C14*F15,0)</f>
        <v>679</v>
      </c>
      <c r="D15" s="3231" t="s">
        <v>1145</v>
      </c>
      <c r="E15" s="3231"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770</v>
      </c>
      <c r="K16" s="1200" t="s">
        <v>1149</v>
      </c>
      <c r="L16" s="3250"/>
      <c r="M16" s="1185"/>
    </row>
    <row r="17" spans="1:37" s="1532" customFormat="1" ht="18" customHeight="1">
      <c r="A17" s="1094" t="s">
        <v>1114</v>
      </c>
      <c r="B17" s="308" t="s">
        <v>1150</v>
      </c>
      <c r="C17" s="24">
        <f ca="1">ROUND(F17*(F43+INDIRECT("'数据-取费表'!S"&amp;$G$1))/10000,0)</f>
        <v>1131</v>
      </c>
      <c r="D17" s="308" t="s">
        <v>1151</v>
      </c>
      <c r="E17" s="308" t="s">
        <v>1152</v>
      </c>
      <c r="F17" s="26">
        <f>'数据-取费表'!B35</f>
        <v>200</v>
      </c>
      <c r="G17" s="1531"/>
      <c r="H17" s="1094" t="s">
        <v>822</v>
      </c>
      <c r="I17" s="308" t="s">
        <v>1153</v>
      </c>
      <c r="J17" s="2484">
        <f ca="1">ROUND(IF(AND(项目基本情况!B11="自然人",项目基本情况!B10="北京市"),J6*M17/(1+'数据-取费表'!C42),J18+J19+J20),0)</f>
        <v>276</v>
      </c>
      <c r="K17" s="3246" t="s">
        <v>1154</v>
      </c>
      <c r="L17" s="324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339</v>
      </c>
      <c r="D18" s="308" t="s">
        <v>1145</v>
      </c>
      <c r="E18" s="308" t="s">
        <v>1146</v>
      </c>
      <c r="F18" s="328">
        <f>'数据-取费表'!B36</f>
        <v>1.4999999999999999E-2</v>
      </c>
      <c r="G18" s="1531"/>
      <c r="H18" s="1094" t="s">
        <v>821</v>
      </c>
      <c r="I18" s="308" t="s">
        <v>1157</v>
      </c>
      <c r="J18" s="24">
        <f ca="1">ROUND(J6*M18/(1+'数据-取费表'!C42),2)</f>
        <v>0</v>
      </c>
      <c r="K18" s="324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24771</v>
      </c>
      <c r="D19" s="136" t="s">
        <v>1160</v>
      </c>
      <c r="E19" s="3253"/>
      <c r="F19" s="26"/>
      <c r="G19" s="1519"/>
      <c r="H19" s="1094" t="s">
        <v>823</v>
      </c>
      <c r="I19" s="308" t="s">
        <v>1161</v>
      </c>
      <c r="J19" s="24">
        <f ca="1">IF(K19="按租金收入计税",ROUND(J6*M19/(1+'数据-取费表'!C42),2),ROUND(C29*M19*0.7,2))</f>
        <v>276.41000000000003</v>
      </c>
      <c r="K19" s="1505" t="s">
        <v>1162</v>
      </c>
      <c r="L19" s="308" t="s">
        <v>1146</v>
      </c>
      <c r="M19" s="328">
        <f>IF(K19="按租金收入计税",'数据-取费表'!B51,'数据-取费表'!B50)</f>
        <v>1.2E-2</v>
      </c>
    </row>
    <row r="20" spans="1:37" s="1532" customFormat="1" ht="18" customHeight="1">
      <c r="A20" s="1094" t="s">
        <v>826</v>
      </c>
      <c r="B20" s="308" t="s">
        <v>1163</v>
      </c>
      <c r="C20" s="24">
        <f ca="1">ROUND(C19*F20,0)</f>
        <v>495</v>
      </c>
      <c r="D20" s="329" t="s">
        <v>1164</v>
      </c>
      <c r="E20" s="308" t="s">
        <v>1146</v>
      </c>
      <c r="F20" s="328">
        <f>'数据-取费表'!B37</f>
        <v>0.02</v>
      </c>
      <c r="G20" s="1531"/>
      <c r="H20" s="1094" t="s">
        <v>1113</v>
      </c>
      <c r="I20" s="160" t="s">
        <v>1165</v>
      </c>
      <c r="J20" s="25">
        <f ca="1">ROUND(M20*M21/10000,2)</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53"/>
      <c r="F22" s="26"/>
      <c r="G22" s="1519"/>
      <c r="H22" s="1094" t="s">
        <v>826</v>
      </c>
      <c r="I22" s="308" t="s">
        <v>1173</v>
      </c>
      <c r="J22" s="24">
        <f ca="1">ROUND(J14*M22,1)</f>
        <v>493.6</v>
      </c>
      <c r="K22" s="324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1333</v>
      </c>
      <c r="D23" s="335" t="str">
        <f>IF(F23&lt;=1,"(建造成本+管理费用)×利率×(建设周期÷2)","(建造成本+管理费用)×((1+利率)^(建设周期÷2)-1)")</f>
        <v>(建造成本+管理费用)×((1+利率)^(建设周期÷2)-1)</v>
      </c>
      <c r="E23" s="308" t="s">
        <v>1176</v>
      </c>
      <c r="F23" s="331">
        <f>'数据-取费表'!B20</f>
        <v>2.5</v>
      </c>
      <c r="G23" s="1531"/>
      <c r="H23" s="1094" t="s">
        <v>862</v>
      </c>
      <c r="I23" s="308" t="s">
        <v>1177</v>
      </c>
      <c r="J23" s="24">
        <f ca="1">ROUND(J13*M23,1)</f>
        <v>0</v>
      </c>
      <c r="K23" s="3249" t="s">
        <v>1178</v>
      </c>
      <c r="L23" s="308" t="s">
        <v>1146</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823</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31"/>
      <c r="H24" s="1202" t="s">
        <v>1116</v>
      </c>
      <c r="I24" s="1203" t="s">
        <v>1163</v>
      </c>
      <c r="J24" s="1204">
        <f ca="1">ROUND(J5*M24,1)</f>
        <v>0</v>
      </c>
      <c r="K24" s="1205" t="s">
        <v>1183</v>
      </c>
      <c r="L24" s="1203" t="s">
        <v>1146</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3253"/>
      <c r="F25" s="26"/>
      <c r="G25" s="1519"/>
      <c r="H25" s="1192" t="s">
        <v>818</v>
      </c>
      <c r="I25" s="1207" t="s">
        <v>1187</v>
      </c>
      <c r="J25" s="316">
        <f ca="1">J5-J16</f>
        <v>-770</v>
      </c>
      <c r="K25" s="1208" t="s">
        <v>1188</v>
      </c>
      <c r="L25" s="1209"/>
      <c r="M25" s="1210"/>
    </row>
    <row r="26" spans="1:37">
      <c r="A26" s="1094" t="s">
        <v>821</v>
      </c>
      <c r="B26" s="308" t="s">
        <v>1189</v>
      </c>
      <c r="C26" s="24">
        <f ca="1">ROUND((C19+C20)*F26,0)</f>
        <v>3790</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31"/>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32906</v>
      </c>
      <c r="D29" s="1205"/>
      <c r="E29" s="1203"/>
      <c r="F29" s="1206"/>
      <c r="G29" s="1531"/>
      <c r="H29" s="340" t="s">
        <v>820</v>
      </c>
      <c r="I29" s="341" t="s">
        <v>1203</v>
      </c>
      <c r="J29" s="342">
        <f ca="1">ROUND(J26/(1+F40)^F41,0)</f>
        <v>0</v>
      </c>
      <c r="K29" s="343" t="s">
        <v>1204</v>
      </c>
      <c r="L29" s="344"/>
      <c r="M29" s="345">
        <f ca="1">INDIRECT("'数据-取费表'!k"&amp;$G$1)</f>
        <v>56554.499999999993</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2183</v>
      </c>
      <c r="D30" s="1200" t="s">
        <v>1149</v>
      </c>
      <c r="E30" s="3250"/>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1548</v>
      </c>
      <c r="D31" s="3246" t="s">
        <v>1154</v>
      </c>
      <c r="E31" s="3249" t="s">
        <v>1205</v>
      </c>
      <c r="F31" s="2483" t="str">
        <f>IF(项目基本情况!B11="企业","——",IF('数据-取费表'!B10="住宅",IF(F6*F7*F8/12/(1+'数据-取费表'!F30)&gt;100000,4%,2.5%),IF(F6*F7*F8/12/(1+'数据-取费表'!F30)&gt;100000,12%,7%)))</f>
        <v>——</v>
      </c>
      <c r="G31" s="1519"/>
      <c r="H31" s="2988" t="s">
        <v>2811</v>
      </c>
      <c r="I31" s="1533"/>
      <c r="J31" s="1534"/>
      <c r="K31" s="2650"/>
      <c r="L31" s="2876"/>
      <c r="M31" s="2877"/>
    </row>
    <row r="32" spans="1:37" ht="18" customHeight="1">
      <c r="A32" s="1094" t="s">
        <v>821</v>
      </c>
      <c r="B32" s="308" t="s">
        <v>1157</v>
      </c>
      <c r="C32" s="24">
        <f ca="1">IF(项目基本情况!B11="自然人","——",ROUND(C6*F32/(1+'数据-取费表'!C42),2))</f>
        <v>486.57</v>
      </c>
      <c r="D32" s="3249" t="s">
        <v>1158</v>
      </c>
      <c r="E32" s="308" t="s">
        <v>1146</v>
      </c>
      <c r="F32" s="337">
        <f>'数据-取费表'!B41</f>
        <v>5.5000000000000007E-2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1061.5999999999999</v>
      </c>
      <c r="D33" s="1505" t="s">
        <v>3219</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0</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ROUND(C29*F36,1)</f>
        <v>493.6</v>
      </c>
      <c r="D36" s="3249" t="s">
        <v>1206</v>
      </c>
      <c r="E36" s="308" t="s">
        <v>1146</v>
      </c>
      <c r="F36" s="334">
        <f ca="1">INDIRECT("'数据-取费表'!Ak"&amp;$G$1)</f>
        <v>1.4999999999999999E-2</v>
      </c>
      <c r="G36" s="1519"/>
      <c r="H36" s="2878"/>
      <c r="I36" s="1533"/>
      <c r="J36" s="1534"/>
      <c r="K36" s="2719"/>
      <c r="L36" s="2878"/>
      <c r="M36" s="2878"/>
    </row>
    <row r="37" spans="1:18" ht="18" customHeight="1">
      <c r="A37" s="1094" t="s">
        <v>862</v>
      </c>
      <c r="B37" s="308" t="s">
        <v>1177</v>
      </c>
      <c r="C37" s="24">
        <f ca="1">ROUND(C13*F37,1)</f>
        <v>47.9</v>
      </c>
      <c r="D37" s="3249" t="s">
        <v>1178</v>
      </c>
      <c r="E37" s="308" t="s">
        <v>1146</v>
      </c>
      <c r="F37" s="336">
        <f ca="1">INDIRECT("'数据-取费表'!Al"&amp;$G$1)</f>
        <v>1.5E-3</v>
      </c>
      <c r="G37" s="1519"/>
      <c r="H37" s="2878"/>
      <c r="I37" s="1533"/>
      <c r="J37" s="1534"/>
      <c r="K37" s="2719"/>
      <c r="L37" s="2878"/>
      <c r="M37" s="2878"/>
    </row>
    <row r="38" spans="1:18" ht="18" customHeight="1" thickBot="1">
      <c r="A38" s="1202" t="s">
        <v>1116</v>
      </c>
      <c r="B38" s="1203" t="s">
        <v>1163</v>
      </c>
      <c r="C38" s="1204">
        <f ca="1">ROUND(C5*F38,1)</f>
        <v>93</v>
      </c>
      <c r="D38" s="1205" t="s">
        <v>1183</v>
      </c>
      <c r="E38" s="1203" t="s">
        <v>1146</v>
      </c>
      <c r="F38" s="1199">
        <f ca="1">INDIRECT("'数据-取费表'!Am"&amp;$G$1)</f>
        <v>0.01</v>
      </c>
      <c r="G38" s="1519"/>
      <c r="H38" s="2878"/>
      <c r="I38" s="1533"/>
      <c r="J38" s="1534"/>
      <c r="K38" s="2882"/>
      <c r="L38" s="2878"/>
      <c r="M38" s="2878"/>
    </row>
    <row r="39" spans="1:18" ht="24.6" customHeight="1" thickTop="1">
      <c r="A39" s="1192" t="s">
        <v>818</v>
      </c>
      <c r="B39" s="1207" t="s">
        <v>1187</v>
      </c>
      <c r="C39" s="316">
        <f ca="1">C5-C30</f>
        <v>7118</v>
      </c>
      <c r="D39" s="1208" t="s">
        <v>1188</v>
      </c>
      <c r="E39" s="1209"/>
      <c r="F39" s="1210"/>
      <c r="G39" s="1519"/>
      <c r="H39" s="2878"/>
      <c r="I39" s="1533"/>
      <c r="J39" s="1534"/>
      <c r="K39" s="2882"/>
      <c r="L39" s="2878"/>
      <c r="M39" s="2878"/>
    </row>
    <row r="40" spans="1:18" ht="18" customHeight="1">
      <c r="A40" s="305" t="s">
        <v>819</v>
      </c>
      <c r="B40" s="306" t="s">
        <v>1209</v>
      </c>
      <c r="C40" s="307">
        <f ca="1">ROUND(C39*(1-((1+F42)/(1+F40))^F41)/(F40-F42),0)</f>
        <v>179302</v>
      </c>
      <c r="D40" s="330" t="s">
        <v>1193</v>
      </c>
      <c r="E40" s="308" t="s">
        <v>1194</v>
      </c>
      <c r="F40" s="318">
        <f ca="1">INDIRECT("'数据-取费表'!I"&amp;$G$1)</f>
        <v>5.5E-2</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41.43</v>
      </c>
      <c r="G41" s="1519"/>
      <c r="H41" s="1306"/>
      <c r="I41" s="1533"/>
      <c r="J41" s="1534"/>
      <c r="K41" s="2719"/>
      <c r="L41" s="1306"/>
      <c r="M41" s="1306"/>
    </row>
    <row r="42" spans="1:18" ht="18" customHeight="1">
      <c r="A42" s="314"/>
      <c r="B42" s="315"/>
      <c r="C42" s="316"/>
      <c r="D42" s="333"/>
      <c r="E42" s="308" t="s">
        <v>1201</v>
      </c>
      <c r="F42" s="318">
        <f ca="1">INDIRECT("'数据-取费表'!v"&amp;$G$1)</f>
        <v>0.03</v>
      </c>
      <c r="G42" s="1519"/>
      <c r="H42" s="1306"/>
      <c r="I42" s="1533"/>
      <c r="J42" s="1534"/>
      <c r="K42" s="2719"/>
      <c r="L42" s="1306"/>
      <c r="M42" s="1306"/>
    </row>
    <row r="43" spans="1:18" ht="18" customHeight="1" thickBot="1">
      <c r="A43" s="340" t="s">
        <v>820</v>
      </c>
      <c r="B43" s="341" t="s">
        <v>1211</v>
      </c>
      <c r="C43" s="342">
        <f ca="1">ROUND(C40*10000/F43,0)</f>
        <v>31704</v>
      </c>
      <c r="D43" s="343" t="s">
        <v>1212</v>
      </c>
      <c r="E43" s="344" t="s">
        <v>1213</v>
      </c>
      <c r="F43" s="345">
        <f ca="1">INDIRECT("'数据-取费表'!k"&amp;$G$1)</f>
        <v>56554.499999999993</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-232871</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3220</v>
      </c>
      <c r="K47" s="1551" t="s">
        <v>1251</v>
      </c>
      <c r="L47" s="1552">
        <f ca="1">INDIRECT("'数据-取费表'!d"&amp;$G$1)</f>
        <v>50</v>
      </c>
      <c r="M47" s="1515" t="str">
        <f>IF(ISNUMBER(FIND("住宅",C1)),"住宅","非住宅")</f>
        <v>非住宅</v>
      </c>
      <c r="O47" s="1553" t="s">
        <v>827</v>
      </c>
      <c r="P47" s="1554" t="s">
        <v>1252</v>
      </c>
      <c r="Q47" s="1555">
        <f ca="1">C40+J29</f>
        <v>179302</v>
      </c>
      <c r="R47" s="1555" t="s">
        <v>1253</v>
      </c>
    </row>
    <row r="48" spans="1:18" s="1519" customFormat="1" ht="28.5" thickBot="1">
      <c r="A48" s="1223" t="s">
        <v>863</v>
      </c>
      <c r="B48" s="306" t="s">
        <v>1125</v>
      </c>
      <c r="C48" s="3252">
        <f ca="1">C49+C53+C55</f>
        <v>0</v>
      </c>
      <c r="D48" s="1225"/>
      <c r="E48" s="1226"/>
      <c r="F48" s="1074"/>
      <c r="G48" s="731"/>
      <c r="H48" s="732"/>
      <c r="I48" s="1556" t="s">
        <v>1254</v>
      </c>
      <c r="J48" s="1557" t="s">
        <v>3221</v>
      </c>
      <c r="K48" s="1558" t="s">
        <v>1255</v>
      </c>
      <c r="L48" s="1559">
        <f ca="1">INDIRECT("'数据-取费表'!f"&amp;$G$1)</f>
        <v>41.43</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2607</v>
      </c>
      <c r="E49" s="1507" t="s">
        <v>1215</v>
      </c>
      <c r="F49" s="1172"/>
      <c r="G49" s="1560"/>
      <c r="H49" s="732"/>
      <c r="I49" s="1556" t="s">
        <v>1258</v>
      </c>
      <c r="J49" s="1561">
        <v>2020</v>
      </c>
      <c r="K49" s="1558" t="s">
        <v>1259</v>
      </c>
      <c r="L49" s="1562"/>
      <c r="O49" s="1563" t="s">
        <v>829</v>
      </c>
      <c r="P49" s="1554" t="s">
        <v>1260</v>
      </c>
      <c r="Q49" s="1555">
        <f ca="1">C29</f>
        <v>32906</v>
      </c>
      <c r="R49" s="1555" t="s">
        <v>1253</v>
      </c>
    </row>
    <row r="50" spans="1:18" s="1519" customFormat="1" ht="13.5" thickBot="1">
      <c r="A50" s="1088"/>
      <c r="B50" s="1091"/>
      <c r="C50" s="1231"/>
      <c r="D50" s="1065"/>
      <c r="E50" s="1168" t="s">
        <v>1130</v>
      </c>
      <c r="F50" s="1169">
        <f ca="1">F7</f>
        <v>56554.499999999993</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58</v>
      </c>
      <c r="K51" s="1569" t="s">
        <v>1265</v>
      </c>
      <c r="L51" s="1570">
        <f ca="1">ROUND(-PV(INDIRECT("'数据-取费表'!h"&amp;$G$1),J51,(C39-C13*C76),0),0)</f>
        <v>88905</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41.43</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6">
        <f ca="1">IF(M47="住宅",IF(D1="——",MAX(J51,L48),MAX(J51,L48-'数据-取费表'!B24)),IF(D1="——",MIN(J51,L48),MIN(J51,L48-'数据-取费表'!B24)))</f>
        <v>41.43</v>
      </c>
      <c r="K53" s="3446" t="s">
        <v>1272</v>
      </c>
      <c r="L53" s="3447"/>
      <c r="O53" s="1553" t="s">
        <v>833</v>
      </c>
      <c r="P53" s="1554" t="s">
        <v>1273</v>
      </c>
      <c r="Q53" s="1555">
        <f ca="1">Q47+Q48</f>
        <v>179302</v>
      </c>
      <c r="R53" s="1555" t="s">
        <v>834</v>
      </c>
    </row>
    <row r="54" spans="1:18" s="1519" customFormat="1" ht="13.5" thickBot="1">
      <c r="A54" s="1268"/>
      <c r="B54" s="1502" t="s">
        <v>1112</v>
      </c>
      <c r="C54" s="1071"/>
      <c r="D54" s="1501"/>
      <c r="E54" s="3238"/>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3238"/>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31919</v>
      </c>
      <c r="D56" s="1582"/>
      <c r="E56" s="1583"/>
      <c r="F56" s="1575"/>
      <c r="I56" s="1584" t="s">
        <v>1278</v>
      </c>
      <c r="J56" s="1585" t="s">
        <v>3201</v>
      </c>
      <c r="K56" s="1556" t="s">
        <v>1279</v>
      </c>
      <c r="L56" s="1559" t="str">
        <f ca="1">IF(L48&lt;J51,"——",L48-J53)</f>
        <v>——</v>
      </c>
      <c r="O56" s="1553" t="s">
        <v>827</v>
      </c>
      <c r="P56" s="1554" t="s">
        <v>1252</v>
      </c>
      <c r="Q56" s="1555">
        <f ca="1">C40+J29</f>
        <v>179302</v>
      </c>
      <c r="R56" s="1555" t="s">
        <v>1253</v>
      </c>
    </row>
    <row r="57" spans="1:18" s="1519" customFormat="1" ht="24.75" thickBot="1">
      <c r="A57" s="1586"/>
      <c r="B57" s="1062" t="s">
        <v>1202</v>
      </c>
      <c r="C57" s="244">
        <f ca="1">C29</f>
        <v>32906</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3306</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2764</v>
      </c>
      <c r="D59" s="1075" t="s">
        <v>1154</v>
      </c>
      <c r="E59" s="1076" t="s">
        <v>1155</v>
      </c>
      <c r="F59" s="2483"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1161</v>
      </c>
      <c r="C61" s="24">
        <f ca="1">IF(项目基本情况!B11="自然人","——",IF(D61="按租金收入计税",ROUND(C49*F61/(1+'数据-取费表'!C42),2),IF(D61="按房产原值计税",ROUND(C57*F61*0.7,2),INDIRECT("'数据-取费表'!Aj"&amp;$G$1))))</f>
        <v>2764.1</v>
      </c>
      <c r="D61" s="1505" t="s">
        <v>1162</v>
      </c>
      <c r="E61" s="1062" t="s">
        <v>1146</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1165</v>
      </c>
      <c r="C62" s="25">
        <f ca="1">IF(项目基本情况!B11="自然人","——",ROUND(F62*F63/10000,2))</f>
        <v>0</v>
      </c>
      <c r="D62" s="1077" t="s">
        <v>1166</v>
      </c>
      <c r="E62" s="1062" t="s">
        <v>1167</v>
      </c>
      <c r="F62" s="331">
        <f t="shared" si="0"/>
        <v>1.5</v>
      </c>
      <c r="I62" s="1597" t="s">
        <v>1294</v>
      </c>
      <c r="J62" s="1598" t="s">
        <v>1295</v>
      </c>
      <c r="K62" s="1598" t="s">
        <v>1296</v>
      </c>
      <c r="L62" s="1598" t="s">
        <v>1297</v>
      </c>
      <c r="M62" s="1599" t="s">
        <v>1298</v>
      </c>
      <c r="O62" s="1553" t="s">
        <v>833</v>
      </c>
      <c r="P62" s="1554" t="s">
        <v>1273</v>
      </c>
      <c r="Q62" s="1555">
        <f ca="1">Q56+Q57</f>
        <v>179302</v>
      </c>
      <c r="R62" s="1555" t="s">
        <v>834</v>
      </c>
    </row>
    <row r="63" spans="1:18" s="1519" customFormat="1" ht="13.5" thickBot="1">
      <c r="A63" s="332"/>
      <c r="B63" s="1068"/>
      <c r="C63" s="29"/>
      <c r="D63" s="1078"/>
      <c r="E63" s="1062" t="s">
        <v>1171</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826</v>
      </c>
      <c r="B64" s="1062" t="s">
        <v>1173</v>
      </c>
      <c r="C64" s="24">
        <f ca="1">ROUND(C57*F64,1)</f>
        <v>493.6</v>
      </c>
      <c r="D64" s="1076" t="s">
        <v>1206</v>
      </c>
      <c r="E64" s="1062" t="s">
        <v>1146</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47.9</v>
      </c>
      <c r="D65" s="1076" t="s">
        <v>1178</v>
      </c>
      <c r="E65" s="1062" t="s">
        <v>1146</v>
      </c>
      <c r="F65" s="336">
        <f t="shared" ca="1" si="0"/>
        <v>1.5E-3</v>
      </c>
      <c r="I65" s="1597" t="s">
        <v>1303</v>
      </c>
      <c r="J65" s="1598">
        <v>40</v>
      </c>
      <c r="K65" s="1598">
        <v>30</v>
      </c>
      <c r="L65" s="1598">
        <v>50</v>
      </c>
      <c r="M65" s="1600">
        <v>0.02</v>
      </c>
      <c r="O65" s="1553" t="s">
        <v>827</v>
      </c>
      <c r="P65" s="1554" t="s">
        <v>1252</v>
      </c>
      <c r="Q65" s="1555">
        <f ca="1">C40+J29</f>
        <v>179302</v>
      </c>
      <c r="R65" s="1555" t="s">
        <v>1253</v>
      </c>
    </row>
    <row r="66" spans="1:18" s="1519" customFormat="1" ht="16.5" thickBot="1">
      <c r="A66" s="1094" t="s">
        <v>1228</v>
      </c>
      <c r="B66" s="1062" t="s">
        <v>1163</v>
      </c>
      <c r="C66" s="24">
        <f ca="1">ROUND(C48*F66,1)</f>
        <v>0</v>
      </c>
      <c r="D66" s="1076" t="s">
        <v>1183</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-3306</v>
      </c>
      <c r="D67" s="1075" t="s">
        <v>1188</v>
      </c>
      <c r="E67" s="1080"/>
      <c r="F67" s="1081"/>
      <c r="O67" s="1563" t="s">
        <v>829</v>
      </c>
      <c r="P67" s="1554" t="s">
        <v>1286</v>
      </c>
      <c r="Q67" s="1601">
        <f ca="1">L51</f>
        <v>88905</v>
      </c>
      <c r="R67" s="1555" t="s">
        <v>1306</v>
      </c>
    </row>
    <row r="68" spans="1:18" s="1519" customFormat="1" ht="16.5" thickBot="1">
      <c r="A68" s="1059" t="s">
        <v>819</v>
      </c>
      <c r="B68" s="1060" t="s">
        <v>1209</v>
      </c>
      <c r="C68" s="307">
        <f ca="1">ROUND(C67*(1-((1+F70)/(1+F68))^F69)/(F68-F70),0)</f>
        <v>-53569</v>
      </c>
      <c r="D68" s="1077" t="s">
        <v>1193</v>
      </c>
      <c r="E68" s="1062" t="s">
        <v>1194</v>
      </c>
      <c r="F68" s="318">
        <f ca="1">F40</f>
        <v>5.5E-2</v>
      </c>
      <c r="O68" s="1563" t="s">
        <v>830</v>
      </c>
      <c r="P68" s="1602" t="s">
        <v>1307</v>
      </c>
      <c r="Q68" s="1555">
        <f ca="1">ROUND(Q69-Q70*Q71,0)</f>
        <v>4724</v>
      </c>
      <c r="R68" s="1555" t="s">
        <v>838</v>
      </c>
    </row>
    <row r="69" spans="1:18" s="1519" customFormat="1" ht="13.5" thickBot="1">
      <c r="A69" s="1063"/>
      <c r="B69" s="1064"/>
      <c r="C69" s="312"/>
      <c r="D69" s="1082" t="s">
        <v>1197</v>
      </c>
      <c r="E69" s="1062" t="s">
        <v>1198</v>
      </c>
      <c r="F69" s="339">
        <f ca="1">F41</f>
        <v>41.43</v>
      </c>
      <c r="O69" s="1563" t="s">
        <v>835</v>
      </c>
      <c r="P69" s="1602" t="s">
        <v>1308</v>
      </c>
      <c r="Q69" s="1555">
        <f ca="1">C39</f>
        <v>7118</v>
      </c>
      <c r="R69" s="1555" t="s">
        <v>1253</v>
      </c>
    </row>
    <row r="70" spans="1:18" s="1519" customFormat="1" ht="13.5" thickBot="1">
      <c r="A70" s="1066"/>
      <c r="B70" s="1067"/>
      <c r="C70" s="316"/>
      <c r="D70" s="1078"/>
      <c r="E70" s="1062" t="s">
        <v>1201</v>
      </c>
      <c r="F70" s="1166"/>
      <c r="O70" s="1563" t="s">
        <v>836</v>
      </c>
      <c r="P70" s="1602" t="s">
        <v>1309</v>
      </c>
      <c r="Q70" s="1555">
        <f ca="1">C13</f>
        <v>31919</v>
      </c>
      <c r="R70" s="1555" t="s">
        <v>1253</v>
      </c>
    </row>
    <row r="71" spans="1:18" s="1519" customFormat="1" ht="13.5" thickBot="1">
      <c r="A71" s="1083" t="s">
        <v>820</v>
      </c>
      <c r="B71" s="1084" t="s">
        <v>1211</v>
      </c>
      <c r="C71" s="342">
        <f ca="1">ROUND(C68*10000/F71,0)</f>
        <v>-9472</v>
      </c>
      <c r="D71" s="1085" t="s">
        <v>1212</v>
      </c>
      <c r="E71" s="1086" t="s">
        <v>1213</v>
      </c>
      <c r="F71" s="345">
        <f ca="1">F43</f>
        <v>56554.499999999993</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2394</v>
      </c>
      <c r="D75" s="1519"/>
      <c r="E75" s="1519"/>
      <c r="F75" s="1519"/>
      <c r="K75" s="1537"/>
      <c r="L75" s="1519"/>
      <c r="O75" s="1553" t="s">
        <v>833</v>
      </c>
      <c r="P75" s="1554" t="s">
        <v>1273</v>
      </c>
      <c r="Q75" s="1555">
        <f ca="1">Q65+Q66</f>
        <v>179302</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0.66399999999999992</v>
      </c>
    </row>
    <row r="80" spans="1:18">
      <c r="B80" s="346" t="s">
        <v>1235</v>
      </c>
      <c r="C80" s="280">
        <f ca="1">ROUND(C75/C39,3)</f>
        <v>0.33600000000000002</v>
      </c>
    </row>
    <row r="81" spans="2:3">
      <c r="B81" s="276" t="s">
        <v>1236</v>
      </c>
      <c r="C81" s="244"/>
    </row>
    <row r="82" spans="2:3">
      <c r="B82" s="279" t="s">
        <v>1237</v>
      </c>
      <c r="C82" s="281">
        <f ca="1">1-C83</f>
        <v>0.82200000000000006</v>
      </c>
    </row>
    <row r="83" spans="2:3">
      <c r="B83" s="279" t="s">
        <v>1238</v>
      </c>
      <c r="C83" s="280">
        <f ca="1">ROUND(C13/C40,3)</f>
        <v>0.17799999999999999</v>
      </c>
    </row>
  </sheetData>
  <sheetProtection formatCells="0" formatColumns="0" formatRows="0"/>
  <mergeCells count="3">
    <mergeCell ref="B6:B9"/>
    <mergeCell ref="I6:I9"/>
    <mergeCell ref="K53:L53"/>
  </mergeCells>
  <phoneticPr fontId="140"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3" t="s">
        <v>2282</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71609.739999999991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90" t="s">
        <v>2226</v>
      </c>
      <c r="D4" s="3491"/>
      <c r="E4" s="3492" t="s">
        <v>2227</v>
      </c>
      <c r="F4" s="3493"/>
      <c r="G4" s="3490" t="s">
        <v>2228</v>
      </c>
      <c r="H4" s="3491"/>
      <c r="I4" s="3490" t="s">
        <v>2229</v>
      </c>
      <c r="J4" s="3491"/>
      <c r="K4" s="567" t="s">
        <v>2230</v>
      </c>
      <c r="L4" s="1025"/>
      <c r="M4" s="1026"/>
      <c r="N4" s="1026"/>
      <c r="O4" s="1026"/>
      <c r="P4" s="3494" t="s">
        <v>2231</v>
      </c>
      <c r="Q4" s="3495"/>
      <c r="R4" s="3500" t="s">
        <v>2227</v>
      </c>
      <c r="S4" s="3501"/>
      <c r="T4" s="3500" t="s">
        <v>2228</v>
      </c>
      <c r="U4" s="3501"/>
      <c r="V4" s="3506" t="s">
        <v>2229</v>
      </c>
      <c r="W4" s="3506"/>
      <c r="X4" s="1490"/>
      <c r="Y4" s="3500" t="s">
        <v>2231</v>
      </c>
      <c r="Z4" s="3501"/>
      <c r="AA4" s="3487" t="s">
        <v>2227</v>
      </c>
      <c r="AB4" s="3488" t="s">
        <v>2228</v>
      </c>
      <c r="AC4" s="3487" t="s">
        <v>2229</v>
      </c>
    </row>
    <row r="5" spans="1:29" ht="15">
      <c r="A5" s="364"/>
      <c r="B5" s="365"/>
      <c r="C5" s="3509" t="s">
        <v>2122</v>
      </c>
      <c r="D5" s="3510"/>
      <c r="E5" s="3516" t="s">
        <v>2123</v>
      </c>
      <c r="F5" s="3517"/>
      <c r="G5" s="3509" t="s">
        <v>2124</v>
      </c>
      <c r="H5" s="3510"/>
      <c r="I5" s="3509" t="s">
        <v>2125</v>
      </c>
      <c r="J5" s="3510"/>
      <c r="K5" s="567"/>
      <c r="L5" s="1025"/>
      <c r="M5" s="1026"/>
      <c r="N5" s="1026"/>
      <c r="O5" s="1026"/>
      <c r="P5" s="3496"/>
      <c r="Q5" s="3497"/>
      <c r="R5" s="3502"/>
      <c r="S5" s="3503"/>
      <c r="T5" s="3502"/>
      <c r="U5" s="3503"/>
      <c r="V5" s="3506"/>
      <c r="W5" s="3506"/>
      <c r="X5" s="1490"/>
      <c r="Y5" s="3502"/>
      <c r="Z5" s="3503"/>
      <c r="AA5" s="3488"/>
      <c r="AB5" s="3488"/>
      <c r="AC5" s="3488"/>
    </row>
    <row r="6" spans="1:29" ht="15.75" thickBot="1">
      <c r="A6" s="366"/>
      <c r="B6" s="367"/>
      <c r="C6" s="3507" t="s">
        <v>2126</v>
      </c>
      <c r="D6" s="3508"/>
      <c r="E6" s="3514" t="s">
        <v>2126</v>
      </c>
      <c r="F6" s="3515"/>
      <c r="G6" s="3507" t="s">
        <v>2126</v>
      </c>
      <c r="H6" s="3508"/>
      <c r="I6" s="3507" t="s">
        <v>2126</v>
      </c>
      <c r="J6" s="3508"/>
      <c r="K6" s="567" t="s">
        <v>2127</v>
      </c>
      <c r="L6" s="1025"/>
      <c r="M6" s="1026"/>
      <c r="N6" s="1026"/>
      <c r="O6" s="1026"/>
      <c r="P6" s="3498"/>
      <c r="Q6" s="3499"/>
      <c r="R6" s="3502"/>
      <c r="S6" s="3503"/>
      <c r="T6" s="3504"/>
      <c r="U6" s="3505"/>
      <c r="V6" s="3506"/>
      <c r="W6" s="3506"/>
      <c r="X6" s="1490"/>
      <c r="Y6" s="3504"/>
      <c r="Z6" s="3505"/>
      <c r="AA6" s="3489"/>
      <c r="AB6" s="3489"/>
      <c r="AC6" s="3489"/>
    </row>
    <row r="7" spans="1:29" s="113" customFormat="1" ht="15.75" thickBot="1">
      <c r="A7" s="368" t="s">
        <v>2128</v>
      </c>
      <c r="B7" s="369"/>
      <c r="C7" s="370">
        <f>'数据-取费表'!B2</f>
        <v>44769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11" t="s">
        <v>2129</v>
      </c>
      <c r="Q7" s="3513"/>
      <c r="R7" s="710" t="s">
        <v>17</v>
      </c>
      <c r="S7" s="711">
        <f t="shared" ref="S7:S15" si="0">F7</f>
        <v>0</v>
      </c>
      <c r="T7" s="710" t="s">
        <v>17</v>
      </c>
      <c r="U7" s="711">
        <f t="shared" ref="U7:U15" si="1">H7</f>
        <v>0</v>
      </c>
      <c r="V7" s="710" t="s">
        <v>17</v>
      </c>
      <c r="W7" s="711">
        <f t="shared" ref="W7:W15" si="2">J7</f>
        <v>0</v>
      </c>
      <c r="X7" s="712"/>
      <c r="Y7" s="3511" t="s">
        <v>2129</v>
      </c>
      <c r="Z7" s="3512"/>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11" t="s">
        <v>2132</v>
      </c>
      <c r="Q8" s="3512"/>
      <c r="R8" s="710" t="s">
        <v>17</v>
      </c>
      <c r="S8" s="711">
        <f t="shared" si="0"/>
        <v>0</v>
      </c>
      <c r="T8" s="710" t="s">
        <v>17</v>
      </c>
      <c r="U8" s="711">
        <f t="shared" si="1"/>
        <v>0</v>
      </c>
      <c r="V8" s="710" t="s">
        <v>17</v>
      </c>
      <c r="W8" s="711">
        <f t="shared" si="2"/>
        <v>0</v>
      </c>
      <c r="X8" s="712"/>
      <c r="Y8" s="3511" t="s">
        <v>2132</v>
      </c>
      <c r="Z8" s="3512"/>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75" t="s">
        <v>2135</v>
      </c>
      <c r="Q9" s="1478" t="str">
        <f t="shared" ref="Q9:Q15" si="6">B9</f>
        <v>用途</v>
      </c>
      <c r="R9" s="710" t="s">
        <v>17</v>
      </c>
      <c r="S9" s="711">
        <f t="shared" si="0"/>
        <v>100</v>
      </c>
      <c r="T9" s="710" t="s">
        <v>17</v>
      </c>
      <c r="U9" s="711">
        <f t="shared" si="1"/>
        <v>100</v>
      </c>
      <c r="V9" s="710" t="s">
        <v>17</v>
      </c>
      <c r="W9" s="711">
        <f t="shared" si="2"/>
        <v>100</v>
      </c>
      <c r="X9" s="712"/>
      <c r="Y9" s="334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75"/>
      <c r="Q10" s="1478" t="str">
        <f t="shared" si="6"/>
        <v>土地使用年限（年）</v>
      </c>
      <c r="R10" s="710" t="s">
        <v>17</v>
      </c>
      <c r="S10" s="711">
        <f t="shared" si="0"/>
        <v>100</v>
      </c>
      <c r="T10" s="710" t="s">
        <v>17</v>
      </c>
      <c r="U10" s="711">
        <f t="shared" si="1"/>
        <v>100</v>
      </c>
      <c r="V10" s="710" t="s">
        <v>17</v>
      </c>
      <c r="W10" s="711">
        <f t="shared" si="2"/>
        <v>100</v>
      </c>
      <c r="X10" s="712"/>
      <c r="Y10" s="3347"/>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75"/>
      <c r="Q11" s="1478" t="str">
        <f t="shared" si="6"/>
        <v>容积率</v>
      </c>
      <c r="R11" s="710" t="s">
        <v>17</v>
      </c>
      <c r="S11" s="711" t="e">
        <f t="shared" si="0"/>
        <v>#N/A</v>
      </c>
      <c r="T11" s="710" t="s">
        <v>17</v>
      </c>
      <c r="U11" s="711" t="e">
        <f t="shared" si="1"/>
        <v>#N/A</v>
      </c>
      <c r="V11" s="710" t="s">
        <v>17</v>
      </c>
      <c r="W11" s="711" t="e">
        <f t="shared" si="2"/>
        <v>#N/A</v>
      </c>
      <c r="X11" s="712"/>
      <c r="Y11" s="3347"/>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75"/>
      <c r="Q12" s="1478">
        <f t="shared" si="6"/>
        <v>111</v>
      </c>
      <c r="R12" s="710" t="s">
        <v>17</v>
      </c>
      <c r="S12" s="711">
        <f t="shared" si="0"/>
        <v>100</v>
      </c>
      <c r="T12" s="710" t="s">
        <v>17</v>
      </c>
      <c r="U12" s="711">
        <f t="shared" si="1"/>
        <v>100</v>
      </c>
      <c r="V12" s="710" t="s">
        <v>17</v>
      </c>
      <c r="W12" s="711">
        <f t="shared" si="2"/>
        <v>100</v>
      </c>
      <c r="X12" s="712"/>
      <c r="Y12" s="3347"/>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75"/>
      <c r="Q13" s="1478">
        <f t="shared" si="6"/>
        <v>111</v>
      </c>
      <c r="R13" s="710" t="s">
        <v>17</v>
      </c>
      <c r="S13" s="711">
        <f t="shared" si="0"/>
        <v>100</v>
      </c>
      <c r="T13" s="710" t="s">
        <v>17</v>
      </c>
      <c r="U13" s="711">
        <f t="shared" si="1"/>
        <v>100</v>
      </c>
      <c r="V13" s="710" t="s">
        <v>17</v>
      </c>
      <c r="W13" s="711">
        <f t="shared" si="2"/>
        <v>100</v>
      </c>
      <c r="X13" s="712"/>
      <c r="Y13" s="3347"/>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75"/>
      <c r="Q14" s="1478">
        <f t="shared" si="6"/>
        <v>111</v>
      </c>
      <c r="R14" s="710" t="s">
        <v>17</v>
      </c>
      <c r="S14" s="711">
        <f t="shared" si="0"/>
        <v>100</v>
      </c>
      <c r="T14" s="710" t="s">
        <v>17</v>
      </c>
      <c r="U14" s="711">
        <f t="shared" si="1"/>
        <v>100</v>
      </c>
      <c r="V14" s="710" t="s">
        <v>17</v>
      </c>
      <c r="W14" s="711">
        <f t="shared" si="2"/>
        <v>100</v>
      </c>
      <c r="X14" s="712"/>
      <c r="Y14" s="3347"/>
      <c r="Z14" s="55">
        <f t="shared" si="7"/>
        <v>111</v>
      </c>
      <c r="AA14" s="713">
        <f t="shared" si="3"/>
        <v>1</v>
      </c>
      <c r="AB14" s="713">
        <f t="shared" si="4"/>
        <v>1</v>
      </c>
      <c r="AC14" s="713">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77" t="s">
        <v>2140</v>
      </c>
      <c r="Q15" s="1487" t="str">
        <f t="shared" si="6"/>
        <v>产业集聚程度</v>
      </c>
      <c r="R15" s="714" t="s">
        <v>17</v>
      </c>
      <c r="S15" s="715">
        <f t="shared" si="0"/>
        <v>100</v>
      </c>
      <c r="T15" s="714" t="s">
        <v>17</v>
      </c>
      <c r="U15" s="715">
        <f t="shared" si="1"/>
        <v>100</v>
      </c>
      <c r="V15" s="714" t="s">
        <v>17</v>
      </c>
      <c r="W15" s="715">
        <f t="shared" si="2"/>
        <v>100</v>
      </c>
      <c r="X15" s="1490"/>
      <c r="Y15" s="3477"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78"/>
      <c r="Q16" s="1487"/>
      <c r="R16" s="714"/>
      <c r="S16" s="715"/>
      <c r="T16" s="714"/>
      <c r="U16" s="715"/>
      <c r="V16" s="714"/>
      <c r="W16" s="715"/>
      <c r="X16" s="1490"/>
      <c r="Y16" s="3478"/>
      <c r="Z16" s="1491"/>
      <c r="AA16" s="1488">
        <v>1</v>
      </c>
      <c r="AB16" s="1488">
        <v>1</v>
      </c>
      <c r="AC16" s="1488">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78"/>
      <c r="Q17" s="1487" t="str">
        <f>B17</f>
        <v>交通便捷度</v>
      </c>
      <c r="R17" s="714" t="s">
        <v>17</v>
      </c>
      <c r="S17" s="715">
        <f>F17</f>
        <v>100</v>
      </c>
      <c r="T17" s="714" t="s">
        <v>17</v>
      </c>
      <c r="U17" s="715">
        <f>H17</f>
        <v>100</v>
      </c>
      <c r="V17" s="714" t="s">
        <v>17</v>
      </c>
      <c r="W17" s="715">
        <f>J17</f>
        <v>100</v>
      </c>
      <c r="X17" s="1490"/>
      <c r="Y17" s="3478"/>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478"/>
      <c r="Q18" s="1487"/>
      <c r="R18" s="714"/>
      <c r="S18" s="715"/>
      <c r="T18" s="714"/>
      <c r="U18" s="715"/>
      <c r="V18" s="714"/>
      <c r="W18" s="715"/>
      <c r="X18" s="1490"/>
      <c r="Y18" s="3478"/>
      <c r="Z18" s="1491"/>
      <c r="AA18" s="1488">
        <v>1</v>
      </c>
      <c r="AB18" s="1488">
        <v>1</v>
      </c>
      <c r="AC18" s="1488">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78"/>
      <c r="Q19" s="1487" t="str">
        <f>B19</f>
        <v>公共配套设施</v>
      </c>
      <c r="R19" s="714" t="s">
        <v>17</v>
      </c>
      <c r="S19" s="715">
        <f>F19</f>
        <v>100</v>
      </c>
      <c r="T19" s="714" t="s">
        <v>17</v>
      </c>
      <c r="U19" s="715">
        <f>H19</f>
        <v>100</v>
      </c>
      <c r="V19" s="714" t="s">
        <v>17</v>
      </c>
      <c r="W19" s="715">
        <f>J19</f>
        <v>100</v>
      </c>
      <c r="X19" s="1490"/>
      <c r="Y19" s="3478"/>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478"/>
      <c r="Q20" s="1487"/>
      <c r="R20" s="714"/>
      <c r="S20" s="715"/>
      <c r="T20" s="714"/>
      <c r="U20" s="715"/>
      <c r="V20" s="714"/>
      <c r="W20" s="715"/>
      <c r="X20" s="1490"/>
      <c r="Y20" s="3478"/>
      <c r="Z20" s="1491"/>
      <c r="AA20" s="1488">
        <v>1</v>
      </c>
      <c r="AB20" s="1488">
        <v>1</v>
      </c>
      <c r="AC20" s="1488">
        <v>1</v>
      </c>
    </row>
    <row r="21" spans="1:29" ht="28.5">
      <c r="A21" s="387"/>
      <c r="B21" s="1246"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78"/>
      <c r="Q21" s="1487" t="str">
        <f>B21</f>
        <v>基础设施水平</v>
      </c>
      <c r="R21" s="714" t="s">
        <v>17</v>
      </c>
      <c r="S21" s="715">
        <f>F21</f>
        <v>100</v>
      </c>
      <c r="T21" s="714" t="s">
        <v>17</v>
      </c>
      <c r="U21" s="715">
        <f>H21</f>
        <v>100</v>
      </c>
      <c r="V21" s="714" t="s">
        <v>17</v>
      </c>
      <c r="W21" s="715">
        <f>J21</f>
        <v>100</v>
      </c>
      <c r="X21" s="1490"/>
      <c r="Y21" s="3478"/>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478"/>
      <c r="Q22" s="1487"/>
      <c r="R22" s="714"/>
      <c r="S22" s="715"/>
      <c r="T22" s="714"/>
      <c r="U22" s="715"/>
      <c r="V22" s="714"/>
      <c r="W22" s="715"/>
      <c r="X22" s="1490"/>
      <c r="Y22" s="3478"/>
      <c r="Z22" s="1491"/>
      <c r="AA22" s="1488">
        <v>1</v>
      </c>
      <c r="AB22" s="1488">
        <v>1</v>
      </c>
      <c r="AC22" s="1488">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78"/>
      <c r="Q23" s="1487" t="str">
        <f>B23</f>
        <v>环境质量</v>
      </c>
      <c r="R23" s="714" t="s">
        <v>17</v>
      </c>
      <c r="S23" s="715">
        <f>F23</f>
        <v>100</v>
      </c>
      <c r="T23" s="714" t="s">
        <v>17</v>
      </c>
      <c r="U23" s="715">
        <f>H23</f>
        <v>100</v>
      </c>
      <c r="V23" s="714" t="s">
        <v>17</v>
      </c>
      <c r="W23" s="715">
        <f>J23</f>
        <v>100</v>
      </c>
      <c r="X23" s="1490"/>
      <c r="Y23" s="3478"/>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478"/>
      <c r="Q24" s="1487"/>
      <c r="R24" s="714"/>
      <c r="S24" s="715"/>
      <c r="T24" s="714"/>
      <c r="U24" s="715"/>
      <c r="V24" s="714"/>
      <c r="W24" s="715"/>
      <c r="X24" s="1490"/>
      <c r="Y24" s="3478"/>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78"/>
      <c r="Q25" s="1487">
        <f>B25</f>
        <v>111</v>
      </c>
      <c r="R25" s="714" t="s">
        <v>17</v>
      </c>
      <c r="S25" s="715">
        <f>F25</f>
        <v>100</v>
      </c>
      <c r="T25" s="714" t="s">
        <v>17</v>
      </c>
      <c r="U25" s="715">
        <f>H25</f>
        <v>100</v>
      </c>
      <c r="V25" s="714" t="s">
        <v>17</v>
      </c>
      <c r="W25" s="715">
        <f>J25</f>
        <v>100</v>
      </c>
      <c r="X25" s="1490"/>
      <c r="Y25" s="3478"/>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78"/>
      <c r="Q26" s="1487">
        <f t="shared" ref="Q26:Q40" si="11">B26</f>
        <v>111</v>
      </c>
      <c r="R26" s="714" t="s">
        <v>17</v>
      </c>
      <c r="S26" s="715">
        <f>F26</f>
        <v>100</v>
      </c>
      <c r="T26" s="714" t="s">
        <v>17</v>
      </c>
      <c r="U26" s="715">
        <f>H26</f>
        <v>100</v>
      </c>
      <c r="V26" s="714" t="s">
        <v>17</v>
      </c>
      <c r="W26" s="715">
        <f>J26</f>
        <v>100</v>
      </c>
      <c r="X26" s="1490"/>
      <c r="Y26" s="3478"/>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78"/>
      <c r="Q27" s="1478">
        <f t="shared" si="11"/>
        <v>111</v>
      </c>
      <c r="R27" s="710" t="s">
        <v>17</v>
      </c>
      <c r="S27" s="711">
        <f>F27</f>
        <v>100</v>
      </c>
      <c r="T27" s="710" t="s">
        <v>17</v>
      </c>
      <c r="U27" s="711">
        <f>H27</f>
        <v>100</v>
      </c>
      <c r="V27" s="710" t="s">
        <v>17</v>
      </c>
      <c r="W27" s="711">
        <f>J27</f>
        <v>100</v>
      </c>
      <c r="X27" s="712"/>
      <c r="Y27" s="3478"/>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78"/>
      <c r="Q28" s="1487">
        <f t="shared" si="11"/>
        <v>111</v>
      </c>
      <c r="R28" s="714" t="s">
        <v>17</v>
      </c>
      <c r="S28" s="715">
        <f t="shared" ref="S28:S40" si="12">F28</f>
        <v>100</v>
      </c>
      <c r="T28" s="714" t="s">
        <v>17</v>
      </c>
      <c r="U28" s="715">
        <f t="shared" ref="U28:U40" si="13">H28</f>
        <v>100</v>
      </c>
      <c r="V28" s="714" t="s">
        <v>17</v>
      </c>
      <c r="W28" s="715">
        <f t="shared" ref="W28:W40" si="14">J28</f>
        <v>100</v>
      </c>
      <c r="X28" s="1490"/>
      <c r="Y28" s="3478"/>
      <c r="Z28" s="1491">
        <f t="shared" ref="Z28:Z40" si="15">Q28</f>
        <v>111</v>
      </c>
      <c r="AA28" s="1488">
        <f t="shared" si="3"/>
        <v>1</v>
      </c>
      <c r="AB28" s="1488">
        <f t="shared" si="4"/>
        <v>1</v>
      </c>
      <c r="AC28" s="1488">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33" t="s">
        <v>2145</v>
      </c>
      <c r="Q29" s="1487" t="str">
        <f t="shared" si="11"/>
        <v>建筑类型</v>
      </c>
      <c r="R29" s="714" t="s">
        <v>17</v>
      </c>
      <c r="S29" s="715">
        <f t="shared" si="12"/>
        <v>100</v>
      </c>
      <c r="T29" s="714" t="s">
        <v>17</v>
      </c>
      <c r="U29" s="715">
        <f t="shared" si="13"/>
        <v>100</v>
      </c>
      <c r="V29" s="714" t="s">
        <v>17</v>
      </c>
      <c r="W29" s="715">
        <f t="shared" si="14"/>
        <v>100</v>
      </c>
      <c r="X29" s="1490"/>
      <c r="Y29" s="3482"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82"/>
      <c r="Q30" s="716" t="str">
        <f t="shared" si="11"/>
        <v>项目建筑规模</v>
      </c>
      <c r="R30" s="717" t="s">
        <v>17</v>
      </c>
      <c r="S30" s="718" t="e">
        <f t="shared" si="12"/>
        <v>#N/A</v>
      </c>
      <c r="T30" s="717" t="s">
        <v>17</v>
      </c>
      <c r="U30" s="718" t="e">
        <f t="shared" si="13"/>
        <v>#N/A</v>
      </c>
      <c r="V30" s="717" t="s">
        <v>17</v>
      </c>
      <c r="W30" s="718" t="e">
        <f t="shared" si="14"/>
        <v>#N/A</v>
      </c>
      <c r="X30" s="719"/>
      <c r="Y30" s="3482"/>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82"/>
      <c r="Q31" s="1487" t="str">
        <f t="shared" si="11"/>
        <v>建筑结构</v>
      </c>
      <c r="R31" s="714" t="s">
        <v>17</v>
      </c>
      <c r="S31" s="715">
        <f t="shared" si="12"/>
        <v>100</v>
      </c>
      <c r="T31" s="714" t="s">
        <v>17</v>
      </c>
      <c r="U31" s="715">
        <f t="shared" si="13"/>
        <v>100</v>
      </c>
      <c r="V31" s="714" t="s">
        <v>17</v>
      </c>
      <c r="W31" s="715">
        <f t="shared" si="14"/>
        <v>100</v>
      </c>
      <c r="X31" s="1490"/>
      <c r="Y31" s="3482"/>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82"/>
      <c r="Q32" s="1487" t="str">
        <f t="shared" si="11"/>
        <v>公共部分装修</v>
      </c>
      <c r="R32" s="714" t="s">
        <v>17</v>
      </c>
      <c r="S32" s="715">
        <f t="shared" si="12"/>
        <v>100</v>
      </c>
      <c r="T32" s="714" t="s">
        <v>17</v>
      </c>
      <c r="U32" s="715">
        <f t="shared" si="13"/>
        <v>100</v>
      </c>
      <c r="V32" s="714" t="s">
        <v>17</v>
      </c>
      <c r="W32" s="715">
        <f t="shared" si="14"/>
        <v>100</v>
      </c>
      <c r="X32" s="1490"/>
      <c r="Y32" s="3482"/>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82"/>
      <c r="Q33" s="1487" t="str">
        <f t="shared" si="11"/>
        <v>成新度</v>
      </c>
      <c r="R33" s="714" t="s">
        <v>17</v>
      </c>
      <c r="S33" s="715" t="e">
        <f t="shared" si="12"/>
        <v>#N/A</v>
      </c>
      <c r="T33" s="714" t="s">
        <v>17</v>
      </c>
      <c r="U33" s="715" t="e">
        <f t="shared" si="13"/>
        <v>#N/A</v>
      </c>
      <c r="V33" s="714" t="s">
        <v>17</v>
      </c>
      <c r="W33" s="715" t="e">
        <f t="shared" si="14"/>
        <v>#N/A</v>
      </c>
      <c r="X33" s="1490"/>
      <c r="Y33" s="3482"/>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82"/>
      <c r="Q34" s="1478" t="str">
        <f t="shared" si="11"/>
        <v>物业管理</v>
      </c>
      <c r="R34" s="710" t="s">
        <v>17</v>
      </c>
      <c r="S34" s="711">
        <f t="shared" si="12"/>
        <v>100</v>
      </c>
      <c r="T34" s="710" t="s">
        <v>17</v>
      </c>
      <c r="U34" s="711">
        <f t="shared" si="13"/>
        <v>100</v>
      </c>
      <c r="V34" s="710" t="s">
        <v>17</v>
      </c>
      <c r="W34" s="711">
        <f t="shared" si="14"/>
        <v>100</v>
      </c>
      <c r="X34" s="712"/>
      <c r="Y34" s="3482"/>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82" t="s">
        <v>2145</v>
      </c>
      <c r="Q35" s="1487" t="str">
        <f t="shared" si="11"/>
        <v>市政基础设施</v>
      </c>
      <c r="R35" s="714" t="s">
        <v>17</v>
      </c>
      <c r="S35" s="715">
        <f t="shared" si="12"/>
        <v>100</v>
      </c>
      <c r="T35" s="714" t="s">
        <v>17</v>
      </c>
      <c r="U35" s="715">
        <f t="shared" si="13"/>
        <v>100</v>
      </c>
      <c r="V35" s="714" t="s">
        <v>17</v>
      </c>
      <c r="W35" s="715">
        <f t="shared" si="14"/>
        <v>100</v>
      </c>
      <c r="X35" s="1490"/>
      <c r="Y35" s="3482"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82"/>
      <c r="Q36" s="1487" t="str">
        <f t="shared" si="11"/>
        <v>内部装修</v>
      </c>
      <c r="R36" s="714" t="s">
        <v>17</v>
      </c>
      <c r="S36" s="715">
        <f t="shared" si="12"/>
        <v>100</v>
      </c>
      <c r="T36" s="714" t="s">
        <v>17</v>
      </c>
      <c r="U36" s="715">
        <f t="shared" si="13"/>
        <v>100</v>
      </c>
      <c r="V36" s="714" t="s">
        <v>17</v>
      </c>
      <c r="W36" s="715">
        <f t="shared" si="14"/>
        <v>100</v>
      </c>
      <c r="X36" s="1490"/>
      <c r="Y36" s="3482"/>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82"/>
      <c r="Q37" s="1487" t="str">
        <f t="shared" si="11"/>
        <v>内部装修状况</v>
      </c>
      <c r="R37" s="714" t="s">
        <v>17</v>
      </c>
      <c r="S37" s="715">
        <f t="shared" si="12"/>
        <v>100</v>
      </c>
      <c r="T37" s="714" t="s">
        <v>17</v>
      </c>
      <c r="U37" s="715">
        <f t="shared" si="13"/>
        <v>100</v>
      </c>
      <c r="V37" s="714" t="s">
        <v>17</v>
      </c>
      <c r="W37" s="715">
        <f t="shared" si="14"/>
        <v>100</v>
      </c>
      <c r="X37" s="1490"/>
      <c r="Y37" s="3482"/>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82"/>
      <c r="Q38" s="716">
        <f t="shared" si="11"/>
        <v>111</v>
      </c>
      <c r="R38" s="717" t="s">
        <v>17</v>
      </c>
      <c r="S38" s="718">
        <f t="shared" si="12"/>
        <v>100</v>
      </c>
      <c r="T38" s="717" t="s">
        <v>17</v>
      </c>
      <c r="U38" s="718">
        <f t="shared" si="13"/>
        <v>100</v>
      </c>
      <c r="V38" s="717" t="s">
        <v>17</v>
      </c>
      <c r="W38" s="718">
        <f t="shared" si="14"/>
        <v>100</v>
      </c>
      <c r="X38" s="719"/>
      <c r="Y38" s="3482"/>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82"/>
      <c r="Q39" s="1487">
        <f t="shared" si="11"/>
        <v>111</v>
      </c>
      <c r="R39" s="714" t="s">
        <v>17</v>
      </c>
      <c r="S39" s="715">
        <f t="shared" si="12"/>
        <v>100</v>
      </c>
      <c r="T39" s="714" t="s">
        <v>17</v>
      </c>
      <c r="U39" s="715">
        <f t="shared" si="13"/>
        <v>100</v>
      </c>
      <c r="V39" s="714" t="s">
        <v>17</v>
      </c>
      <c r="W39" s="715">
        <f t="shared" si="14"/>
        <v>100</v>
      </c>
      <c r="X39" s="1490"/>
      <c r="Y39" s="3482"/>
      <c r="Z39" s="1491">
        <f t="shared" si="15"/>
        <v>111</v>
      </c>
      <c r="AA39" s="1488">
        <f t="shared" si="3"/>
        <v>1</v>
      </c>
      <c r="AB39" s="1488">
        <f t="shared" si="4"/>
        <v>1</v>
      </c>
      <c r="AC39" s="1488">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83"/>
      <c r="Q40" s="1487">
        <f t="shared" si="11"/>
        <v>111</v>
      </c>
      <c r="R40" s="714" t="s">
        <v>17</v>
      </c>
      <c r="S40" s="715">
        <f t="shared" si="12"/>
        <v>100</v>
      </c>
      <c r="T40" s="714" t="s">
        <v>17</v>
      </c>
      <c r="U40" s="715">
        <f t="shared" si="13"/>
        <v>100</v>
      </c>
      <c r="V40" s="714" t="s">
        <v>17</v>
      </c>
      <c r="W40" s="715">
        <f t="shared" si="14"/>
        <v>100</v>
      </c>
      <c r="X40" s="1490"/>
      <c r="Y40" s="3483"/>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75" t="str">
        <f>A41</f>
        <v>成交单价（元/平方米）</v>
      </c>
      <c r="Q41" s="3475"/>
      <c r="R41" s="3476">
        <f>E41</f>
        <v>0</v>
      </c>
      <c r="S41" s="3476"/>
      <c r="T41" s="3476">
        <f>G41</f>
        <v>0</v>
      </c>
      <c r="U41" s="3476"/>
      <c r="V41" s="3476">
        <f>I41</f>
        <v>0</v>
      </c>
      <c r="W41" s="3476"/>
      <c r="X41" s="699"/>
      <c r="Y41" s="721"/>
      <c r="Z41" s="699"/>
      <c r="AA41" s="699"/>
      <c r="AB41" s="699"/>
      <c r="AC41" s="699"/>
    </row>
    <row r="42" spans="1:29" ht="15.75" thickBot="1">
      <c r="A42" s="445" t="s">
        <v>2249</v>
      </c>
      <c r="B42" s="446"/>
      <c r="C42" s="1275" t="e">
        <f>R43</f>
        <v>#DIV/0!</v>
      </c>
      <c r="D42" s="2488" t="s">
        <v>2638</v>
      </c>
      <c r="E42" s="1276" t="e">
        <f>R42</f>
        <v>#DIV/0!</v>
      </c>
      <c r="F42" s="2489"/>
      <c r="G42" s="1275" t="e">
        <f>T42</f>
        <v>#DIV/0!</v>
      </c>
      <c r="H42" s="2489"/>
      <c r="I42" s="1276" t="e">
        <f>V42</f>
        <v>#DIV/0!</v>
      </c>
      <c r="J42" s="2489"/>
      <c r="K42" s="2491">
        <f>F42+H42+J42</f>
        <v>0</v>
      </c>
      <c r="L42" s="1038"/>
      <c r="M42" s="1039"/>
      <c r="N42" s="1026"/>
      <c r="O42" s="1039"/>
      <c r="P42" s="3475" t="str">
        <f>A42</f>
        <v>比较价值（元/平方米）</v>
      </c>
      <c r="Q42" s="3475"/>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72" t="str">
        <f>A43</f>
        <v>估价对象XX用房的比较价值（楼面单价，元/平方米）</v>
      </c>
      <c r="Q43" s="3473"/>
      <c r="R43" s="3474" t="e">
        <f>IF(F1="售价",ROUND(IF(D42="简单平均",AVERAGE(R42:V42),R42*F42+T42*H42+V42*J42),0),ROUND(IF(D42="简单平均",AVERAGE(R42:V42),R42*F42+T42*H42+V42*J42),1))</f>
        <v>#DIV/0!</v>
      </c>
      <c r="S43" s="3474"/>
      <c r="T43" s="3474"/>
      <c r="U43" s="3474"/>
      <c r="V43" s="3474"/>
      <c r="W43" s="3474"/>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2022-7</v>
      </c>
      <c r="D52" s="1300">
        <f>EDATE(C52,-1)</f>
        <v>44713</v>
      </c>
      <c r="E52" s="1300">
        <f t="shared" ref="E52:O52" si="16">EDATE(D52,-1)</f>
        <v>44682</v>
      </c>
      <c r="F52" s="1300">
        <f t="shared" si="16"/>
        <v>44652</v>
      </c>
      <c r="G52" s="1300">
        <f t="shared" si="16"/>
        <v>44621</v>
      </c>
      <c r="H52" s="1300">
        <f t="shared" si="16"/>
        <v>44593</v>
      </c>
      <c r="I52" s="1300">
        <f t="shared" si="16"/>
        <v>44562</v>
      </c>
      <c r="J52" s="1300">
        <f t="shared" si="16"/>
        <v>44531</v>
      </c>
      <c r="K52" s="1300">
        <f t="shared" si="16"/>
        <v>44501</v>
      </c>
      <c r="L52" s="1300">
        <f t="shared" si="16"/>
        <v>44470</v>
      </c>
      <c r="M52" s="1300">
        <f t="shared" si="16"/>
        <v>44440</v>
      </c>
      <c r="N52" s="1300">
        <f t="shared" si="16"/>
        <v>44409</v>
      </c>
      <c r="O52" s="1300">
        <f t="shared" si="16"/>
        <v>44378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1" priority="20" stopIfTrue="1" operator="containsText" text="超过">
      <formula>NOT(ISERROR(SEARCH("超过",F46)))</formula>
    </cfRule>
  </conditionalFormatting>
  <conditionalFormatting sqref="H48">
    <cfRule type="containsText" dxfId="110" priority="19" stopIfTrue="1" operator="containsText" text="超过">
      <formula>NOT(ISERROR(SEARCH("超过",H48)))</formula>
    </cfRule>
  </conditionalFormatting>
  <conditionalFormatting sqref="F48">
    <cfRule type="containsText" dxfId="109" priority="18" stopIfTrue="1" operator="containsText" text="超过">
      <formula>NOT(ISERROR(SEARCH("超过",F48)))</formula>
    </cfRule>
  </conditionalFormatting>
  <conditionalFormatting sqref="F47 H47">
    <cfRule type="containsText" dxfId="108" priority="17" stopIfTrue="1" operator="containsText" text="超过">
      <formula>NOT(ISERROR(SEARCH("超过",F47)))</formula>
    </cfRule>
  </conditionalFormatting>
  <conditionalFormatting sqref="E46">
    <cfRule type="expression" dxfId="107" priority="16" stopIfTrue="1">
      <formula>$F$46="超过30%"</formula>
    </cfRule>
  </conditionalFormatting>
  <conditionalFormatting sqref="E47">
    <cfRule type="expression" dxfId="106" priority="15" stopIfTrue="1">
      <formula>$F$47="超过20%"</formula>
    </cfRule>
  </conditionalFormatting>
  <conditionalFormatting sqref="E48">
    <cfRule type="expression" dxfId="105" priority="14" stopIfTrue="1">
      <formula>$F$48="超过30%"</formula>
    </cfRule>
  </conditionalFormatting>
  <conditionalFormatting sqref="G48">
    <cfRule type="expression" dxfId="104" priority="13" stopIfTrue="1">
      <formula>$H$48="超过30%"</formula>
    </cfRule>
  </conditionalFormatting>
  <conditionalFormatting sqref="G46">
    <cfRule type="expression" dxfId="103" priority="12" stopIfTrue="1">
      <formula>$H$46="超过30%"</formula>
    </cfRule>
  </conditionalFormatting>
  <conditionalFormatting sqref="G47">
    <cfRule type="expression" dxfId="102" priority="11" stopIfTrue="1">
      <formula>$H$47="超过20%"</formula>
    </cfRule>
  </conditionalFormatting>
  <conditionalFormatting sqref="J46">
    <cfRule type="containsText" dxfId="101" priority="10" stopIfTrue="1" operator="containsText" text="超过">
      <formula>NOT(ISERROR(SEARCH("超过",J46)))</formula>
    </cfRule>
  </conditionalFormatting>
  <conditionalFormatting sqref="J48">
    <cfRule type="containsText" dxfId="100" priority="9" stopIfTrue="1" operator="containsText" text="超过">
      <formula>NOT(ISERROR(SEARCH("超过",J48)))</formula>
    </cfRule>
  </conditionalFormatting>
  <conditionalFormatting sqref="J47">
    <cfRule type="containsText" dxfId="99" priority="8" stopIfTrue="1" operator="containsText" text="超过">
      <formula>NOT(ISERROR(SEARCH("超过",J47)))</formula>
    </cfRule>
  </conditionalFormatting>
  <conditionalFormatting sqref="I46">
    <cfRule type="expression" dxfId="98" priority="7" stopIfTrue="1">
      <formula>$J$46="超过30%"</formula>
    </cfRule>
  </conditionalFormatting>
  <conditionalFormatting sqref="I47">
    <cfRule type="expression" dxfId="97" priority="6" stopIfTrue="1">
      <formula>$J$47="超过20%"</formula>
    </cfRule>
  </conditionalFormatting>
  <conditionalFormatting sqref="I48">
    <cfRule type="expression" dxfId="96" priority="5" stopIfTrue="1">
      <formula>$J$48="超过30%"</formula>
    </cfRule>
  </conditionalFormatting>
  <conditionalFormatting sqref="F42">
    <cfRule type="expression" dxfId="95" priority="4">
      <formula>$D$42="简单平均"</formula>
    </cfRule>
  </conditionalFormatting>
  <conditionalFormatting sqref="H42">
    <cfRule type="expression" dxfId="94" priority="3">
      <formula>$D$42="简单平均"</formula>
    </cfRule>
  </conditionalFormatting>
  <conditionalFormatting sqref="J42">
    <cfRule type="expression" dxfId="93" priority="2">
      <formula>$D$42="简单平均"</formula>
    </cfRule>
  </conditionalFormatting>
  <conditionalFormatting sqref="F7:F40 H7:H40 J7:J40">
    <cfRule type="cellIs" dxfId="9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F27" sqref="F27"/>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3" t="s">
        <v>1707</v>
      </c>
      <c r="B1" s="1883"/>
      <c r="C1" s="1884" t="s">
        <v>3206</v>
      </c>
      <c r="D1" s="1883"/>
      <c r="E1" s="1883"/>
      <c r="F1" s="1885" t="s">
        <v>1708</v>
      </c>
      <c r="G1" s="1697"/>
      <c r="H1" s="1886" t="str">
        <f>IF(G1="现房","——","估价对象范围")</f>
        <v>估价对象范围</v>
      </c>
      <c r="I1" s="1887"/>
    </row>
    <row r="2" spans="1:12" ht="21.75" customHeight="1" thickBot="1">
      <c r="A2" s="3380" t="str">
        <f>项目基本情况!S2</f>
        <v>北京市房地产</v>
      </c>
      <c r="B2" s="3381"/>
      <c r="C2" s="3381"/>
      <c r="D2" s="3381"/>
      <c r="E2" s="3381"/>
      <c r="F2" s="3381"/>
      <c r="G2" s="3381"/>
      <c r="H2" s="3381"/>
      <c r="I2" s="3382"/>
    </row>
    <row r="3" spans="1:12" ht="12.75">
      <c r="A3" s="3384" t="s">
        <v>1709</v>
      </c>
      <c r="B3" s="3385"/>
      <c r="C3" s="3385"/>
      <c r="D3" s="3385"/>
      <c r="E3" s="3385"/>
      <c r="F3" s="3385"/>
      <c r="G3" s="3385"/>
      <c r="H3" s="3385"/>
      <c r="I3" s="3385"/>
    </row>
    <row r="4" spans="1:12" ht="14.25">
      <c r="A4" s="1890" t="s">
        <v>1710</v>
      </c>
      <c r="B4" s="1891" t="s">
        <v>1711</v>
      </c>
      <c r="C4" s="1892" t="s">
        <v>3240</v>
      </c>
      <c r="D4" s="1892" t="s">
        <v>3237</v>
      </c>
      <c r="E4" s="3386" t="s">
        <v>1712</v>
      </c>
      <c r="F4" s="3387"/>
      <c r="G4" s="3387"/>
      <c r="H4" s="3387"/>
      <c r="I4" s="3388"/>
      <c r="K4" s="151" t="str">
        <f>IF(ISNUMBER(FIND("比较法",'结果表(车位)'!C4)),"比较法",IF(ISNUMBER(FIND("成本法",'结果表(车位)'!C4)),"成本法",IF(ISNUMBER(FIND("假设开发法",'结果表(车位)'!C4)),"假设开发法",IF(ISNUMBER(FIND("收益法",'结果表(车位)'!C4)),"收益法","基准地价系数修正法"))))</f>
        <v>比较法</v>
      </c>
      <c r="L4" s="151"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360" t="s">
        <v>1713</v>
      </c>
      <c r="B5" s="3347">
        <v>25</v>
      </c>
      <c r="C5" s="3363"/>
      <c r="D5" s="3383"/>
      <c r="E5" s="136" t="s">
        <v>1714</v>
      </c>
      <c r="F5" s="1893"/>
      <c r="G5" s="1893"/>
      <c r="H5" s="1893"/>
      <c r="I5" s="1508"/>
    </row>
    <row r="6" spans="1:12" ht="12.75">
      <c r="A6" s="3360"/>
      <c r="B6" s="3347"/>
      <c r="C6" s="3364"/>
      <c r="D6" s="3383"/>
      <c r="E6" s="136" t="s">
        <v>1715</v>
      </c>
      <c r="F6" s="1893"/>
      <c r="G6" s="1893"/>
      <c r="H6" s="1893"/>
      <c r="I6" s="1508"/>
    </row>
    <row r="7" spans="1:12" ht="12.75">
      <c r="A7" s="3360"/>
      <c r="B7" s="3347"/>
      <c r="C7" s="3365"/>
      <c r="D7" s="3383"/>
      <c r="E7" s="136" t="s">
        <v>1716</v>
      </c>
      <c r="F7" s="1893"/>
      <c r="G7" s="1893"/>
      <c r="H7" s="1893"/>
      <c r="I7" s="1508"/>
    </row>
    <row r="8" spans="1:12" ht="12.75">
      <c r="A8" s="3360" t="s">
        <v>1717</v>
      </c>
      <c r="B8" s="3347">
        <v>15</v>
      </c>
      <c r="C8" s="3363"/>
      <c r="D8" s="3383"/>
      <c r="E8" s="136" t="s">
        <v>1718</v>
      </c>
      <c r="F8" s="1893"/>
      <c r="G8" s="1893"/>
      <c r="H8" s="1893"/>
      <c r="I8" s="1508"/>
    </row>
    <row r="9" spans="1:12" ht="12.75">
      <c r="A9" s="3360"/>
      <c r="B9" s="3347"/>
      <c r="C9" s="3365"/>
      <c r="D9" s="3383"/>
      <c r="E9" s="136" t="s">
        <v>1719</v>
      </c>
      <c r="F9" s="1893"/>
      <c r="G9" s="1893"/>
      <c r="H9" s="1893"/>
      <c r="I9" s="1508"/>
    </row>
    <row r="10" spans="1:12" ht="12.75">
      <c r="A10" s="3360" t="s">
        <v>1720</v>
      </c>
      <c r="B10" s="3347">
        <v>15</v>
      </c>
      <c r="C10" s="3363"/>
      <c r="D10" s="3383"/>
      <c r="E10" s="136" t="s">
        <v>1721</v>
      </c>
      <c r="F10" s="1893"/>
      <c r="G10" s="1893"/>
      <c r="H10" s="1893"/>
      <c r="I10" s="1508"/>
    </row>
    <row r="11" spans="1:12" ht="12.75">
      <c r="A11" s="3360"/>
      <c r="B11" s="3347"/>
      <c r="C11" s="3365"/>
      <c r="D11" s="3383"/>
      <c r="E11" s="136" t="s">
        <v>1722</v>
      </c>
      <c r="F11" s="1893"/>
      <c r="G11" s="1893"/>
      <c r="H11" s="1893"/>
      <c r="I11" s="1508"/>
    </row>
    <row r="12" spans="1:12" ht="12.75">
      <c r="A12" s="3360" t="s">
        <v>1723</v>
      </c>
      <c r="B12" s="3347">
        <v>15</v>
      </c>
      <c r="C12" s="3363"/>
      <c r="D12" s="3383"/>
      <c r="E12" s="136" t="s">
        <v>1724</v>
      </c>
      <c r="F12" s="1893"/>
      <c r="G12" s="1893"/>
      <c r="H12" s="1893"/>
      <c r="I12" s="1508"/>
    </row>
    <row r="13" spans="1:12" ht="12.75">
      <c r="A13" s="3360"/>
      <c r="B13" s="3347"/>
      <c r="C13" s="3365"/>
      <c r="D13" s="3383"/>
      <c r="E13" s="136" t="s">
        <v>1725</v>
      </c>
      <c r="F13" s="1893"/>
      <c r="G13" s="1893"/>
      <c r="H13" s="1893"/>
      <c r="I13" s="1508"/>
    </row>
    <row r="14" spans="1:12" ht="12.75">
      <c r="A14" s="3360" t="s">
        <v>1726</v>
      </c>
      <c r="B14" s="3347">
        <v>30</v>
      </c>
      <c r="C14" s="3363">
        <v>5</v>
      </c>
      <c r="D14" s="3383">
        <v>5</v>
      </c>
      <c r="E14" s="136" t="s">
        <v>1727</v>
      </c>
      <c r="F14" s="1893"/>
      <c r="G14" s="1893"/>
      <c r="H14" s="1893"/>
      <c r="I14" s="1508"/>
    </row>
    <row r="15" spans="1:12" ht="12.75">
      <c r="A15" s="3360"/>
      <c r="B15" s="3347"/>
      <c r="C15" s="3364"/>
      <c r="D15" s="3383"/>
      <c r="E15" s="136" t="s">
        <v>1728</v>
      </c>
      <c r="F15" s="1893"/>
      <c r="G15" s="1893"/>
      <c r="H15" s="1893"/>
      <c r="I15" s="1508"/>
    </row>
    <row r="16" spans="1:12" ht="12.75">
      <c r="A16" s="3360"/>
      <c r="B16" s="3347"/>
      <c r="C16" s="3365"/>
      <c r="D16" s="3383"/>
      <c r="E16" s="136" t="s">
        <v>1729</v>
      </c>
      <c r="F16" s="1893"/>
      <c r="G16" s="1893"/>
      <c r="H16" s="1893"/>
      <c r="I16" s="1508"/>
    </row>
    <row r="17" spans="1:36" ht="15">
      <c r="A17" s="1894" t="s">
        <v>1730</v>
      </c>
      <c r="B17" s="60"/>
      <c r="C17" s="137">
        <f>SUM(C5:C16)</f>
        <v>5</v>
      </c>
      <c r="D17" s="137">
        <f>SUM(D5:D16)</f>
        <v>5</v>
      </c>
      <c r="E17" s="134"/>
      <c r="F17" s="134"/>
      <c r="G17" s="134"/>
      <c r="H17" s="134"/>
      <c r="I17" s="134"/>
      <c r="K17" s="308"/>
      <c r="L17" s="308" t="s">
        <v>1731</v>
      </c>
      <c r="M17" s="308" t="s">
        <v>1732</v>
      </c>
    </row>
    <row r="18" spans="1:36" ht="31.9" customHeight="1" thickBot="1">
      <c r="A18" s="1895" t="s">
        <v>1733</v>
      </c>
      <c r="B18" s="1896"/>
      <c r="C18" s="138">
        <f>ROUND(C17/SUM(C17:D17),2)</f>
        <v>0.5</v>
      </c>
      <c r="D18" s="138">
        <f>1-C18</f>
        <v>0.5</v>
      </c>
      <c r="E18" s="3370" t="s">
        <v>2631</v>
      </c>
      <c r="F18" s="3371"/>
      <c r="G18" s="3371"/>
      <c r="H18" s="3371"/>
      <c r="I18" s="3371"/>
      <c r="K18" s="308" t="s">
        <v>1734</v>
      </c>
      <c r="L18" s="308">
        <f>IF(C1="",'数据-汇总表'!E3,SUMIF(项目类型,C1,'数据-汇总表'!E17:E26)+SUMIF(项目类型,C1,'数据-汇总表'!I17:I26))</f>
        <v>6318.51</v>
      </c>
      <c r="M18" s="308">
        <f>IF(C1="",'数据-汇总表'!E3,SUMIF(项目类型,C1,'数据-汇总表'!E17:E26))</f>
        <v>6318.51</v>
      </c>
    </row>
    <row r="19" spans="1:36" ht="15">
      <c r="A19" s="1897" t="s">
        <v>1735</v>
      </c>
      <c r="B19" s="1898" t="s">
        <v>1736</v>
      </c>
      <c r="C19" s="139">
        <f ca="1">SUMIF(INDIRECT("'"&amp;C4&amp;"'"&amp;"!A:A"),'结果表(车位)'!B19,INDIRECT("'"&amp;C4&amp;"'"&amp;"!B:B"))</f>
        <v>2574</v>
      </c>
      <c r="D19" s="140">
        <f ca="1">SUMIF(INDIRECT("'"&amp;D4&amp;"'"&amp;"!A:A"),'结果表(车位)'!B19,INDIRECT("'"&amp;D4&amp;"'"&amp;"!B:B"))</f>
        <v>2299</v>
      </c>
      <c r="E19" s="1897" t="s">
        <v>1737</v>
      </c>
      <c r="F19" s="1898" t="s">
        <v>1736</v>
      </c>
      <c r="G19" s="141">
        <f ca="1">ROUND(C19*$C$18+D19*$D$18,0)</f>
        <v>2437</v>
      </c>
      <c r="H19" s="1899"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0"/>
      <c r="B20" s="1138" t="s">
        <v>1740</v>
      </c>
      <c r="C20" s="142">
        <f ca="1">SUMIF(INDIRECT("'"&amp;C4&amp;"'"&amp;"!A:A"),'结果表(车位)'!B20,INDIRECT("'"&amp;C4&amp;"'"&amp;"!B:B"))</f>
        <v>4074</v>
      </c>
      <c r="D20" s="143">
        <f ca="1">SUMIF(INDIRECT("'"&amp;D4&amp;"'"&amp;"!A:A"),'结果表(车位)'!B20,INDIRECT("'"&amp;D4&amp;"'"&amp;"!B:B"))</f>
        <v>3639</v>
      </c>
      <c r="E20" s="1900"/>
      <c r="F20" s="1138" t="s">
        <v>1740</v>
      </c>
      <c r="G20" s="144">
        <f ca="1">ROUND(C20*$C$18+D20*$D$18,0)</f>
        <v>3857</v>
      </c>
      <c r="H20" s="898" t="s">
        <v>1741</v>
      </c>
      <c r="I20" s="134"/>
    </row>
    <row r="21" spans="1:36" ht="15" customHeight="1" thickBot="1">
      <c r="A21" s="918"/>
      <c r="B21" s="1901" t="s">
        <v>1742</v>
      </c>
      <c r="C21" s="728" t="e">
        <f ca="1">ROUND(C19*10000/L19,0)</f>
        <v>#DIV/0!</v>
      </c>
      <c r="D21" s="729" t="e">
        <f ca="1">ROUND(D19*10000/L19,0)</f>
        <v>#DIV/0!</v>
      </c>
      <c r="E21" s="918"/>
      <c r="F21" s="1901" t="s">
        <v>1742</v>
      </c>
      <c r="G21" s="145" t="e">
        <f ca="1">ROUND(G19*10000/L19,0)</f>
        <v>#DIV/0!</v>
      </c>
      <c r="H21" s="1902" t="s">
        <v>1741</v>
      </c>
      <c r="I21" s="134"/>
    </row>
    <row r="22" spans="1:36" ht="15" thickBot="1">
      <c r="A22" s="1824" t="s">
        <v>1743</v>
      </c>
      <c r="B22" s="1903"/>
      <c r="C22" s="1904"/>
      <c r="D22" s="730">
        <f ca="1">IF(C19&lt;D19,D19/C19-1,C19/D19-1)</f>
        <v>0.11961722488038284</v>
      </c>
      <c r="E22" s="134"/>
      <c r="F22" s="134"/>
      <c r="G22" s="134"/>
      <c r="H22" s="134"/>
      <c r="I22" s="134"/>
    </row>
    <row r="23" spans="1:36" ht="13.5" thickBot="1">
      <c r="A23" s="1883"/>
      <c r="B23" s="1883"/>
      <c r="C23" s="1883"/>
      <c r="D23" s="1883"/>
      <c r="E23" s="134"/>
      <c r="F23" s="134"/>
      <c r="G23" s="134"/>
      <c r="H23" s="134"/>
      <c r="I23" s="134"/>
    </row>
    <row r="24" spans="1:36" ht="14.25">
      <c r="A24" s="3354" t="s">
        <v>1744</v>
      </c>
      <c r="B24" s="1898" t="s">
        <v>1736</v>
      </c>
      <c r="C24" s="141">
        <f>IF(B30=0,0,D30)</f>
        <v>0</v>
      </c>
      <c r="D24" s="1905"/>
      <c r="E24" s="134"/>
      <c r="F24" s="134"/>
      <c r="G24" s="134"/>
      <c r="H24" s="134"/>
      <c r="I24" s="134"/>
    </row>
    <row r="25" spans="1:36" ht="14.25">
      <c r="A25" s="3355"/>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f ca="1">G19/'数据-取费表'!AH9</f>
        <v>17.041958041958043</v>
      </c>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2437</v>
      </c>
      <c r="D32" s="1911" t="s">
        <v>3236</v>
      </c>
      <c r="E32" s="134"/>
      <c r="F32" s="134"/>
      <c r="G32" s="134"/>
      <c r="H32" s="134"/>
      <c r="I32" s="134"/>
    </row>
    <row r="33" spans="1:15" ht="15">
      <c r="A33" s="875" t="s">
        <v>1751</v>
      </c>
      <c r="B33" s="1912"/>
      <c r="C33" s="1913"/>
      <c r="D33" s="1914"/>
      <c r="E33" s="1915" t="s">
        <v>1752</v>
      </c>
      <c r="F33" s="1916" t="str">
        <f>IF(D32="楼面单价","取值（单价）","取值（总价）")</f>
        <v>取值（总价）</v>
      </c>
      <c r="G33" s="134"/>
      <c r="H33" s="134"/>
      <c r="I33" s="134"/>
    </row>
    <row r="34" spans="1:15" ht="15">
      <c r="A34" s="1917"/>
      <c r="B34" s="1918"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19" t="s">
        <v>1754</v>
      </c>
      <c r="F34" s="1451"/>
      <c r="G34" s="134"/>
      <c r="H34" s="134"/>
      <c r="I34" s="134"/>
    </row>
    <row r="35" spans="1:15" ht="15.75" thickBot="1">
      <c r="A35" s="1920"/>
      <c r="B35" s="1921"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75" thickBot="1">
      <c r="A36" s="3374" t="s">
        <v>1757</v>
      </c>
      <c r="B36" s="1923" t="s">
        <v>1758</v>
      </c>
      <c r="C36" s="150"/>
      <c r="D36" s="1924"/>
      <c r="E36" s="1925"/>
      <c r="F36" s="1926"/>
      <c r="G36" s="134"/>
      <c r="H36" s="134"/>
      <c r="I36" s="134"/>
    </row>
    <row r="37" spans="1:15" ht="15.75" thickBot="1">
      <c r="A37" s="3375"/>
      <c r="B37" s="1810" t="s">
        <v>1759</v>
      </c>
      <c r="C37" s="152"/>
      <c r="D37" s="1254"/>
      <c r="E37" s="1254"/>
      <c r="F37" s="1926"/>
      <c r="G37" s="134"/>
      <c r="H37" s="134"/>
      <c r="I37" s="134"/>
    </row>
    <row r="38" spans="1:15" ht="15.75" thickBot="1">
      <c r="A38" s="3376"/>
      <c r="B38" s="1927" t="s">
        <v>1760</v>
      </c>
      <c r="C38" s="683"/>
      <c r="D38" s="1928" t="s">
        <v>1761</v>
      </c>
      <c r="E38" s="1254"/>
      <c r="F38" s="1926"/>
      <c r="G38" s="134"/>
      <c r="H38" s="134"/>
      <c r="I38" s="134"/>
    </row>
    <row r="39" spans="1:15" ht="15">
      <c r="A39" s="1900" t="s">
        <v>1762</v>
      </c>
      <c r="B39" s="1929" t="s">
        <v>1746</v>
      </c>
      <c r="C39" s="1930" t="s">
        <v>1747</v>
      </c>
      <c r="D39" s="1930" t="s">
        <v>1765</v>
      </c>
      <c r="E39" s="1931" t="s">
        <v>1748</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3"/>
      <c r="B43" s="1713"/>
      <c r="C43" s="1713"/>
      <c r="D43" s="1713"/>
      <c r="E43" s="1713"/>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51" t="s">
        <v>1771</v>
      </c>
      <c r="B45" s="3352"/>
      <c r="C45" s="3353"/>
      <c r="D45" s="160">
        <f ca="1">ROUND(H101*F45,0)</f>
        <v>2437</v>
      </c>
      <c r="E45" s="161" t="s">
        <v>1772</v>
      </c>
      <c r="F45" s="162">
        <v>1</v>
      </c>
      <c r="G45" s="163" t="s">
        <v>1773</v>
      </c>
      <c r="H45" s="134"/>
      <c r="I45" s="134"/>
      <c r="J45" s="3432" t="s">
        <v>1774</v>
      </c>
      <c r="K45" s="3432"/>
      <c r="L45" s="3432"/>
      <c r="M45" s="3432"/>
      <c r="N45" s="3432"/>
      <c r="O45" s="3432"/>
    </row>
    <row r="46" spans="1:15" ht="14.25" customHeight="1">
      <c r="A46" s="3348" t="s">
        <v>1775</v>
      </c>
      <c r="B46" s="3349"/>
      <c r="C46" s="3349"/>
      <c r="D46" s="3349"/>
      <c r="E46" s="3349"/>
      <c r="F46" s="3349"/>
      <c r="G46" s="3350"/>
      <c r="H46" s="1942"/>
      <c r="I46" s="164"/>
      <c r="J46" s="3239">
        <v>1</v>
      </c>
      <c r="K46" s="3413" t="s">
        <v>1776</v>
      </c>
      <c r="L46" s="3413"/>
      <c r="M46" s="3433"/>
      <c r="N46" s="3433"/>
      <c r="O46" s="3433"/>
    </row>
    <row r="47" spans="1:15" ht="12" customHeight="1">
      <c r="A47" s="165" t="s">
        <v>1777</v>
      </c>
      <c r="B47" s="166"/>
      <c r="C47" s="167"/>
      <c r="D47" s="1200" t="s">
        <v>1778</v>
      </c>
      <c r="E47" s="308" t="s">
        <v>1779</v>
      </c>
      <c r="F47" s="168" t="s">
        <v>1780</v>
      </c>
      <c r="G47" s="2721" t="s">
        <v>1781</v>
      </c>
      <c r="H47" s="2722"/>
      <c r="I47" s="164"/>
      <c r="J47" s="3239">
        <v>2</v>
      </c>
      <c r="K47" s="3413" t="s">
        <v>1782</v>
      </c>
      <c r="L47" s="3413"/>
      <c r="M47" s="3434">
        <f>'数据-取费表'!B2</f>
        <v>44769</v>
      </c>
      <c r="N47" s="3434"/>
      <c r="O47" s="3434"/>
    </row>
    <row r="48" spans="1:15" ht="25.5">
      <c r="A48" s="3379" t="s">
        <v>1783</v>
      </c>
      <c r="B48" s="3362"/>
      <c r="C48" s="3362"/>
      <c r="D48" s="3234" t="b">
        <f>IF(H48="情况1",0,IF(H48="情况2",D52,IF(H48="情况3",D53,IF(H48="情况4",D54))))</f>
        <v>0</v>
      </c>
      <c r="E48" s="3249" t="str">
        <f>IF(H48="情况4","(销售额-原购置价)×税（费）率","销售额×税（费）率")</f>
        <v>销售额×税（费）率</v>
      </c>
      <c r="F48" s="2723">
        <f>IF(H48="情况1","免征",'数据-取费表'!B41)</f>
        <v>5.5000000000000007E-2</v>
      </c>
      <c r="G48" s="2724" t="s">
        <v>1784</v>
      </c>
      <c r="H48" s="2725"/>
      <c r="I48" s="1942"/>
      <c r="J48" s="3239">
        <v>3</v>
      </c>
      <c r="K48" s="3413" t="s">
        <v>1785</v>
      </c>
      <c r="L48" s="3413"/>
      <c r="M48" s="3435">
        <f ca="1">H101</f>
        <v>2437</v>
      </c>
      <c r="N48" s="3435"/>
      <c r="O48" s="3435"/>
    </row>
    <row r="49" spans="1:35" ht="25.5" customHeight="1">
      <c r="A49" s="3248" t="s">
        <v>1786</v>
      </c>
      <c r="B49" s="3346" t="s">
        <v>1787</v>
      </c>
      <c r="C49" s="3346"/>
      <c r="D49" s="1726">
        <v>0</v>
      </c>
      <c r="E49" s="330" t="s">
        <v>1788</v>
      </c>
      <c r="F49" s="3232" t="s">
        <v>34</v>
      </c>
      <c r="G49" s="3419"/>
      <c r="H49" s="2478" t="s">
        <v>2634</v>
      </c>
      <c r="I49" s="2479"/>
      <c r="J49" s="3239">
        <v>4</v>
      </c>
      <c r="K49" s="3413" t="str">
        <f>IF(项目基本情况!E8="房地产抵押价值","房地产抵押价值","抵押担保权已注销时的房地产抵押价值")</f>
        <v>房地产抵押价值</v>
      </c>
      <c r="L49" s="3413"/>
      <c r="M49" s="3435">
        <f ca="1">IF(项目基本情况!E8="房地产抵押价值",H107,H109)</f>
        <v>2437</v>
      </c>
      <c r="N49" s="3435"/>
      <c r="O49" s="3435"/>
    </row>
    <row r="50" spans="1:35" ht="25.5" customHeight="1">
      <c r="A50" s="2726"/>
      <c r="B50" s="3346" t="s">
        <v>1789</v>
      </c>
      <c r="C50" s="3346"/>
      <c r="D50" s="2727"/>
      <c r="E50" s="338"/>
      <c r="F50" s="3232"/>
      <c r="G50" s="3420"/>
      <c r="H50" s="2480" t="s">
        <v>2635</v>
      </c>
      <c r="I50" s="2479"/>
      <c r="J50" s="3432" t="s">
        <v>1790</v>
      </c>
      <c r="K50" s="3432"/>
      <c r="L50" s="3432"/>
      <c r="M50" s="3432"/>
      <c r="N50" s="3432"/>
      <c r="O50" s="3432"/>
    </row>
    <row r="51" spans="1:35" ht="20.45" customHeight="1">
      <c r="A51" s="2728"/>
      <c r="B51" s="3346" t="s">
        <v>1791</v>
      </c>
      <c r="C51" s="3346"/>
      <c r="D51" s="1200"/>
      <c r="E51" s="333"/>
      <c r="F51" s="3232"/>
      <c r="G51" s="3421"/>
      <c r="H51" s="2480" t="s">
        <v>2636</v>
      </c>
      <c r="I51" s="2479"/>
      <c r="J51" s="3233" t="s">
        <v>1792</v>
      </c>
      <c r="K51" s="3413" t="s">
        <v>1793</v>
      </c>
      <c r="L51" s="3413"/>
      <c r="M51" s="3233" t="s">
        <v>1794</v>
      </c>
      <c r="N51" s="3233" t="s">
        <v>1795</v>
      </c>
      <c r="O51" s="3233" t="s">
        <v>1796</v>
      </c>
    </row>
    <row r="52" spans="1:35" ht="24" customHeight="1">
      <c r="A52" s="3251" t="s">
        <v>1797</v>
      </c>
      <c r="B52" s="3346" t="s">
        <v>1798</v>
      </c>
      <c r="C52" s="3346"/>
      <c r="D52" s="1200">
        <f ca="1">ROUND(D45*'数据-取费表'!B41/(1+'数据-取费表'!C42),0)</f>
        <v>128</v>
      </c>
      <c r="E52" s="3249" t="s">
        <v>1799</v>
      </c>
      <c r="F52" s="2729">
        <f>'数据-取费表'!B41</f>
        <v>5.5000000000000007E-2</v>
      </c>
      <c r="G52" s="2730"/>
      <c r="H52" s="2719"/>
      <c r="I52" s="1943"/>
      <c r="J52" s="3239">
        <v>1</v>
      </c>
      <c r="K52" s="3414" t="s">
        <v>1800</v>
      </c>
      <c r="L52" s="3414"/>
      <c r="M52" s="2700" t="b">
        <f>D48</f>
        <v>0</v>
      </c>
      <c r="N52" s="3239" t="str">
        <f>E48</f>
        <v>销售额×税（费）率</v>
      </c>
      <c r="O52" s="2701">
        <f>F48</f>
        <v>5.5000000000000007E-2</v>
      </c>
    </row>
    <row r="53" spans="1:35" ht="12" customHeight="1">
      <c r="A53" s="3251" t="s">
        <v>1801</v>
      </c>
      <c r="B53" s="3372" t="s">
        <v>2791</v>
      </c>
      <c r="C53" s="3373"/>
      <c r="D53" s="1200">
        <f ca="1">ROUND(D45*'数据-取费表'!B41/(1+'数据-取费表'!C42),0)</f>
        <v>128</v>
      </c>
      <c r="E53" s="3249" t="s">
        <v>1799</v>
      </c>
      <c r="F53" s="2729">
        <f>'数据-取费表'!B41</f>
        <v>5.5000000000000007E-2</v>
      </c>
      <c r="G53" s="2730"/>
      <c r="H53" s="2719"/>
      <c r="I53" s="1943"/>
      <c r="J53" s="3239">
        <v>2</v>
      </c>
      <c r="K53" s="3414" t="s">
        <v>1802</v>
      </c>
      <c r="L53" s="3414"/>
      <c r="M53" s="2700">
        <f t="shared" ref="M53:O54" ca="1" si="0">D55</f>
        <v>1</v>
      </c>
      <c r="N53" s="3239" t="str">
        <f t="shared" si="0"/>
        <v>销售额×税（费）率</v>
      </c>
      <c r="O53" s="2701" t="str">
        <f t="shared" si="0"/>
        <v>免征</v>
      </c>
    </row>
    <row r="54" spans="1:35" ht="12" customHeight="1">
      <c r="A54" s="3251" t="s">
        <v>1803</v>
      </c>
      <c r="B54" s="3372" t="s">
        <v>2792</v>
      </c>
      <c r="C54" s="3373"/>
      <c r="D54" s="1200">
        <f ca="1">C68</f>
        <v>128</v>
      </c>
      <c r="E54" s="333" t="s">
        <v>1804</v>
      </c>
      <c r="F54" s="2729">
        <f>'数据-取费表'!B41</f>
        <v>5.5000000000000007E-2</v>
      </c>
      <c r="G54" s="2730"/>
      <c r="H54" s="2731"/>
      <c r="I54" s="1943"/>
      <c r="J54" s="3239">
        <v>3</v>
      </c>
      <c r="K54" s="3414" t="s">
        <v>1805</v>
      </c>
      <c r="L54" s="3414"/>
      <c r="M54" s="2700">
        <f t="shared" ca="1" si="0"/>
        <v>1381</v>
      </c>
      <c r="N54" s="3239" t="str">
        <f t="shared" si="0"/>
        <v>增值额×税（费）率</v>
      </c>
      <c r="O54" s="2702" t="str">
        <f t="shared" si="0"/>
        <v>免征</v>
      </c>
    </row>
    <row r="55" spans="1:35" ht="24" customHeight="1">
      <c r="A55" s="3361" t="s">
        <v>1806</v>
      </c>
      <c r="B55" s="3362"/>
      <c r="C55" s="3362"/>
      <c r="D55" s="3234">
        <f ca="1">IF(H55="个人住宅",0,ROUND(D45*I55,0))</f>
        <v>1</v>
      </c>
      <c r="E55" s="3249" t="s">
        <v>1807</v>
      </c>
      <c r="F55" s="2729" t="str">
        <f>IF(H55="正常",I55,"免征")</f>
        <v>免征</v>
      </c>
      <c r="G55" s="2730"/>
      <c r="H55" s="2725"/>
      <c r="I55" s="170">
        <f>'数据-取费表'!B49</f>
        <v>5.0000000000000001E-4</v>
      </c>
      <c r="J55" s="3239">
        <f>IF(H59="非个人房产","",4)</f>
        <v>4</v>
      </c>
      <c r="K55" s="3414" t="str">
        <f>IF(H59="非个人房产","——","个人所得税")</f>
        <v>个人所得税</v>
      </c>
      <c r="L55" s="3414"/>
      <c r="M55" s="2703">
        <f ca="1">D59</f>
        <v>23</v>
      </c>
      <c r="N55" s="3240" t="str">
        <f>E59</f>
        <v>差额计税</v>
      </c>
      <c r="O55" s="2704">
        <f>F59</f>
        <v>0.01</v>
      </c>
    </row>
    <row r="56" spans="1:35" ht="24.75">
      <c r="A56" s="3361" t="s">
        <v>1808</v>
      </c>
      <c r="B56" s="3362"/>
      <c r="C56" s="3362"/>
      <c r="D56" s="3234">
        <f ca="1">IF(H56="个人住宅",D57,D58)</f>
        <v>1381</v>
      </c>
      <c r="E56" s="3249" t="s">
        <v>1809</v>
      </c>
      <c r="F56" s="2729" t="str">
        <f>IF(H56="正常",F58,"免征")</f>
        <v>免征</v>
      </c>
      <c r="G56" s="2732" t="s">
        <v>1810</v>
      </c>
      <c r="H56" s="2733"/>
      <c r="I56" s="1944"/>
      <c r="J56" s="3239" t="str">
        <f>IF(项目基本情况!K6="上海银行",IF(J55="",4,J55+1),"")</f>
        <v/>
      </c>
      <c r="K56" s="3437" t="str">
        <f>IF(项目基本情况!K6="上海银行","其他处置费用","")</f>
        <v/>
      </c>
      <c r="L56" s="3438"/>
      <c r="M56" s="2700" t="str">
        <f>IF(项目基本情况!K6="上海银行",M69,"")</f>
        <v/>
      </c>
      <c r="N56" s="3437" t="str">
        <f>IF(项目基本情况!K6="上海银行","包含处置中涉及的律师、诉讼、拍卖、评估等费用","")</f>
        <v/>
      </c>
      <c r="O56" s="3440"/>
    </row>
    <row r="57" spans="1:35" ht="12.75">
      <c r="A57" s="3251" t="s">
        <v>1786</v>
      </c>
      <c r="B57" s="3372" t="s">
        <v>1811</v>
      </c>
      <c r="C57" s="3373"/>
      <c r="D57" s="1726">
        <v>0</v>
      </c>
      <c r="E57" s="330" t="s">
        <v>1788</v>
      </c>
      <c r="F57" s="308"/>
      <c r="G57" s="2730"/>
      <c r="H57" s="2734"/>
      <c r="I57" s="1944"/>
      <c r="J57" s="3414">
        <f>IF(AND(J55="",J56=""),4,IF(项目基本情况!K6="上海银行",'结果表(车位)'!J56+1,'结果表(车位)'!J55+1))</f>
        <v>5</v>
      </c>
      <c r="K57" s="3414" t="s">
        <v>1812</v>
      </c>
      <c r="L57" s="2705" t="s">
        <v>1813</v>
      </c>
      <c r="M57" s="2706"/>
      <c r="N57" s="2707">
        <f ca="1">SUMIF(M52:M56,"&lt;9e307")</f>
        <v>1405</v>
      </c>
      <c r="O57" s="2708"/>
      <c r="P57" s="2868">
        <f ca="1">N57/M49</f>
        <v>0.57652851867049648</v>
      </c>
    </row>
    <row r="58" spans="1:35" ht="24.75">
      <c r="A58" s="3251" t="s">
        <v>1797</v>
      </c>
      <c r="B58" s="3372" t="s">
        <v>1814</v>
      </c>
      <c r="C58" s="3346"/>
      <c r="D58" s="3234">
        <f ca="1">IF(H58="转让取得",C81,C97)</f>
        <v>1381</v>
      </c>
      <c r="E58" s="3249" t="s">
        <v>1809</v>
      </c>
      <c r="F58" s="308" t="s">
        <v>34</v>
      </c>
      <c r="G58" s="2730"/>
      <c r="H58" s="2733"/>
      <c r="I58" s="1944"/>
      <c r="J58" s="3414"/>
      <c r="K58" s="3414"/>
      <c r="L58" s="2705" t="s">
        <v>1815</v>
      </c>
      <c r="M58" s="2709"/>
      <c r="N58" s="2710" t="str">
        <f ca="1">NUMBERSTRING(INT(N57*10000),2)&amp;"元整"</f>
        <v>壹仟肆佰零伍万元整</v>
      </c>
      <c r="O58" s="2711"/>
    </row>
    <row r="59" spans="1:35" ht="24.75" thickBot="1">
      <c r="A59" s="3417" t="s">
        <v>1816</v>
      </c>
      <c r="B59" s="3418"/>
      <c r="C59" s="3418"/>
      <c r="D59" s="2735">
        <f ca="1">IF(H59="非个人房产","——",IF(H59="个人住宅（满五唯一有凭证）",0,IF(H59="个人其他（无凭证）",ROUND(D45*F59,0),ROUND(C67*F59,0))))</f>
        <v>23</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415">
        <f>J57+1</f>
        <v>6</v>
      </c>
      <c r="K59" s="3414" t="s">
        <v>1817</v>
      </c>
      <c r="L59" s="3239" t="s">
        <v>1813</v>
      </c>
      <c r="M59" s="2712"/>
      <c r="N59" s="2713">
        <f ca="1">M49-N57</f>
        <v>1032</v>
      </c>
      <c r="O59" s="2714"/>
    </row>
    <row r="60" spans="1:35" ht="12" customHeight="1">
      <c r="A60" s="1945"/>
      <c r="B60" s="1883"/>
      <c r="C60" s="1883"/>
      <c r="D60" s="1883"/>
      <c r="E60" s="1714"/>
      <c r="F60" s="1944"/>
      <c r="G60" s="1944"/>
      <c r="H60" s="1946"/>
      <c r="I60" s="134"/>
      <c r="J60" s="3416"/>
      <c r="K60" s="3414"/>
      <c r="L60" s="2705" t="s">
        <v>1815</v>
      </c>
      <c r="M60" s="2709"/>
      <c r="N60" s="2710" t="str">
        <f ca="1">NUMBERSTRING(INT(N59*10000),2)&amp;"元整"</f>
        <v>壹仟零叁拾贰万元整</v>
      </c>
      <c r="O60" s="2711"/>
    </row>
    <row r="61" spans="1:35" ht="13.5" thickBot="1">
      <c r="A61" s="3359" t="s">
        <v>1818</v>
      </c>
      <c r="B61" s="3359"/>
      <c r="C61" s="3359"/>
      <c r="D61" s="3359"/>
      <c r="E61" s="3359"/>
      <c r="F61" s="1944"/>
      <c r="G61" s="1944"/>
      <c r="H61" s="1946"/>
      <c r="I61" s="134"/>
      <c r="J61" s="3239">
        <f>J59+1</f>
        <v>7</v>
      </c>
      <c r="K61" s="3414" t="s">
        <v>1819</v>
      </c>
      <c r="L61" s="3414"/>
      <c r="M61" s="2715"/>
      <c r="N61" s="2716">
        <f ca="1">ROUND(N59*10000/'数据-汇总表'!E3,0)</f>
        <v>144</v>
      </c>
      <c r="O61" s="2717"/>
    </row>
    <row r="62" spans="1:35" ht="12.75">
      <c r="A62" s="3377" t="s">
        <v>1820</v>
      </c>
      <c r="B62" s="3378"/>
      <c r="C62" s="3244"/>
      <c r="D62" s="3244" t="s">
        <v>1821</v>
      </c>
      <c r="E62" s="171" t="s">
        <v>1822</v>
      </c>
      <c r="F62" s="1944"/>
      <c r="G62" s="1944"/>
      <c r="H62" s="1946"/>
      <c r="I62" s="134"/>
    </row>
    <row r="63" spans="1:35" ht="12.75">
      <c r="A63" s="178" t="s">
        <v>594</v>
      </c>
      <c r="B63" s="172" t="s">
        <v>1823</v>
      </c>
      <c r="C63" s="2739">
        <f ca="1">ROUND((C64+C65)/(1+'数据-取费表'!C42),0)</f>
        <v>2321</v>
      </c>
      <c r="D63" s="172"/>
      <c r="E63" s="173"/>
      <c r="F63" s="1944"/>
      <c r="G63" s="1944"/>
      <c r="H63" s="1946"/>
      <c r="I63" s="134"/>
      <c r="J63" s="3439" t="s">
        <v>1824</v>
      </c>
      <c r="K63" s="3235" t="s">
        <v>1825</v>
      </c>
      <c r="L63" s="3235">
        <f ca="1">IF(M49&gt;10000,M49*0.5%,IF(AND(M49&gt;1000,M49&lt;=10000),M49*1%,IF(AND(M49&gt;100,M49&lt;=1000),M49*3%,IF(AND(M49&gt;10,M49&lt;=100),M49*5%,M49*8%))))</f>
        <v>24.37</v>
      </c>
      <c r="M63" s="308">
        <f ca="1">ROUND(L63,1)</f>
        <v>24.4</v>
      </c>
      <c r="N63" s="2718"/>
      <c r="Z63" s="1888"/>
      <c r="AI63" s="1889"/>
    </row>
    <row r="64" spans="1:35" ht="14.25" customHeight="1">
      <c r="A64" s="174" t="s">
        <v>589</v>
      </c>
      <c r="B64" s="175" t="s">
        <v>1826</v>
      </c>
      <c r="C64" s="2740">
        <f ca="1">D45</f>
        <v>2437</v>
      </c>
      <c r="D64" s="175" t="s">
        <v>32</v>
      </c>
      <c r="E64" s="177"/>
      <c r="F64" s="1944"/>
      <c r="G64" s="1944"/>
      <c r="H64" s="1946"/>
      <c r="I64" s="134"/>
      <c r="J64" s="3439"/>
      <c r="K64" s="3235" t="s">
        <v>1827</v>
      </c>
      <c r="L64" s="3235">
        <f ca="1">IF(M49&gt;2000,M49*0.5%,IF(AND(M49&gt;1000,M49&lt;=2000),M49*0.6%,IF(AND(M49&gt;500,M49&lt;=1000),M49*0.7%,IF(AND(M49&gt;200,M49&lt;=500),M49*0.8%,IF(AND(M49&gt;100,M49&lt;=200),M49*0.9%,IF(AND(M49&gt;50,M49&lt;=100),M49*1%,IF(AND(M49&gt;20,M49&lt;=50),M49*1.5%,IF(AND(M49&gt;10,M49&lt;=20),M49*2%,IF(AND(M49&gt;1,M49&lt;=10),M49*2.5%)))))))))</f>
        <v>12.185</v>
      </c>
      <c r="M64" s="308">
        <f t="shared" ref="M64:M65" ca="1" si="1">ROUND(L64,1)</f>
        <v>12.2</v>
      </c>
      <c r="N64" s="2719" t="s">
        <v>1828</v>
      </c>
      <c r="Z64" s="1888"/>
      <c r="AI64" s="1889"/>
    </row>
    <row r="65" spans="1:35" ht="14.25" customHeight="1">
      <c r="A65" s="174" t="s">
        <v>590</v>
      </c>
      <c r="B65" s="175" t="s">
        <v>1829</v>
      </c>
      <c r="C65" s="2741"/>
      <c r="D65" s="175"/>
      <c r="E65" s="177"/>
      <c r="F65" s="1944"/>
      <c r="G65" s="1944"/>
      <c r="H65" s="1946"/>
      <c r="I65" s="134"/>
      <c r="J65" s="3439"/>
      <c r="K65" s="3235" t="s">
        <v>1830</v>
      </c>
      <c r="L65" s="3235">
        <f ca="1">IF(M49&gt;1000,M49*0.1%,IF(AND(M49&gt;500,M49&lt;=1000),M49*0.5%,IF(AND(M49&gt;50,M49&lt;=500),M49*1%,IF(AND(M49&gt;1,M49&lt;=50),M49*1.5%))))</f>
        <v>2.4369999999999998</v>
      </c>
      <c r="M65" s="308">
        <f t="shared" ca="1" si="1"/>
        <v>2.4</v>
      </c>
      <c r="N65" s="2719" t="s">
        <v>1828</v>
      </c>
      <c r="Z65" s="1888"/>
      <c r="AI65" s="1889"/>
    </row>
    <row r="66" spans="1:35" ht="14.25" customHeight="1">
      <c r="A66" s="178" t="s">
        <v>591</v>
      </c>
      <c r="B66" s="179" t="s">
        <v>1831</v>
      </c>
      <c r="C66" s="2742"/>
      <c r="D66" s="179" t="s">
        <v>32</v>
      </c>
      <c r="E66" s="1460" t="s">
        <v>1096</v>
      </c>
      <c r="F66" s="1944"/>
      <c r="G66" s="1944"/>
      <c r="H66" s="1946"/>
      <c r="I66" s="134"/>
      <c r="J66" s="3439"/>
      <c r="K66" s="3235" t="s">
        <v>1832</v>
      </c>
      <c r="L66" s="3235">
        <f ca="1">M49*0.5%</f>
        <v>12.185</v>
      </c>
      <c r="M66" s="308">
        <f ca="1">IF(L66&gt;0.5,0.5,ROUND(L66,0))</f>
        <v>0.5</v>
      </c>
      <c r="N66" s="2719" t="s">
        <v>1833</v>
      </c>
      <c r="Z66" s="1888"/>
      <c r="AI66" s="1889"/>
    </row>
    <row r="67" spans="1:35" ht="14.25" customHeight="1">
      <c r="A67" s="178" t="s">
        <v>592</v>
      </c>
      <c r="B67" s="179" t="s">
        <v>1834</v>
      </c>
      <c r="C67" s="2743">
        <f ca="1">C63-C66</f>
        <v>2321</v>
      </c>
      <c r="D67" s="175" t="s">
        <v>32</v>
      </c>
      <c r="E67" s="177"/>
      <c r="F67" s="1944"/>
      <c r="G67" s="1944"/>
      <c r="H67" s="1946"/>
      <c r="I67" s="134"/>
      <c r="J67" s="3439"/>
      <c r="K67" s="3235" t="s">
        <v>1835</v>
      </c>
      <c r="L67" s="3235">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18"/>
      <c r="Z67" s="1888"/>
      <c r="AI67" s="1889"/>
    </row>
    <row r="68" spans="1:35" ht="14.25" customHeight="1" thickBot="1">
      <c r="A68" s="181" t="s">
        <v>593</v>
      </c>
      <c r="B68" s="182" t="s">
        <v>1836</v>
      </c>
      <c r="C68" s="2744">
        <f ca="1">IF(C67&lt;=0,0,ROUND(C67*D68,0))</f>
        <v>128</v>
      </c>
      <c r="D68" s="2745">
        <f>'数据-取费表'!B41</f>
        <v>5.5000000000000007E-2</v>
      </c>
      <c r="E68" s="184"/>
      <c r="F68" s="1944"/>
      <c r="G68" s="1944"/>
      <c r="H68" s="1946"/>
      <c r="I68" s="134"/>
      <c r="J68" s="3439"/>
      <c r="K68" s="3235" t="s">
        <v>1837</v>
      </c>
      <c r="L68" s="3235">
        <f ca="1">IF(M49&gt;10000,M49*0.5%,IF(AND(M49&gt;5000,M49&lt;=10000),M49*1%,IF(AND(M49&gt;1000,M49&lt;=5000),M49*2%,IF(AND(M49&gt;200,M49&lt;=1000),M49*3%,M49*5%))))</f>
        <v>48.74</v>
      </c>
      <c r="M68" s="308">
        <f ca="1">ROUND(L68,1)</f>
        <v>48.7</v>
      </c>
      <c r="N68" s="2718"/>
      <c r="Z68" s="1888"/>
      <c r="AI68" s="1889"/>
    </row>
    <row r="69" spans="1:35" s="1908" customFormat="1" ht="16.5" customHeight="1">
      <c r="A69" s="1947"/>
      <c r="B69" s="1948"/>
      <c r="C69" s="1949"/>
      <c r="D69" s="1950"/>
      <c r="E69" s="1951"/>
      <c r="F69" s="1714"/>
      <c r="G69" s="1714"/>
      <c r="H69" s="1713"/>
      <c r="I69" s="1883"/>
      <c r="J69" s="3439"/>
      <c r="K69" s="3235" t="s">
        <v>1838</v>
      </c>
      <c r="L69" s="3235"/>
      <c r="M69" s="308">
        <f ca="1">ROUND(SUM(M63:M68),0)</f>
        <v>91</v>
      </c>
      <c r="N69" s="2720">
        <f ca="1">M69/M49</f>
        <v>3.7340993024210095E-2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398" t="s">
        <v>1839</v>
      </c>
      <c r="B70" s="3399"/>
      <c r="C70" s="3399"/>
      <c r="D70" s="3399"/>
      <c r="E70" s="3399"/>
      <c r="F70" s="3399"/>
      <c r="G70" s="3399"/>
      <c r="H70" s="3399"/>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77" t="s">
        <v>1820</v>
      </c>
      <c r="B71" s="3378"/>
      <c r="C71" s="3244"/>
      <c r="D71" s="3244"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f ca="1">ROUND(D45/(1+'数据-取费表'!C42),0)</f>
        <v>2321</v>
      </c>
      <c r="D72" s="175" t="s">
        <v>32</v>
      </c>
      <c r="E72" s="3246"/>
      <c r="F72" s="3245"/>
      <c r="G72" s="3245"/>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f ca="1">C74+C78</f>
        <v>12</v>
      </c>
      <c r="D73" s="175" t="s">
        <v>32</v>
      </c>
      <c r="E73" s="3246"/>
      <c r="F73" s="3245"/>
      <c r="G73" s="3245"/>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3246"/>
      <c r="F74" s="3245"/>
      <c r="G74" s="3245"/>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372" t="s">
        <v>1847</v>
      </c>
      <c r="F76" s="3346"/>
      <c r="G76" s="3346"/>
      <c r="H76" s="3397"/>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3234" t="s">
        <v>1849</v>
      </c>
      <c r="F77" s="192"/>
      <c r="G77" s="1958"/>
      <c r="H77" s="3247"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f ca="1">ROUND(D45*D78/(1+'数据-取费表'!C42),0)</f>
        <v>12</v>
      </c>
      <c r="D78" s="2752">
        <f>'数据-取费表'!B43</f>
        <v>5.000000000000001E-3</v>
      </c>
      <c r="E78" s="3356" t="s">
        <v>1851</v>
      </c>
      <c r="F78" s="3357"/>
      <c r="G78" s="3357"/>
      <c r="H78" s="3366"/>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592</v>
      </c>
      <c r="B79" s="179" t="s">
        <v>1852</v>
      </c>
      <c r="C79" s="2743">
        <f ca="1">C72-C73</f>
        <v>2309</v>
      </c>
      <c r="D79" s="175" t="s">
        <v>32</v>
      </c>
      <c r="E79" s="3246"/>
      <c r="F79" s="3245"/>
      <c r="G79" s="3245"/>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f ca="1">IF(C79&lt;=0,0,C79/C73)</f>
        <v>192.41666666666666</v>
      </c>
      <c r="D80" s="175" t="s">
        <v>32</v>
      </c>
      <c r="E80" s="3234" t="str">
        <f ca="1">IF(C80&gt;=200%,"增值额超过扣除项目金额200%",IF(C80&gt;=100%,"增值额超过扣除项目金额100%，未超过200%",IF(C80&gt;=50%,"增值额超过扣除项目金额50%，未超过100%",IF(C80&lt;50%,"增值额未超过扣除项目金额50%"))))</f>
        <v>增值额超过扣除项目金额200%</v>
      </c>
      <c r="F80" s="3245"/>
      <c r="G80" s="3245"/>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f ca="1">ROUND(IF(C79&lt;=0,0,IF(C80&gt;=200%,C79*60%-C73*35%,IF(C80&gt;=100%,C79*50%-C73*15%,IF(C80&gt;=50%,C79*40%-C73*5%,IF(C80&lt;50%,C79*30%,0))))),0)</f>
        <v>1381</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98" t="s">
        <v>1855</v>
      </c>
      <c r="B83" s="3399"/>
      <c r="C83" s="3399"/>
      <c r="D83" s="3399"/>
      <c r="E83" s="3399"/>
      <c r="F83" s="3399"/>
      <c r="G83" s="3399"/>
      <c r="H83" s="3399"/>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77" t="s">
        <v>1820</v>
      </c>
      <c r="B84" s="3378"/>
      <c r="C84" s="3244"/>
      <c r="D84" s="3244"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f ca="1">ROUND(D45/(1+'数据-取费表'!C42),0)</f>
        <v>2321</v>
      </c>
      <c r="D85" s="175" t="s">
        <v>32</v>
      </c>
      <c r="E85" s="3246"/>
      <c r="F85" s="3245"/>
      <c r="G85" s="3245"/>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f ca="1">IF(H88="仅含出让金",C87+C90+C91+C92+C93+C94,C87+C91+C92+C93+C94)</f>
        <v>12</v>
      </c>
      <c r="D86" s="2756"/>
      <c r="E86" s="3246"/>
      <c r="F86" s="3245"/>
      <c r="G86" s="3245"/>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3241"/>
      <c r="F87" s="3242"/>
      <c r="G87" s="3242"/>
      <c r="H87" s="3243"/>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3242"/>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3242"/>
      <c r="G89" s="3242"/>
      <c r="H89" s="3243"/>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3242"/>
      <c r="G90" s="3441" t="s">
        <v>2629</v>
      </c>
      <c r="H90" s="3442"/>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56" t="s">
        <v>1864</v>
      </c>
      <c r="F91" s="3357"/>
      <c r="G91" s="3357"/>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56" t="s">
        <v>1867</v>
      </c>
      <c r="F92" s="3357"/>
      <c r="G92" s="3357"/>
      <c r="H92" s="3366"/>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f ca="1">ROUND(D45*D93/(1+'数据-取费表'!C42),0)</f>
        <v>12</v>
      </c>
      <c r="D93" s="2752">
        <f>'数据-取费表'!B43</f>
        <v>5.000000000000001E-3</v>
      </c>
      <c r="E93" s="3356" t="s">
        <v>1851</v>
      </c>
      <c r="F93" s="3357"/>
      <c r="G93" s="3357"/>
      <c r="H93" s="3366"/>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367" t="s">
        <v>1871</v>
      </c>
      <c r="F94" s="3368"/>
      <c r="G94" s="3368"/>
      <c r="H94" s="3369"/>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592</v>
      </c>
      <c r="B95" s="179" t="s">
        <v>1852</v>
      </c>
      <c r="C95" s="2743">
        <f ca="1">ROUND(C85-C86,0)</f>
        <v>2309</v>
      </c>
      <c r="D95" s="175" t="s">
        <v>32</v>
      </c>
      <c r="E95" s="3246"/>
      <c r="F95" s="3245"/>
      <c r="G95" s="3245"/>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f ca="1">IF(C95&lt;=0,0,C95/C86)</f>
        <v>192.41666666666666</v>
      </c>
      <c r="D96" s="175" t="s">
        <v>32</v>
      </c>
      <c r="E96" s="3234" t="str">
        <f ca="1">IF(C96&gt;=200%,"增值额超过扣除项目金额200%",IF(C96&gt;=100%,"增值额超过扣除项目金额100%，未超过200%",IF(C96&gt;=50%,"增值额超过扣除项目金额50%，未超过100%",IF(C96&lt;50%,"增值额未超过扣除项目金额50%"))))</f>
        <v>增值额超过扣除项目金额200%</v>
      </c>
      <c r="F96" s="3245"/>
      <c r="G96" s="3245"/>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f ca="1">ROUND(IF(C95&lt;=0,0,IF(C96&gt;=200%,C95*60%-C86*35%,IF(C96&gt;=100%,C95*50%-C86*15%,IF(C96&gt;=50%,C95*40%-C86*5%,IF(C96&lt;50%,C95*30%,0))))),0)</f>
        <v>1381</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4"/>
      <c r="F98" s="1714"/>
      <c r="G98" s="1714"/>
      <c r="H98" s="1713"/>
      <c r="I98" s="134"/>
    </row>
    <row r="99" spans="1:35" ht="21.75" customHeight="1" thickBot="1">
      <c r="A99" s="1936" t="s">
        <v>1872</v>
      </c>
      <c r="B99" s="1883"/>
      <c r="C99" s="1883"/>
      <c r="D99" s="1883"/>
      <c r="E99" s="1714"/>
      <c r="F99" s="1714"/>
      <c r="G99" s="1714"/>
      <c r="H99" s="1713"/>
      <c r="I99" s="134"/>
    </row>
    <row r="100" spans="1:35" ht="18.75" customHeight="1">
      <c r="A100" s="3340" t="s">
        <v>1873</v>
      </c>
      <c r="B100" s="3341"/>
      <c r="C100" s="3341"/>
      <c r="D100" s="3358"/>
      <c r="E100" s="3341" t="s">
        <v>1874</v>
      </c>
      <c r="F100" s="3341"/>
      <c r="G100" s="3341"/>
      <c r="H100" s="3358"/>
      <c r="I100" s="134"/>
    </row>
    <row r="101" spans="1:35" ht="18.75" customHeight="1">
      <c r="A101" s="3422" t="s">
        <v>1875</v>
      </c>
      <c r="B101" s="3423"/>
      <c r="C101" s="2760" t="str">
        <f>C4</f>
        <v>比较法-车位</v>
      </c>
      <c r="D101" s="2761" t="str">
        <f>D4</f>
        <v>收益法(车位)</v>
      </c>
      <c r="E101" s="3436" t="s">
        <v>1876</v>
      </c>
      <c r="F101" s="3390"/>
      <c r="G101" s="1963" t="s">
        <v>1877</v>
      </c>
      <c r="H101" s="2770">
        <f ca="1">H118</f>
        <v>2437</v>
      </c>
      <c r="I101" s="134"/>
    </row>
    <row r="102" spans="1:35" ht="18.75" customHeight="1">
      <c r="A102" s="3392" t="s">
        <v>1878</v>
      </c>
      <c r="B102" s="2759" t="s">
        <v>1877</v>
      </c>
      <c r="C102" s="2760">
        <f ca="1">C19</f>
        <v>2574</v>
      </c>
      <c r="D102" s="2761">
        <f ca="1">D19</f>
        <v>2299</v>
      </c>
      <c r="E102" s="3436"/>
      <c r="F102" s="3390"/>
      <c r="G102" s="1963" t="s">
        <v>1879</v>
      </c>
      <c r="H102" s="2730">
        <f ca="1">I118</f>
        <v>3857</v>
      </c>
      <c r="I102" s="134"/>
    </row>
    <row r="103" spans="1:35" ht="42.75" customHeight="1">
      <c r="A103" s="3392"/>
      <c r="B103" s="2759" t="s">
        <v>1879</v>
      </c>
      <c r="C103" s="2762">
        <f ca="1">C20</f>
        <v>4074</v>
      </c>
      <c r="D103" s="2763">
        <f ca="1">D20</f>
        <v>3639</v>
      </c>
      <c r="E103" s="3430" t="s">
        <v>1880</v>
      </c>
      <c r="F103" s="3431"/>
      <c r="G103" s="1964" t="s">
        <v>1881</v>
      </c>
      <c r="H103" s="2770">
        <f>IF(D36="正常操作",H104+H105+H106,H105+H106)</f>
        <v>0</v>
      </c>
      <c r="I103" s="134"/>
    </row>
    <row r="104" spans="1:35" ht="18.75" customHeight="1">
      <c r="A104" s="3392" t="s">
        <v>1882</v>
      </c>
      <c r="B104" s="2764" t="s">
        <v>1877</v>
      </c>
      <c r="C104" s="2765">
        <f ca="1">H118</f>
        <v>2437</v>
      </c>
      <c r="D104" s="2766"/>
      <c r="E104" s="1810" t="s">
        <v>1883</v>
      </c>
      <c r="F104" s="1802"/>
      <c r="G104" s="1964" t="s">
        <v>1881</v>
      </c>
      <c r="H104" s="2771">
        <f>IF(D36="同一抵押权人同一抵押物续贷",C36&amp;"（续贷，未扣减，详见特别提示）",C36)</f>
        <v>0</v>
      </c>
      <c r="I104" s="134"/>
    </row>
    <row r="105" spans="1:35" ht="18.75" customHeight="1" thickBot="1">
      <c r="A105" s="3393"/>
      <c r="B105" s="2767" t="s">
        <v>1879</v>
      </c>
      <c r="C105" s="2768">
        <f ca="1">I118</f>
        <v>3857</v>
      </c>
      <c r="D105" s="2769"/>
      <c r="E105" s="1810" t="s">
        <v>1884</v>
      </c>
      <c r="F105" s="1802"/>
      <c r="G105" s="1964" t="s">
        <v>1881</v>
      </c>
      <c r="H105" s="2772">
        <f>C37</f>
        <v>0</v>
      </c>
      <c r="I105" s="134"/>
    </row>
    <row r="106" spans="1:35" ht="18.75" customHeight="1">
      <c r="A106" s="1883" t="s">
        <v>1885</v>
      </c>
      <c r="B106" s="1883"/>
      <c r="C106" s="1883"/>
      <c r="D106" s="1883"/>
      <c r="E106" s="1965" t="s">
        <v>1886</v>
      </c>
      <c r="F106" s="1802"/>
      <c r="G106" s="1964" t="s">
        <v>1881</v>
      </c>
      <c r="H106" s="2772">
        <f>C38</f>
        <v>0</v>
      </c>
      <c r="I106" s="134"/>
    </row>
    <row r="107" spans="1:35" ht="18.75" customHeight="1">
      <c r="A107" s="134"/>
      <c r="B107" s="134"/>
      <c r="C107" s="134"/>
      <c r="D107" s="134"/>
      <c r="E107" s="3389" t="str">
        <f>IF(项目基本情况!E8="已注销","——","3.房地产抵押价值")</f>
        <v>3.房地产抵押价值</v>
      </c>
      <c r="F107" s="3390"/>
      <c r="G107" s="1963" t="s">
        <v>1877</v>
      </c>
      <c r="H107" s="2770">
        <f ca="1">IF(E107="——","——",H101-H103)</f>
        <v>2437</v>
      </c>
      <c r="I107" s="134"/>
    </row>
    <row r="108" spans="1:35" ht="18.75" customHeight="1">
      <c r="A108" s="134"/>
      <c r="B108" s="134"/>
      <c r="C108" s="134"/>
      <c r="D108" s="134"/>
      <c r="E108" s="3389"/>
      <c r="F108" s="3390"/>
      <c r="G108" s="1963" t="s">
        <v>1879</v>
      </c>
      <c r="H108" s="2730">
        <f ca="1">ROUND(H107*10000/'数据-汇总表'!E3,0)</f>
        <v>340</v>
      </c>
      <c r="I108" s="134"/>
    </row>
    <row r="109" spans="1:35" ht="18.75" customHeight="1">
      <c r="A109" s="134"/>
      <c r="B109" s="134"/>
      <c r="C109" s="134"/>
      <c r="D109" s="134"/>
      <c r="E109" s="3389" t="str">
        <f>IF(项目基本情况!E8="已注销及未注销","4.抵押担保权已注销时的房地产抵押价值",IF(项目基本情况!E8="已注销","3.抵押担保权已注销时的房地产抵押价值","——"))</f>
        <v>——</v>
      </c>
      <c r="F109" s="3390"/>
      <c r="G109" s="1963" t="s">
        <v>1877</v>
      </c>
      <c r="H109" s="2773" t="str">
        <f>IF(E109="——","——",H101-H105-H106)</f>
        <v>——</v>
      </c>
      <c r="I109" s="134"/>
    </row>
    <row r="110" spans="1:35" ht="18.75" customHeight="1">
      <c r="A110" s="134"/>
      <c r="B110" s="134"/>
      <c r="C110" s="134"/>
      <c r="D110" s="134"/>
      <c r="E110" s="3389"/>
      <c r="F110" s="3390"/>
      <c r="G110" s="1963" t="s">
        <v>1879</v>
      </c>
      <c r="H110" s="2730" t="str">
        <f>IF(H109="——","——",ROUND(H109*10000/'数据-汇总表'!E3,0))</f>
        <v>——</v>
      </c>
      <c r="I110" s="134"/>
    </row>
    <row r="111" spans="1:35" ht="18.75" customHeight="1">
      <c r="A111" s="134"/>
      <c r="B111" s="134"/>
      <c r="C111" s="134"/>
      <c r="D111" s="134"/>
      <c r="E111" s="3424" t="str">
        <f>IF(项目基本情况!E9="抵押净值",IF(OR(项目基本情况!E8="已注销",项目基本情况!E8="房地产抵押价值"),"4.抵押净值","5.抵押净值"),"——")</f>
        <v>——</v>
      </c>
      <c r="F111" s="3391"/>
      <c r="G111" s="1963" t="s">
        <v>1877</v>
      </c>
      <c r="H111" s="2770" t="str">
        <f>IF(E111="——","——",N59)</f>
        <v>——</v>
      </c>
      <c r="I111" s="134"/>
    </row>
    <row r="112" spans="1:35" ht="18.75" customHeight="1" thickBot="1">
      <c r="A112" s="134"/>
      <c r="B112" s="134"/>
      <c r="C112" s="134"/>
      <c r="D112" s="134"/>
      <c r="E112" s="3425"/>
      <c r="F112" s="3426"/>
      <c r="G112" s="1966" t="s">
        <v>1879</v>
      </c>
      <c r="H112" s="2774" t="str">
        <f>IF(E111="——","——",N61)</f>
        <v>——</v>
      </c>
      <c r="I112" s="134"/>
    </row>
    <row r="113" spans="1:27" ht="18.75" customHeight="1">
      <c r="A113" s="134"/>
      <c r="B113" s="134"/>
      <c r="C113" s="134"/>
      <c r="D113" s="134"/>
      <c r="E113" s="3394" t="s">
        <v>1885</v>
      </c>
      <c r="F113" s="3394"/>
      <c r="G113" s="3394"/>
      <c r="H113" s="3394"/>
      <c r="I113" s="134"/>
    </row>
    <row r="114" spans="1:27" ht="3.75" customHeight="1">
      <c r="A114" s="1883"/>
      <c r="B114" s="1883"/>
      <c r="C114" s="1883"/>
      <c r="D114" s="1883"/>
      <c r="E114" s="1945"/>
      <c r="F114" s="1945"/>
      <c r="G114" s="1945"/>
      <c r="H114" s="1945"/>
      <c r="I114" s="1883"/>
    </row>
    <row r="115" spans="1:27" ht="18.75" customHeight="1">
      <c r="A115" s="3407" t="s">
        <v>1887</v>
      </c>
      <c r="B115" s="3408"/>
      <c r="C115" s="3408"/>
      <c r="D115" s="3408"/>
      <c r="E115" s="3408"/>
      <c r="F115" s="3408"/>
      <c r="G115" s="3408"/>
      <c r="H115" s="3408"/>
      <c r="I115" s="3409"/>
    </row>
    <row r="116" spans="1:27" ht="27" customHeight="1">
      <c r="A116" s="3360" t="s">
        <v>1888</v>
      </c>
      <c r="B116" s="3395" t="s">
        <v>1889</v>
      </c>
      <c r="C116" s="3395" t="s">
        <v>1890</v>
      </c>
      <c r="D116" s="3411" t="s">
        <v>1891</v>
      </c>
      <c r="E116" s="3412"/>
      <c r="F116" s="3403" t="s">
        <v>1892</v>
      </c>
      <c r="G116" s="3403"/>
      <c r="H116" s="3360" t="s">
        <v>1893</v>
      </c>
      <c r="I116" s="3360"/>
    </row>
    <row r="117" spans="1:27" ht="18.75" customHeight="1">
      <c r="A117" s="3360"/>
      <c r="B117" s="3396"/>
      <c r="C117" s="3396"/>
      <c r="D117" s="3237" t="s">
        <v>1894</v>
      </c>
      <c r="E117" s="3237" t="s">
        <v>1895</v>
      </c>
      <c r="F117" s="3237" t="s">
        <v>1894</v>
      </c>
      <c r="G117" s="3237" t="s">
        <v>1896</v>
      </c>
      <c r="H117" s="3237" t="s">
        <v>1894</v>
      </c>
      <c r="I117" s="3237" t="s">
        <v>1896</v>
      </c>
    </row>
    <row r="118" spans="1:27" ht="24.75" customHeight="1">
      <c r="A118" s="2775" t="str">
        <f>项目基本情况!S2</f>
        <v>北京市房地产</v>
      </c>
      <c r="B118" s="3237">
        <f>M18</f>
        <v>6318.51</v>
      </c>
      <c r="C118" s="3237">
        <f>M19</f>
        <v>0</v>
      </c>
      <c r="D118" s="3237" t="e">
        <f ca="1">ROUND(IF(D32="总价",C34,E118*B118/10000),0)</f>
        <v>#REF!</v>
      </c>
      <c r="E118" s="3237" t="e">
        <f ca="1">ROUND(IF(C33="自定义",IF(D32="楼面单价",C34,D118*10000/B118),I118-G118),0)</f>
        <v>#REF!</v>
      </c>
      <c r="F118" s="3237" t="e">
        <f ca="1">ROUND(IF(D32="总价",C35,G118*B118/10000),0)</f>
        <v>#REF!</v>
      </c>
      <c r="G118" s="3237" t="e">
        <f ca="1">ROUND(IF(D32="楼面单价",C35,F118*10000/B118),0)</f>
        <v>#REF!</v>
      </c>
      <c r="H118" s="3237">
        <f ca="1">ROUND(IF(D32="总价",C32,I118*B118/10000),0)</f>
        <v>2437</v>
      </c>
      <c r="I118" s="3237">
        <f ca="1">ROUND(IF(D32="楼面单价",C32,H118*10000/B118),0)</f>
        <v>3857</v>
      </c>
    </row>
    <row r="119" spans="1:27" ht="18.75" customHeight="1">
      <c r="A119" s="3360" t="s">
        <v>1897</v>
      </c>
      <c r="B119" s="3360"/>
      <c r="C119" s="3360"/>
      <c r="D119" s="3400" t="e">
        <f ca="1">NUMBERSTRING(INT(D118*10000),2)&amp;"元整"</f>
        <v>#REF!</v>
      </c>
      <c r="E119" s="3402"/>
      <c r="F119" s="3400" t="e">
        <f ca="1">NUMBERSTRING(INT(F118*10000),2)&amp;"元整"</f>
        <v>#REF!</v>
      </c>
      <c r="G119" s="3402"/>
      <c r="H119" s="3400" t="str">
        <f ca="1">NUMBERSTRING(INT(H118*10000),2)&amp;"元整"</f>
        <v>贰仟肆佰叁拾柒万元整</v>
      </c>
      <c r="I119" s="3402"/>
    </row>
    <row r="120" spans="1:27" ht="18.75" customHeight="1">
      <c r="A120" s="3427" t="str">
        <f>IF(项目基本情况!B9="房地产市场价值","",MID(E103,3,LEN(E103)-2))</f>
        <v>估价师知悉的法定优先受偿款</v>
      </c>
      <c r="B120" s="3428"/>
      <c r="C120" s="3429"/>
      <c r="D120" s="3427">
        <f>H103</f>
        <v>0</v>
      </c>
      <c r="E120" s="3428"/>
      <c r="F120" s="3428"/>
      <c r="G120" s="3428"/>
      <c r="H120" s="3428"/>
      <c r="I120" s="3429"/>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04" t="s">
        <v>1897</v>
      </c>
      <c r="B121" s="3405"/>
      <c r="C121" s="3406"/>
      <c r="D121" s="3400" t="str">
        <f>IF(D120=0,"零元整",NUMBERSTRING(INT(D120*10000),2)&amp;"元整")</f>
        <v>零元整</v>
      </c>
      <c r="E121" s="3401"/>
      <c r="F121" s="3401"/>
      <c r="G121" s="3401"/>
      <c r="H121" s="3401"/>
      <c r="I121" s="3402"/>
      <c r="AA121" s="734"/>
    </row>
    <row r="122" spans="1:27" ht="18.75" customHeight="1">
      <c r="A122" s="3391" t="str">
        <f>IF(项目基本情况!B9="房地产市场价值","",MID(E107,3,LEN(E107)-2))</f>
        <v>房地产抵押价值</v>
      </c>
      <c r="B122" s="3391"/>
      <c r="C122" s="3391"/>
      <c r="D122" s="3427">
        <f ca="1">H107</f>
        <v>2437</v>
      </c>
      <c r="E122" s="3428"/>
      <c r="F122" s="3428"/>
      <c r="G122" s="3428"/>
      <c r="H122" s="3428"/>
      <c r="I122" s="3429"/>
      <c r="AA122" s="734"/>
    </row>
    <row r="123" spans="1:27" ht="18.75" customHeight="1">
      <c r="A123" s="3360" t="s">
        <v>1897</v>
      </c>
      <c r="B123" s="3360"/>
      <c r="C123" s="3360"/>
      <c r="D123" s="3400" t="str">
        <f ca="1">NUMBERSTRING(INT(D122*10000),2)&amp;"元整"</f>
        <v>贰仟肆佰叁拾柒万元整</v>
      </c>
      <c r="E123" s="3401"/>
      <c r="F123" s="3401"/>
      <c r="G123" s="3401"/>
      <c r="H123" s="3401"/>
      <c r="I123" s="3402"/>
      <c r="AA123" s="734"/>
    </row>
    <row r="124" spans="1:27" ht="18.75" customHeight="1">
      <c r="A124" s="3391" t="str">
        <f>IF(项目基本情况!B9="房地产市场价值","",MID(E109,3,LEN(E109)-2))</f>
        <v/>
      </c>
      <c r="B124" s="3391"/>
      <c r="C124" s="3391"/>
      <c r="D124" s="3427" t="str">
        <f>H109</f>
        <v>——</v>
      </c>
      <c r="E124" s="3428"/>
      <c r="F124" s="3428"/>
      <c r="G124" s="3428"/>
      <c r="H124" s="3428"/>
      <c r="I124" s="3429"/>
      <c r="AA124" s="734"/>
    </row>
    <row r="125" spans="1:27" ht="18.75" customHeight="1">
      <c r="A125" s="3360" t="s">
        <v>1897</v>
      </c>
      <c r="B125" s="3360"/>
      <c r="C125" s="3360"/>
      <c r="D125" s="3400" t="e">
        <f>NUMBERSTRING(INT(D124*10000),2)&amp;"元整"</f>
        <v>#VALUE!</v>
      </c>
      <c r="E125" s="3401"/>
      <c r="F125" s="3401"/>
      <c r="G125" s="3401"/>
      <c r="H125" s="3401"/>
      <c r="I125" s="3402"/>
      <c r="AA125" s="734"/>
    </row>
    <row r="126" spans="1:27" ht="18.75" customHeight="1">
      <c r="A126" s="3391" t="str">
        <f>IF(项目基本情况!B9="房地产市场价值","",MID(E111,3,LEN(E111)-2))</f>
        <v/>
      </c>
      <c r="B126" s="3391"/>
      <c r="C126" s="3391"/>
      <c r="D126" s="3427" t="str">
        <f>H111</f>
        <v>——</v>
      </c>
      <c r="E126" s="3428"/>
      <c r="F126" s="3428"/>
      <c r="G126" s="3428"/>
      <c r="H126" s="3428"/>
      <c r="I126" s="3429"/>
      <c r="AA126" s="734"/>
    </row>
    <row r="127" spans="1:27" ht="18.75" customHeight="1">
      <c r="A127" s="3360" t="s">
        <v>1897</v>
      </c>
      <c r="B127" s="3360"/>
      <c r="C127" s="3360"/>
      <c r="D127" s="3400" t="e">
        <f>NUMBERSTRING(INT(D126*10000),2)&amp;"元整"</f>
        <v>#VALUE!</v>
      </c>
      <c r="E127" s="3401"/>
      <c r="F127" s="3401"/>
      <c r="G127" s="3401"/>
      <c r="H127" s="3401"/>
      <c r="I127" s="3402"/>
      <c r="AA127" s="734"/>
    </row>
    <row r="128" spans="1:27" ht="21.75" customHeight="1">
      <c r="A128" s="3410" t="s">
        <v>1898</v>
      </c>
      <c r="B128" s="3410"/>
      <c r="C128" s="3410"/>
      <c r="D128" s="3410"/>
      <c r="E128" s="3410"/>
      <c r="F128" s="3410"/>
      <c r="G128" s="3410"/>
      <c r="H128" s="3410"/>
      <c r="I128" s="3410"/>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91" priority="10" stopIfTrue="1" operator="equal">
      <formula>25</formula>
    </cfRule>
  </conditionalFormatting>
  <conditionalFormatting sqref="C8:C9">
    <cfRule type="cellIs" dxfId="90" priority="9" stopIfTrue="1" operator="equal">
      <formula>15</formula>
    </cfRule>
  </conditionalFormatting>
  <conditionalFormatting sqref="C14:C16">
    <cfRule type="cellIs" dxfId="89" priority="8" stopIfTrue="1" operator="equal">
      <formula>30</formula>
    </cfRule>
  </conditionalFormatting>
  <conditionalFormatting sqref="D5:D7">
    <cfRule type="cellIs" dxfId="88" priority="7" stopIfTrue="1" operator="equal">
      <formula>25</formula>
    </cfRule>
  </conditionalFormatting>
  <conditionalFormatting sqref="D8:D9">
    <cfRule type="cellIs" dxfId="87" priority="6" stopIfTrue="1" operator="equal">
      <formula>15</formula>
    </cfRule>
  </conditionalFormatting>
  <conditionalFormatting sqref="C10:D13">
    <cfRule type="cellIs" dxfId="86" priority="5" stopIfTrue="1" operator="equal">
      <formula>15</formula>
    </cfRule>
  </conditionalFormatting>
  <conditionalFormatting sqref="D14:D16">
    <cfRule type="cellIs" dxfId="85" priority="4" stopIfTrue="1" operator="equal">
      <formula>30</formula>
    </cfRule>
  </conditionalFormatting>
  <conditionalFormatting sqref="C90">
    <cfRule type="expression" dxfId="84" priority="3" stopIfTrue="1">
      <formula>$H$88&lt;&gt;"仅含出让金"</formula>
    </cfRule>
  </conditionalFormatting>
  <conditionalFormatting sqref="C91">
    <cfRule type="expression" dxfId="83" priority="2" stopIfTrue="1">
      <formula>$H$91="由企业提供"</formula>
    </cfRule>
  </conditionalFormatting>
  <conditionalFormatting sqref="E36">
    <cfRule type="expression" dxfId="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85" zoomScaleNormal="60" zoomScaleSheetLayoutView="85" workbookViewId="0">
      <selection activeCell="M36" sqref="M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t="s">
        <v>3206</v>
      </c>
      <c r="C1" s="1345" t="s">
        <v>2110</v>
      </c>
      <c r="D1" s="1346" t="s">
        <v>3206</v>
      </c>
      <c r="E1" s="1347"/>
      <c r="F1" s="2015" t="s">
        <v>3222</v>
      </c>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f>IF(C2="——",IF(B37="元/平方米",ROUND(C39*D3/10000,0),ROUND(F3*C39/10000,0)),IF(B37="元/平方米",ROUND(C39*D3/10000,0),ROUND(F3*C39/10000,0))-D2)</f>
        <v>2574</v>
      </c>
      <c r="C2" s="2017" t="s">
        <v>70</v>
      </c>
      <c r="D2" s="1019" t="e">
        <f ca="1">SUMIF(INDIRECT("'"&amp;F2&amp;"'"&amp;"!A:A"),"承租人权益价值",INDIRECT("'"&amp;F2&amp;"'"&amp;"!c:c"))</f>
        <v>#REF!</v>
      </c>
      <c r="E2" s="2018" t="s">
        <v>1908</v>
      </c>
      <c r="F2" s="2019"/>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f>IF(AND(C2="——",B37="元/平方米"),C39,ROUND(B2*10000/D3,0))</f>
        <v>4074</v>
      </c>
      <c r="C3" s="360" t="s">
        <v>2224</v>
      </c>
      <c r="D3" s="359">
        <f>SUMIF('数据-汇总表'!$C19:$C33,D1,'数据-汇总表'!$E19:$E33)</f>
        <v>6318.51</v>
      </c>
      <c r="E3" s="360" t="s">
        <v>2288</v>
      </c>
      <c r="F3" s="359">
        <f>SUMIF('数据-取费表'!A5:A15,D1,'数据-取费表'!AH5:AH15)</f>
        <v>143</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490" t="s">
        <v>2226</v>
      </c>
      <c r="D4" s="3491"/>
      <c r="E4" s="3492" t="s">
        <v>2227</v>
      </c>
      <c r="F4" s="3493"/>
      <c r="G4" s="3490" t="s">
        <v>2228</v>
      </c>
      <c r="H4" s="3491"/>
      <c r="I4" s="3490" t="s">
        <v>2229</v>
      </c>
      <c r="J4" s="3491"/>
      <c r="K4" s="567" t="s">
        <v>2230</v>
      </c>
      <c r="L4" s="2893"/>
      <c r="M4" s="2894"/>
      <c r="N4" s="2894"/>
      <c r="O4" s="2894"/>
      <c r="P4" s="3494" t="s">
        <v>2231</v>
      </c>
      <c r="Q4" s="3495"/>
      <c r="R4" s="3500" t="s">
        <v>2227</v>
      </c>
      <c r="S4" s="3501"/>
      <c r="T4" s="3500" t="s">
        <v>2228</v>
      </c>
      <c r="U4" s="3501"/>
      <c r="V4" s="3506" t="s">
        <v>2229</v>
      </c>
      <c r="W4" s="3506"/>
      <c r="X4" s="1490"/>
      <c r="Y4" s="3500" t="s">
        <v>2231</v>
      </c>
      <c r="Z4" s="3501"/>
      <c r="AA4" s="3487" t="s">
        <v>2227</v>
      </c>
      <c r="AB4" s="3488" t="s">
        <v>2228</v>
      </c>
      <c r="AC4" s="3487" t="s">
        <v>2229</v>
      </c>
    </row>
    <row r="5" spans="1:29" ht="15">
      <c r="A5" s="364"/>
      <c r="B5" s="365"/>
      <c r="C5" s="3509" t="s">
        <v>2122</v>
      </c>
      <c r="D5" s="3510"/>
      <c r="E5" s="3516" t="s">
        <v>2123</v>
      </c>
      <c r="F5" s="3517"/>
      <c r="G5" s="3509" t="s">
        <v>2124</v>
      </c>
      <c r="H5" s="3510"/>
      <c r="I5" s="3509" t="s">
        <v>2125</v>
      </c>
      <c r="J5" s="3510"/>
      <c r="K5" s="567"/>
      <c r="L5" s="2893"/>
      <c r="M5" s="2894"/>
      <c r="N5" s="2894"/>
      <c r="O5" s="2894"/>
      <c r="P5" s="3496"/>
      <c r="Q5" s="3497"/>
      <c r="R5" s="3502"/>
      <c r="S5" s="3503"/>
      <c r="T5" s="3502"/>
      <c r="U5" s="3503"/>
      <c r="V5" s="3506"/>
      <c r="W5" s="3506"/>
      <c r="X5" s="1490"/>
      <c r="Y5" s="3502"/>
      <c r="Z5" s="3503"/>
      <c r="AA5" s="3488"/>
      <c r="AB5" s="3488"/>
      <c r="AC5" s="3488"/>
    </row>
    <row r="6" spans="1:29" ht="15.75" thickBot="1">
      <c r="A6" s="366"/>
      <c r="B6" s="367"/>
      <c r="C6" s="3507" t="s">
        <v>2126</v>
      </c>
      <c r="D6" s="3508"/>
      <c r="E6" s="3514" t="s">
        <v>2126</v>
      </c>
      <c r="F6" s="3515"/>
      <c r="G6" s="3507" t="s">
        <v>2126</v>
      </c>
      <c r="H6" s="3508"/>
      <c r="I6" s="3507" t="s">
        <v>2126</v>
      </c>
      <c r="J6" s="3508"/>
      <c r="K6" s="567" t="s">
        <v>2127</v>
      </c>
      <c r="L6" s="2893"/>
      <c r="M6" s="2894"/>
      <c r="N6" s="2894"/>
      <c r="O6" s="2894"/>
      <c r="P6" s="3498"/>
      <c r="Q6" s="3499"/>
      <c r="R6" s="3502"/>
      <c r="S6" s="3503"/>
      <c r="T6" s="3504"/>
      <c r="U6" s="3505"/>
      <c r="V6" s="3506"/>
      <c r="W6" s="3506"/>
      <c r="X6" s="1490"/>
      <c r="Y6" s="3504"/>
      <c r="Z6" s="3505"/>
      <c r="AA6" s="3489"/>
      <c r="AB6" s="3489"/>
      <c r="AC6" s="3489"/>
    </row>
    <row r="7" spans="1:29" s="113" customFormat="1" ht="15.75" thickBot="1">
      <c r="A7" s="368" t="s">
        <v>2128</v>
      </c>
      <c r="B7" s="369"/>
      <c r="C7" s="370">
        <f>'数据-取费表'!B2</f>
        <v>44769</v>
      </c>
      <c r="D7" s="371">
        <v>100</v>
      </c>
      <c r="E7" s="372">
        <f>C7</f>
        <v>44769</v>
      </c>
      <c r="F7" s="373">
        <f>SUMIF(48:48,YEAR(E7)&amp;"-"&amp;MONTH(E7),49:49)</f>
        <v>100</v>
      </c>
      <c r="G7" s="372">
        <f>C7</f>
        <v>44769</v>
      </c>
      <c r="H7" s="371">
        <f>SUMIF(48:48,YEAR(G7)&amp;"-"&amp;MONTH(G7),49:49)</f>
        <v>100</v>
      </c>
      <c r="I7" s="372">
        <f>C7</f>
        <v>44769</v>
      </c>
      <c r="J7" s="371">
        <f>SUMIF(48:48,YEAR(I7)&amp;"-"&amp;MONTH(I7),49:49)</f>
        <v>100</v>
      </c>
      <c r="K7" s="568"/>
      <c r="L7" s="2895"/>
      <c r="M7" s="2896"/>
      <c r="N7" s="2896"/>
      <c r="O7" s="2896"/>
      <c r="P7" s="3511" t="s">
        <v>2129</v>
      </c>
      <c r="Q7" s="3513"/>
      <c r="R7" s="710" t="s">
        <v>17</v>
      </c>
      <c r="S7" s="711">
        <f t="shared" ref="S7:S14" si="0">F7</f>
        <v>100</v>
      </c>
      <c r="T7" s="710" t="s">
        <v>17</v>
      </c>
      <c r="U7" s="711">
        <f t="shared" ref="U7:U14" si="1">H7</f>
        <v>100</v>
      </c>
      <c r="V7" s="710" t="s">
        <v>17</v>
      </c>
      <c r="W7" s="711">
        <f t="shared" ref="W7:W14" si="2">J7</f>
        <v>100</v>
      </c>
      <c r="X7" s="712"/>
      <c r="Y7" s="3511" t="s">
        <v>2129</v>
      </c>
      <c r="Z7" s="3512"/>
      <c r="AA7" s="713">
        <f>D7/F7</f>
        <v>1</v>
      </c>
      <c r="AB7" s="713">
        <f>D7/H7</f>
        <v>1</v>
      </c>
      <c r="AC7" s="713">
        <f>D7/J7</f>
        <v>1</v>
      </c>
    </row>
    <row r="8" spans="1:29" s="113" customFormat="1" ht="15.75" thickBot="1">
      <c r="A8" s="368" t="s">
        <v>2130</v>
      </c>
      <c r="B8" s="369"/>
      <c r="C8" s="374" t="s">
        <v>2232</v>
      </c>
      <c r="D8" s="371">
        <v>100</v>
      </c>
      <c r="E8" s="374" t="s">
        <v>2167</v>
      </c>
      <c r="F8" s="373">
        <f>SUMIF(51:51,E8,52:52)-SUMIF(51:51,C8,52:52)+100</f>
        <v>100</v>
      </c>
      <c r="G8" s="374" t="s">
        <v>2167</v>
      </c>
      <c r="H8" s="371">
        <f>SUMIF(51:51,G8,52:52)-SUMIF(51:51,C8,52:52)+100</f>
        <v>100</v>
      </c>
      <c r="I8" s="374" t="s">
        <v>2167</v>
      </c>
      <c r="J8" s="371">
        <f>SUMIF(51:51,I8,52:52)-SUMIF(51:51,C8,52:52)+100</f>
        <v>100</v>
      </c>
      <c r="K8" s="568"/>
      <c r="L8" s="2895"/>
      <c r="M8" s="2896"/>
      <c r="N8" s="2896"/>
      <c r="O8" s="2896"/>
      <c r="P8" s="3511" t="s">
        <v>2132</v>
      </c>
      <c r="Q8" s="3512"/>
      <c r="R8" s="710" t="s">
        <v>17</v>
      </c>
      <c r="S8" s="711">
        <f t="shared" si="0"/>
        <v>100</v>
      </c>
      <c r="T8" s="710" t="s">
        <v>17</v>
      </c>
      <c r="U8" s="711">
        <f t="shared" si="1"/>
        <v>100</v>
      </c>
      <c r="V8" s="710" t="s">
        <v>17</v>
      </c>
      <c r="W8" s="711">
        <f t="shared" si="2"/>
        <v>100</v>
      </c>
      <c r="X8" s="712"/>
      <c r="Y8" s="3511" t="s">
        <v>2132</v>
      </c>
      <c r="Z8" s="3512"/>
      <c r="AA8" s="713">
        <f t="shared" ref="AA8:AA36" si="3">D8/F8</f>
        <v>1</v>
      </c>
      <c r="AB8" s="713">
        <f t="shared" ref="AB8:AB36" si="4">D8/H8</f>
        <v>1</v>
      </c>
      <c r="AC8" s="713">
        <f t="shared" ref="AC8:AC36" si="5">D8/J8</f>
        <v>1</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75" t="s">
        <v>2135</v>
      </c>
      <c r="Q9" s="1478" t="str">
        <f t="shared" ref="Q9:Q14" si="6">B9</f>
        <v>用途</v>
      </c>
      <c r="R9" s="710" t="s">
        <v>17</v>
      </c>
      <c r="S9" s="711">
        <f t="shared" si="0"/>
        <v>100</v>
      </c>
      <c r="T9" s="710" t="s">
        <v>17</v>
      </c>
      <c r="U9" s="711">
        <f t="shared" si="1"/>
        <v>100</v>
      </c>
      <c r="V9" s="710" t="s">
        <v>17</v>
      </c>
      <c r="W9" s="711">
        <f t="shared" si="2"/>
        <v>100</v>
      </c>
      <c r="X9" s="712"/>
      <c r="Y9" s="3347"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75"/>
      <c r="Q10" s="1478" t="str">
        <f t="shared" si="6"/>
        <v>土地使用年限（年）</v>
      </c>
      <c r="R10" s="710" t="s">
        <v>17</v>
      </c>
      <c r="S10" s="711">
        <f t="shared" si="0"/>
        <v>100</v>
      </c>
      <c r="T10" s="710" t="s">
        <v>17</v>
      </c>
      <c r="U10" s="711">
        <f t="shared" si="1"/>
        <v>100</v>
      </c>
      <c r="V10" s="710" t="s">
        <v>17</v>
      </c>
      <c r="W10" s="711">
        <f t="shared" si="2"/>
        <v>100</v>
      </c>
      <c r="X10" s="712"/>
      <c r="Y10" s="334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75"/>
      <c r="Q11" s="1478">
        <f t="shared" si="6"/>
        <v>111</v>
      </c>
      <c r="R11" s="710" t="s">
        <v>17</v>
      </c>
      <c r="S11" s="711">
        <f t="shared" si="0"/>
        <v>100</v>
      </c>
      <c r="T11" s="710" t="s">
        <v>17</v>
      </c>
      <c r="U11" s="711">
        <f t="shared" si="1"/>
        <v>100</v>
      </c>
      <c r="V11" s="710" t="s">
        <v>17</v>
      </c>
      <c r="W11" s="711">
        <f t="shared" si="2"/>
        <v>100</v>
      </c>
      <c r="X11" s="712"/>
      <c r="Y11" s="334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75"/>
      <c r="Q12" s="1478">
        <f t="shared" si="6"/>
        <v>111</v>
      </c>
      <c r="R12" s="710" t="s">
        <v>17</v>
      </c>
      <c r="S12" s="711">
        <f t="shared" si="0"/>
        <v>100</v>
      </c>
      <c r="T12" s="710" t="s">
        <v>17</v>
      </c>
      <c r="U12" s="711">
        <f t="shared" si="1"/>
        <v>100</v>
      </c>
      <c r="V12" s="710" t="s">
        <v>17</v>
      </c>
      <c r="W12" s="711">
        <f t="shared" si="2"/>
        <v>100</v>
      </c>
      <c r="X12" s="712"/>
      <c r="Y12" s="334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75"/>
      <c r="Q13" s="1478">
        <f t="shared" si="6"/>
        <v>111</v>
      </c>
      <c r="R13" s="710" t="s">
        <v>17</v>
      </c>
      <c r="S13" s="711">
        <f t="shared" si="0"/>
        <v>100</v>
      </c>
      <c r="T13" s="710" t="s">
        <v>17</v>
      </c>
      <c r="U13" s="711">
        <f t="shared" si="1"/>
        <v>100</v>
      </c>
      <c r="V13" s="710" t="s">
        <v>17</v>
      </c>
      <c r="W13" s="711">
        <f t="shared" si="2"/>
        <v>100</v>
      </c>
      <c r="X13" s="712"/>
      <c r="Y13" s="3347"/>
      <c r="Z13" s="55">
        <f t="shared" si="7"/>
        <v>111</v>
      </c>
      <c r="AA13" s="713">
        <f t="shared" si="3"/>
        <v>1</v>
      </c>
      <c r="AB13" s="713">
        <f t="shared" si="4"/>
        <v>1</v>
      </c>
      <c r="AC13" s="713">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77" t="s">
        <v>2140</v>
      </c>
      <c r="Q14" s="1487" t="str">
        <f t="shared" si="6"/>
        <v>交通便捷度</v>
      </c>
      <c r="R14" s="714" t="s">
        <v>17</v>
      </c>
      <c r="S14" s="715">
        <f t="shared" si="0"/>
        <v>100</v>
      </c>
      <c r="T14" s="714" t="s">
        <v>17</v>
      </c>
      <c r="U14" s="715">
        <f t="shared" si="1"/>
        <v>100</v>
      </c>
      <c r="V14" s="714" t="s">
        <v>17</v>
      </c>
      <c r="W14" s="715">
        <f t="shared" si="2"/>
        <v>100</v>
      </c>
      <c r="X14" s="1490"/>
      <c r="Y14" s="3477"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478"/>
      <c r="Q15" s="1487"/>
      <c r="R15" s="714"/>
      <c r="S15" s="715"/>
      <c r="T15" s="714"/>
      <c r="U15" s="715"/>
      <c r="V15" s="714"/>
      <c r="W15" s="715"/>
      <c r="X15" s="1490"/>
      <c r="Y15" s="3478"/>
      <c r="Z15" s="1491"/>
      <c r="AA15" s="1488">
        <v>1</v>
      </c>
      <c r="AB15" s="1488">
        <v>1</v>
      </c>
      <c r="AC15" s="1488">
        <v>1</v>
      </c>
    </row>
    <row r="16" spans="1:29" ht="42.7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78"/>
      <c r="Q16" s="1487" t="str">
        <f>B16</f>
        <v>公共配套设施</v>
      </c>
      <c r="R16" s="714" t="s">
        <v>17</v>
      </c>
      <c r="S16" s="715">
        <f>F16</f>
        <v>100</v>
      </c>
      <c r="T16" s="714" t="s">
        <v>17</v>
      </c>
      <c r="U16" s="715">
        <f>H16</f>
        <v>100</v>
      </c>
      <c r="V16" s="714" t="s">
        <v>17</v>
      </c>
      <c r="W16" s="715">
        <f>J16</f>
        <v>100</v>
      </c>
      <c r="X16" s="1490"/>
      <c r="Y16" s="3478"/>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900"/>
      <c r="M17" s="2894"/>
      <c r="N17" s="2894"/>
      <c r="O17" s="2894"/>
      <c r="P17" s="3478"/>
      <c r="Q17" s="1487"/>
      <c r="R17" s="714"/>
      <c r="S17" s="715"/>
      <c r="T17" s="714"/>
      <c r="U17" s="715"/>
      <c r="V17" s="714"/>
      <c r="W17" s="715"/>
      <c r="X17" s="1490"/>
      <c r="Y17" s="3478"/>
      <c r="Z17" s="1491"/>
      <c r="AA17" s="1488">
        <v>1</v>
      </c>
      <c r="AB17" s="1488">
        <v>1</v>
      </c>
      <c r="AC17" s="1488">
        <v>1</v>
      </c>
    </row>
    <row r="18" spans="1:29" ht="28.5">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78"/>
      <c r="Q18" s="1487" t="str">
        <f>B18</f>
        <v>基础设施水平</v>
      </c>
      <c r="R18" s="714" t="s">
        <v>17</v>
      </c>
      <c r="S18" s="715">
        <f>F18</f>
        <v>100</v>
      </c>
      <c r="T18" s="714" t="s">
        <v>17</v>
      </c>
      <c r="U18" s="715">
        <f>H18</f>
        <v>100</v>
      </c>
      <c r="V18" s="714" t="s">
        <v>17</v>
      </c>
      <c r="W18" s="715">
        <f>J18</f>
        <v>100</v>
      </c>
      <c r="X18" s="1490"/>
      <c r="Y18" s="3478"/>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900"/>
      <c r="M19" s="2894"/>
      <c r="N19" s="2894"/>
      <c r="O19" s="2894"/>
      <c r="P19" s="3478"/>
      <c r="Q19" s="1487"/>
      <c r="R19" s="714"/>
      <c r="S19" s="715"/>
      <c r="T19" s="714"/>
      <c r="U19" s="715"/>
      <c r="V19" s="714"/>
      <c r="W19" s="715"/>
      <c r="X19" s="1490"/>
      <c r="Y19" s="3478"/>
      <c r="Z19" s="1491"/>
      <c r="AA19" s="1488">
        <v>1</v>
      </c>
      <c r="AB19" s="1488">
        <v>1</v>
      </c>
      <c r="AC19" s="1488">
        <v>1</v>
      </c>
    </row>
    <row r="20" spans="1:29" ht="57">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78"/>
      <c r="Q20" s="1487" t="str">
        <f>B20</f>
        <v>自然及人文环境</v>
      </c>
      <c r="R20" s="714" t="s">
        <v>17</v>
      </c>
      <c r="S20" s="715">
        <f>F20</f>
        <v>100</v>
      </c>
      <c r="T20" s="714" t="s">
        <v>17</v>
      </c>
      <c r="U20" s="715">
        <f>H20</f>
        <v>100</v>
      </c>
      <c r="V20" s="714" t="s">
        <v>17</v>
      </c>
      <c r="W20" s="715">
        <f>J20</f>
        <v>100</v>
      </c>
      <c r="X20" s="1490"/>
      <c r="Y20" s="3478"/>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478"/>
      <c r="Q21" s="1487"/>
      <c r="R21" s="714"/>
      <c r="S21" s="715"/>
      <c r="T21" s="714"/>
      <c r="U21" s="715"/>
      <c r="V21" s="714"/>
      <c r="W21" s="715"/>
      <c r="X21" s="1490"/>
      <c r="Y21" s="3478"/>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78"/>
      <c r="Q22" s="1487" t="str">
        <f>B22</f>
        <v>楼层</v>
      </c>
      <c r="R22" s="714" t="s">
        <v>17</v>
      </c>
      <c r="S22" s="715">
        <f>F22</f>
        <v>100</v>
      </c>
      <c r="T22" s="714" t="s">
        <v>17</v>
      </c>
      <c r="U22" s="715">
        <f>H22</f>
        <v>100</v>
      </c>
      <c r="V22" s="714" t="s">
        <v>17</v>
      </c>
      <c r="W22" s="715">
        <f>J22</f>
        <v>100</v>
      </c>
      <c r="X22" s="1490"/>
      <c r="Y22" s="3478"/>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78"/>
      <c r="Q23" s="1487">
        <f>B23</f>
        <v>111</v>
      </c>
      <c r="R23" s="714" t="s">
        <v>17</v>
      </c>
      <c r="S23" s="715">
        <f>F23</f>
        <v>100</v>
      </c>
      <c r="T23" s="714" t="s">
        <v>17</v>
      </c>
      <c r="U23" s="715">
        <f>H23</f>
        <v>100</v>
      </c>
      <c r="V23" s="714" t="s">
        <v>17</v>
      </c>
      <c r="W23" s="715">
        <f>J23</f>
        <v>100</v>
      </c>
      <c r="X23" s="1490"/>
      <c r="Y23" s="3478"/>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78"/>
      <c r="Q24" s="1487">
        <f t="shared" ref="Q24:Q36" si="11">B24</f>
        <v>111</v>
      </c>
      <c r="R24" s="714" t="s">
        <v>17</v>
      </c>
      <c r="S24" s="715">
        <f>F24</f>
        <v>100</v>
      </c>
      <c r="T24" s="714" t="s">
        <v>17</v>
      </c>
      <c r="U24" s="715">
        <f>H24</f>
        <v>100</v>
      </c>
      <c r="V24" s="714" t="s">
        <v>17</v>
      </c>
      <c r="W24" s="715">
        <f>J24</f>
        <v>100</v>
      </c>
      <c r="X24" s="1490"/>
      <c r="Y24" s="3478"/>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78"/>
      <c r="Q25" s="1478">
        <f t="shared" si="11"/>
        <v>111</v>
      </c>
      <c r="R25" s="710" t="s">
        <v>17</v>
      </c>
      <c r="S25" s="711">
        <f>F25</f>
        <v>100</v>
      </c>
      <c r="T25" s="710" t="s">
        <v>17</v>
      </c>
      <c r="U25" s="711">
        <f>H25</f>
        <v>100</v>
      </c>
      <c r="V25" s="710" t="s">
        <v>17</v>
      </c>
      <c r="W25" s="711">
        <f>J25</f>
        <v>100</v>
      </c>
      <c r="X25" s="712"/>
      <c r="Y25" s="3478"/>
      <c r="Z25" s="55">
        <f>Q25</f>
        <v>111</v>
      </c>
      <c r="AA25" s="1488">
        <f>D25/F25</f>
        <v>1</v>
      </c>
      <c r="AB25" s="1488">
        <f>D25/H25</f>
        <v>1</v>
      </c>
      <c r="AC25" s="1488">
        <f>D25/J25</f>
        <v>1</v>
      </c>
    </row>
    <row r="26" spans="1:29" ht="28.5">
      <c r="A26" s="608" t="s">
        <v>2143</v>
      </c>
      <c r="B26" s="66" t="s">
        <v>2292</v>
      </c>
      <c r="C26" s="2108" t="str">
        <f>B1</f>
        <v>车库</v>
      </c>
      <c r="D26" s="407">
        <v>100</v>
      </c>
      <c r="E26" s="406" t="s">
        <v>3206</v>
      </c>
      <c r="F26" s="408">
        <f>SUMIF(79:79,E26,80:80)-SUMIF(79:79,C26,80:80)+100</f>
        <v>100</v>
      </c>
      <c r="G26" s="406" t="s">
        <v>3206</v>
      </c>
      <c r="H26" s="407">
        <f>SUMIF(79:79,G26,80:80)-SUMIF(79:79,C26,80:80)+100</f>
        <v>100</v>
      </c>
      <c r="I26" s="406" t="s">
        <v>3206</v>
      </c>
      <c r="J26" s="407">
        <f>SUMIF(79:79,I26,80:80)-SUMIF(79:79,C26,80:80)+100</f>
        <v>100</v>
      </c>
      <c r="K26" s="569"/>
      <c r="L26" s="2900"/>
      <c r="M26" s="2894"/>
      <c r="N26" s="2894"/>
      <c r="O26" s="2894"/>
      <c r="P26" s="3533"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82"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82"/>
      <c r="Q27" s="716" t="str">
        <f t="shared" si="11"/>
        <v>项目停车位配比</v>
      </c>
      <c r="R27" s="717" t="s">
        <v>17</v>
      </c>
      <c r="S27" s="718">
        <f t="shared" si="12"/>
        <v>100</v>
      </c>
      <c r="T27" s="717" t="s">
        <v>17</v>
      </c>
      <c r="U27" s="718">
        <f t="shared" si="13"/>
        <v>100</v>
      </c>
      <c r="V27" s="717" t="s">
        <v>17</v>
      </c>
      <c r="W27" s="718">
        <f t="shared" si="14"/>
        <v>100</v>
      </c>
      <c r="X27" s="719"/>
      <c r="Y27" s="3482"/>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82"/>
      <c r="Q28" s="1487" t="str">
        <f t="shared" si="11"/>
        <v>公共部分装修</v>
      </c>
      <c r="R28" s="714" t="s">
        <v>17</v>
      </c>
      <c r="S28" s="715">
        <f t="shared" si="12"/>
        <v>100</v>
      </c>
      <c r="T28" s="714" t="s">
        <v>17</v>
      </c>
      <c r="U28" s="715">
        <f t="shared" si="13"/>
        <v>100</v>
      </c>
      <c r="V28" s="714" t="s">
        <v>17</v>
      </c>
      <c r="W28" s="715">
        <f t="shared" si="14"/>
        <v>100</v>
      </c>
      <c r="X28" s="1490"/>
      <c r="Y28" s="3482"/>
      <c r="Z28" s="1491" t="str">
        <f t="shared" si="15"/>
        <v>公共部分装修</v>
      </c>
      <c r="AA28" s="1488">
        <f t="shared" si="3"/>
        <v>1</v>
      </c>
      <c r="AB28" s="1488">
        <f t="shared" si="4"/>
        <v>1</v>
      </c>
      <c r="AC28" s="1488">
        <f t="shared" si="5"/>
        <v>1</v>
      </c>
    </row>
    <row r="29" spans="1:29" ht="15">
      <c r="A29" s="612"/>
      <c r="B29" s="610" t="s">
        <v>2295</v>
      </c>
      <c r="C29" s="3606">
        <f>'数据-取费表'!N9</f>
        <v>0.97</v>
      </c>
      <c r="D29" s="394">
        <v>100</v>
      </c>
      <c r="E29" s="433">
        <f>C29</f>
        <v>0.97</v>
      </c>
      <c r="F29" s="420">
        <f>LOOKUP(E29,86:86,87:87)-LOOKUP(C29,86:86,87:87)+100</f>
        <v>100</v>
      </c>
      <c r="G29" s="433">
        <f>C29</f>
        <v>0.97</v>
      </c>
      <c r="H29" s="420">
        <f>LOOKUP(G29,86:86,87:87)-LOOKUP(C29,86:86,87:87)+100</f>
        <v>100</v>
      </c>
      <c r="I29" s="433">
        <f>C29</f>
        <v>0.97</v>
      </c>
      <c r="J29" s="394">
        <f>LOOKUP(I29,86:86,87:87)-LOOKUP(C29,86:86,87:87)+100</f>
        <v>100</v>
      </c>
      <c r="K29" s="569"/>
      <c r="L29" s="2900"/>
      <c r="M29" s="2894"/>
      <c r="N29" s="2894"/>
      <c r="O29" s="2894"/>
      <c r="P29" s="3482"/>
      <c r="Q29" s="1487" t="str">
        <f t="shared" si="11"/>
        <v>成新率</v>
      </c>
      <c r="R29" s="714" t="s">
        <v>17</v>
      </c>
      <c r="S29" s="715">
        <f t="shared" si="12"/>
        <v>100</v>
      </c>
      <c r="T29" s="714" t="s">
        <v>17</v>
      </c>
      <c r="U29" s="715">
        <f t="shared" si="13"/>
        <v>100</v>
      </c>
      <c r="V29" s="714" t="s">
        <v>17</v>
      </c>
      <c r="W29" s="715">
        <f t="shared" si="14"/>
        <v>100</v>
      </c>
      <c r="X29" s="1490"/>
      <c r="Y29" s="3482"/>
      <c r="Z29" s="1491" t="str">
        <f t="shared" si="15"/>
        <v>成新率</v>
      </c>
      <c r="AA29" s="1488">
        <f t="shared" si="3"/>
        <v>1</v>
      </c>
      <c r="AB29" s="1488">
        <f t="shared" si="4"/>
        <v>1</v>
      </c>
      <c r="AC29" s="1488">
        <f t="shared" si="5"/>
        <v>1</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82"/>
      <c r="Q30" s="1487" t="str">
        <f t="shared" si="11"/>
        <v>物业等级</v>
      </c>
      <c r="R30" s="714" t="s">
        <v>17</v>
      </c>
      <c r="S30" s="715">
        <f t="shared" si="12"/>
        <v>100</v>
      </c>
      <c r="T30" s="714" t="s">
        <v>17</v>
      </c>
      <c r="U30" s="715">
        <f t="shared" si="13"/>
        <v>100</v>
      </c>
      <c r="V30" s="714" t="s">
        <v>17</v>
      </c>
      <c r="W30" s="715">
        <f t="shared" si="14"/>
        <v>100</v>
      </c>
      <c r="X30" s="1490"/>
      <c r="Y30" s="3482"/>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f>LOOKUP(E31,91:91,92:92)-LOOKUP(C31,91:91,92:92)+100</f>
        <v>100</v>
      </c>
      <c r="G31" s="428"/>
      <c r="H31" s="394">
        <f>LOOKUP(G31,91:91,92:92)-LOOKUP(C31,91:91,92:92)+100</f>
        <v>100</v>
      </c>
      <c r="I31" s="428"/>
      <c r="J31" s="394">
        <f>LOOKUP(I31,91:91,92:92)-LOOKUP(C31,91:91,92:92)+100</f>
        <v>100</v>
      </c>
      <c r="K31" s="569"/>
      <c r="L31" s="2895"/>
      <c r="M31" s="2896"/>
      <c r="N31" s="2896"/>
      <c r="O31" s="2896"/>
      <c r="P31" s="3482"/>
      <c r="Q31" s="1478" t="str">
        <f t="shared" si="11"/>
        <v>停车位面积</v>
      </c>
      <c r="R31" s="710" t="s">
        <v>17</v>
      </c>
      <c r="S31" s="711">
        <f t="shared" si="12"/>
        <v>100</v>
      </c>
      <c r="T31" s="710" t="s">
        <v>17</v>
      </c>
      <c r="U31" s="711">
        <f t="shared" si="13"/>
        <v>100</v>
      </c>
      <c r="V31" s="710" t="s">
        <v>17</v>
      </c>
      <c r="W31" s="711">
        <f t="shared" si="14"/>
        <v>100</v>
      </c>
      <c r="X31" s="712"/>
      <c r="Y31" s="3482"/>
      <c r="Z31" s="55" t="str">
        <f t="shared" si="15"/>
        <v>停车位面积</v>
      </c>
      <c r="AA31" s="713">
        <f t="shared" si="3"/>
        <v>1</v>
      </c>
      <c r="AB31" s="713">
        <f t="shared" si="4"/>
        <v>1</v>
      </c>
      <c r="AC31" s="713">
        <f t="shared" si="5"/>
        <v>1</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82" t="s">
        <v>2145</v>
      </c>
      <c r="Q32" s="1487" t="str">
        <f t="shared" si="11"/>
        <v>车位类型</v>
      </c>
      <c r="R32" s="714" t="s">
        <v>17</v>
      </c>
      <c r="S32" s="715">
        <f t="shared" si="12"/>
        <v>100</v>
      </c>
      <c r="T32" s="714" t="s">
        <v>17</v>
      </c>
      <c r="U32" s="715">
        <f t="shared" si="13"/>
        <v>100</v>
      </c>
      <c r="V32" s="714" t="s">
        <v>17</v>
      </c>
      <c r="W32" s="715">
        <f t="shared" si="14"/>
        <v>100</v>
      </c>
      <c r="X32" s="1490"/>
      <c r="Y32" s="3482"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82"/>
      <c r="Q33" s="1487" t="str">
        <f t="shared" si="11"/>
        <v>是否直接入户</v>
      </c>
      <c r="R33" s="714" t="s">
        <v>17</v>
      </c>
      <c r="S33" s="715">
        <f t="shared" si="12"/>
        <v>100</v>
      </c>
      <c r="T33" s="714" t="s">
        <v>17</v>
      </c>
      <c r="U33" s="715">
        <f t="shared" si="13"/>
        <v>100</v>
      </c>
      <c r="V33" s="714" t="s">
        <v>17</v>
      </c>
      <c r="W33" s="715">
        <f t="shared" si="14"/>
        <v>100</v>
      </c>
      <c r="X33" s="1490"/>
      <c r="Y33" s="3482"/>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82"/>
      <c r="Q34" s="1487">
        <f t="shared" si="11"/>
        <v>111</v>
      </c>
      <c r="R34" s="714" t="s">
        <v>17</v>
      </c>
      <c r="S34" s="715">
        <f t="shared" si="12"/>
        <v>100</v>
      </c>
      <c r="T34" s="714" t="s">
        <v>17</v>
      </c>
      <c r="U34" s="715">
        <f t="shared" si="13"/>
        <v>100</v>
      </c>
      <c r="V34" s="714" t="s">
        <v>17</v>
      </c>
      <c r="W34" s="715">
        <f t="shared" si="14"/>
        <v>100</v>
      </c>
      <c r="X34" s="1490"/>
      <c r="Y34" s="3482"/>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82"/>
      <c r="Q35" s="716">
        <f t="shared" si="11"/>
        <v>111</v>
      </c>
      <c r="R35" s="717" t="s">
        <v>17</v>
      </c>
      <c r="S35" s="718">
        <f t="shared" si="12"/>
        <v>100</v>
      </c>
      <c r="T35" s="717" t="s">
        <v>17</v>
      </c>
      <c r="U35" s="718">
        <f t="shared" si="13"/>
        <v>100</v>
      </c>
      <c r="V35" s="717" t="s">
        <v>17</v>
      </c>
      <c r="W35" s="718">
        <f t="shared" si="14"/>
        <v>100</v>
      </c>
      <c r="X35" s="719"/>
      <c r="Y35" s="3482"/>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82"/>
      <c r="Q36" s="1487">
        <f t="shared" si="11"/>
        <v>111</v>
      </c>
      <c r="R36" s="714" t="s">
        <v>17</v>
      </c>
      <c r="S36" s="715">
        <f t="shared" si="12"/>
        <v>100</v>
      </c>
      <c r="T36" s="714" t="s">
        <v>17</v>
      </c>
      <c r="U36" s="715">
        <f t="shared" si="13"/>
        <v>100</v>
      </c>
      <c r="V36" s="714" t="s">
        <v>17</v>
      </c>
      <c r="W36" s="715">
        <f t="shared" si="14"/>
        <v>100</v>
      </c>
      <c r="X36" s="1490"/>
      <c r="Y36" s="3482"/>
      <c r="Z36" s="1491">
        <f t="shared" si="15"/>
        <v>111</v>
      </c>
      <c r="AA36" s="1488">
        <f t="shared" si="3"/>
        <v>1</v>
      </c>
      <c r="AB36" s="1488">
        <f t="shared" si="4"/>
        <v>1</v>
      </c>
      <c r="AC36" s="1488">
        <f t="shared" si="5"/>
        <v>1</v>
      </c>
    </row>
    <row r="37" spans="1:29" ht="15">
      <c r="A37" s="438" t="s">
        <v>2300</v>
      </c>
      <c r="B37" s="2109" t="s">
        <v>2301</v>
      </c>
      <c r="C37" s="1269" t="s">
        <v>1</v>
      </c>
      <c r="D37" s="1270"/>
      <c r="E37" s="1271">
        <v>180000</v>
      </c>
      <c r="F37" s="1272"/>
      <c r="G37" s="1273">
        <f>E37</f>
        <v>180000</v>
      </c>
      <c r="H37" s="1274"/>
      <c r="I37" s="1271">
        <f>E37</f>
        <v>180000</v>
      </c>
      <c r="J37" s="1274"/>
      <c r="K37" s="576"/>
      <c r="L37" s="2902"/>
      <c r="M37" s="2903"/>
      <c r="N37" s="2894"/>
      <c r="O37" s="2903"/>
      <c r="P37" s="3475" t="str">
        <f>A37</f>
        <v>成交单价</v>
      </c>
      <c r="Q37" s="3475"/>
      <c r="R37" s="3476">
        <f>E37</f>
        <v>180000</v>
      </c>
      <c r="S37" s="3476"/>
      <c r="T37" s="3476">
        <f>G37</f>
        <v>180000</v>
      </c>
      <c r="U37" s="3476"/>
      <c r="V37" s="3476">
        <f>I37</f>
        <v>180000</v>
      </c>
      <c r="W37" s="3476"/>
      <c r="X37" s="699"/>
      <c r="Y37" s="721"/>
      <c r="Z37" s="699"/>
      <c r="AA37" s="699"/>
      <c r="AB37" s="699"/>
      <c r="AC37" s="699"/>
    </row>
    <row r="38" spans="1:29" ht="15.75" thickBot="1">
      <c r="A38" s="445" t="s">
        <v>2302</v>
      </c>
      <c r="B38" s="446" t="str">
        <f>B37</f>
        <v>元/车位</v>
      </c>
      <c r="C38" s="1275">
        <f>R39</f>
        <v>180000</v>
      </c>
      <c r="D38" s="2488" t="s">
        <v>2638</v>
      </c>
      <c r="E38" s="1276">
        <f>R38</f>
        <v>180000</v>
      </c>
      <c r="F38" s="2489"/>
      <c r="G38" s="1275">
        <f>T38</f>
        <v>180000</v>
      </c>
      <c r="H38" s="2489"/>
      <c r="I38" s="1276">
        <f>V38</f>
        <v>180000</v>
      </c>
      <c r="J38" s="2489"/>
      <c r="K38" s="2491">
        <f>F38+H38+J38</f>
        <v>0</v>
      </c>
      <c r="L38" s="2902"/>
      <c r="M38" s="2903"/>
      <c r="N38" s="2903"/>
      <c r="O38" s="2903"/>
      <c r="P38" s="3475" t="str">
        <f>A38</f>
        <v>比较价值（元/平方米）</v>
      </c>
      <c r="Q38" s="3475"/>
      <c r="R38" s="3476">
        <f>IF(F1="售价",ROUND(PRODUCT(R37,AA7:AA36),0),ROUND(PRODUCT(R37,AA7:AA36),1))</f>
        <v>180000</v>
      </c>
      <c r="S38" s="3476"/>
      <c r="T38" s="3476">
        <f>IF(F1="售价",ROUND(PRODUCT(T37,AB7:AB36),0),ROUND(PRODUCT(T37,AB7:AB36),1))</f>
        <v>180000</v>
      </c>
      <c r="U38" s="3476"/>
      <c r="V38" s="3476">
        <f>IF(F1="售价",ROUND(PRODUCT(V37,AC7:AC36),0),ROUND(PRODUCT(V37,AC7:AC36),1))</f>
        <v>180000</v>
      </c>
      <c r="W38" s="3476"/>
      <c r="X38" s="699"/>
      <c r="Y38" s="699"/>
      <c r="Z38" s="699"/>
      <c r="AA38" s="699"/>
      <c r="AB38" s="699"/>
      <c r="AC38" s="699"/>
    </row>
    <row r="39" spans="1:29" ht="15.75" thickBot="1">
      <c r="A39" s="449" t="s">
        <v>2303</v>
      </c>
      <c r="B39" s="450"/>
      <c r="C39" s="1278">
        <f>R39</f>
        <v>180000</v>
      </c>
      <c r="D39" s="1278"/>
      <c r="E39" s="1278"/>
      <c r="F39" s="1278"/>
      <c r="G39" s="1278"/>
      <c r="H39" s="1278"/>
      <c r="I39" s="1278"/>
      <c r="J39" s="1278"/>
      <c r="K39" s="577"/>
      <c r="L39" s="2902"/>
      <c r="M39" s="2903"/>
      <c r="N39" s="2903"/>
      <c r="O39" s="2903"/>
      <c r="P39" s="3472" t="str">
        <f>A39</f>
        <v>估价对象XX用房的比较价值（楼面单价，元/平方米）</v>
      </c>
      <c r="Q39" s="3473"/>
      <c r="R39" s="3534">
        <f>IF(F1="售价",ROUND(IF(D38="简单平均",AVERAGE(R38:W38),R38*F38+T38*H38+V38*J38),0),ROUND(IF(D38="简单平均",AVERAGE(R38:V38),R38*F38+T38*H38+V38*J38),1))</f>
        <v>180000</v>
      </c>
      <c r="S39" s="3534"/>
      <c r="T39" s="3534"/>
      <c r="U39" s="3534"/>
      <c r="V39" s="3534"/>
      <c r="W39" s="3534"/>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f>IF(E37&lt;E38,E38/E37-1,E37/E38-1)</f>
        <v>0</v>
      </c>
      <c r="F42" s="457" t="str">
        <f>IF(OR(E42&gt;=0.3,E42&lt;=-0.3),"超过30%","")</f>
        <v/>
      </c>
      <c r="G42" s="456">
        <f>IF(G37&lt;G38,G38/G37-1,G37/G38-1)</f>
        <v>0</v>
      </c>
      <c r="H42" s="457" t="str">
        <f>IF(OR(G42&gt;=0.3,G42&lt;=-0.3),"超过30%","")</f>
        <v/>
      </c>
      <c r="I42" s="456">
        <f>IF(I37&lt;I38,I38/I37-1,I37/I38-1)</f>
        <v>0</v>
      </c>
      <c r="J42" s="457" t="str">
        <f>IF(OR(I42&gt;=0.3,I42&lt;=-0.3),"超过30%","")</f>
        <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f>IF(E38&lt;G38,G38/E38-1,E38/G38-1)</f>
        <v>0</v>
      </c>
      <c r="F43" s="457" t="str">
        <f>IF(OR(E43&gt;=0.2,E43&lt;=-0.2),"超过20%","")</f>
        <v/>
      </c>
      <c r="G43" s="456">
        <f>IF(G38&lt;I38,I38/G38-1,G38/I38-1)</f>
        <v>0</v>
      </c>
      <c r="H43" s="457" t="str">
        <f>IF(OR(G43&gt;=0.2,G43&lt;=-0.2),"超过20%","")</f>
        <v/>
      </c>
      <c r="I43" s="456">
        <f>IF(I38&lt;E38,E38/I38-1,I38/E38-1)</f>
        <v>0</v>
      </c>
      <c r="J43" s="457" t="str">
        <f>IF(OR(I43&gt;=0.2,I43&lt;=-0.2),"超过20%","")</f>
        <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f>IF(E37&lt;G37,G37/E37-1,E37/G37-1)</f>
        <v>0</v>
      </c>
      <c r="F44" s="457" t="str">
        <f>IF(OR(E44&gt;=0.3,E44&lt;=-0.3),"超过30%","")</f>
        <v/>
      </c>
      <c r="G44" s="456">
        <f>IF(G37&lt;I37,I37/G37-1,G37/I37-1)</f>
        <v>0</v>
      </c>
      <c r="H44" s="457" t="str">
        <f>IF(OR(G44&gt;=0.3,G44&lt;=-0.3),"超过30%","")</f>
        <v/>
      </c>
      <c r="I44" s="456">
        <f>IF(I37&lt;E37,E37/I37-1,I37/E37-1)</f>
        <v>0</v>
      </c>
      <c r="J44" s="457" t="str">
        <f>IF(OR(I44&gt;=0.3,I44&lt;=-0.3),"超过30%","")</f>
        <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9" t="str">
        <f>YEAR(C7)&amp;"-"&amp;MONTH(C7)</f>
        <v>2022-7</v>
      </c>
      <c r="D48" s="1300">
        <f>EDATE(C48,-1)</f>
        <v>44713</v>
      </c>
      <c r="E48" s="1300">
        <f t="shared" ref="E48:O48" si="16">EDATE(D48,-1)</f>
        <v>44682</v>
      </c>
      <c r="F48" s="1300">
        <f t="shared" si="16"/>
        <v>44652</v>
      </c>
      <c r="G48" s="1300">
        <f t="shared" si="16"/>
        <v>44621</v>
      </c>
      <c r="H48" s="1300">
        <f t="shared" si="16"/>
        <v>44593</v>
      </c>
      <c r="I48" s="1300">
        <f t="shared" si="16"/>
        <v>44562</v>
      </c>
      <c r="J48" s="1300">
        <f t="shared" si="16"/>
        <v>44531</v>
      </c>
      <c r="K48" s="1300">
        <f t="shared" si="16"/>
        <v>44501</v>
      </c>
      <c r="L48" s="1300">
        <f t="shared" si="16"/>
        <v>44470</v>
      </c>
      <c r="M48" s="1300">
        <f t="shared" si="16"/>
        <v>44440</v>
      </c>
      <c r="N48" s="1300">
        <f t="shared" si="16"/>
        <v>44409</v>
      </c>
      <c r="O48" s="1300">
        <f t="shared" si="16"/>
        <v>44378</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t="str">
        <f>C26</f>
        <v>车库</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0(含)-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v>0</v>
      </c>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G8" sqref="G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3206</v>
      </c>
      <c r="D1" s="1497" t="s">
        <v>70</v>
      </c>
      <c r="E1" s="1498" t="s">
        <v>1111</v>
      </c>
      <c r="F1" s="1174">
        <f ca="1">J53</f>
        <v>41.43</v>
      </c>
      <c r="G1" s="1513">
        <f>MATCH(C1,'数据-取费表'!A6:A16,0)+5</f>
        <v>9</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2299</v>
      </c>
      <c r="C2" s="1522" t="s">
        <v>1240</v>
      </c>
      <c r="D2" s="1522"/>
      <c r="E2" s="1523"/>
      <c r="F2" s="1524"/>
      <c r="G2" s="2884"/>
      <c r="H2" s="2873"/>
      <c r="I2" s="2873"/>
      <c r="J2" s="2873"/>
      <c r="K2" s="2874"/>
      <c r="L2" s="2873"/>
      <c r="M2" s="2873"/>
    </row>
    <row r="3" spans="1:37" ht="18" customHeight="1" thickBot="1">
      <c r="A3" s="1525" t="s">
        <v>1241</v>
      </c>
      <c r="B3" s="1526">
        <f ca="1">IF(ISERROR(B2*10000/F43),0,ROUND(B2*10000/F43,0))</f>
        <v>3639</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154</v>
      </c>
      <c r="D5" s="1499" t="s">
        <v>1126</v>
      </c>
      <c r="E5" s="1184"/>
      <c r="F5" s="1185"/>
      <c r="G5" s="1519"/>
      <c r="H5" s="305">
        <v>1</v>
      </c>
      <c r="I5" s="306" t="s">
        <v>1125</v>
      </c>
      <c r="J5" s="1183">
        <f ca="1">J6+J10+J12</f>
        <v>0</v>
      </c>
      <c r="K5" s="1499" t="s">
        <v>1126</v>
      </c>
      <c r="L5" s="1184"/>
      <c r="M5" s="1185"/>
    </row>
    <row r="6" spans="1:37" ht="18" customHeight="1">
      <c r="A6" s="1182" t="s">
        <v>822</v>
      </c>
      <c r="B6" s="3448" t="s">
        <v>1127</v>
      </c>
      <c r="C6" s="1187">
        <f ca="1">ROUND(F6*F8*F7*(1-F9)/10000,0)</f>
        <v>154</v>
      </c>
      <c r="D6" s="160" t="s">
        <v>2608</v>
      </c>
      <c r="E6" s="308" t="s">
        <v>1129</v>
      </c>
      <c r="F6" s="309">
        <f ca="1">INDIRECT("'数据-取费表'!u"&amp;$G$1)</f>
        <v>1000</v>
      </c>
      <c r="G6" s="1519"/>
      <c r="H6" s="1182" t="s">
        <v>822</v>
      </c>
      <c r="I6" s="3448" t="s">
        <v>1127</v>
      </c>
      <c r="J6" s="307">
        <f ca="1">ROUND(M6*M8*M7*(1-M9)/10000,0)</f>
        <v>0</v>
      </c>
      <c r="K6" s="160" t="s">
        <v>2607</v>
      </c>
      <c r="L6" s="308" t="s">
        <v>1129</v>
      </c>
      <c r="M6" s="309">
        <f ca="1">INDIRECT("'数据-取费表'!z"&amp;$G$1)</f>
        <v>0</v>
      </c>
    </row>
    <row r="7" spans="1:37" ht="18" customHeight="1">
      <c r="A7" s="1186"/>
      <c r="B7" s="3449"/>
      <c r="C7" s="1188"/>
      <c r="D7" s="313"/>
      <c r="E7" s="3236" t="s">
        <v>1130</v>
      </c>
      <c r="F7" s="309">
        <f ca="1">IF(INDIRECT("'数据-取费表'!ah"&amp;$G$1)="",INDIRECT("'数据-取费表'!k"&amp;$G$1),INDIRECT("'数据-取费表'!ah"&amp;$G$1))</f>
        <v>143</v>
      </c>
      <c r="G7" s="1519"/>
      <c r="H7" s="310"/>
      <c r="I7" s="3449"/>
      <c r="J7" s="312"/>
      <c r="K7" s="313"/>
      <c r="L7" s="308" t="s">
        <v>1130</v>
      </c>
      <c r="M7" s="309">
        <f ca="1">F7</f>
        <v>143</v>
      </c>
    </row>
    <row r="8" spans="1:37" ht="18" customHeight="1">
      <c r="A8" s="310"/>
      <c r="B8" s="3449"/>
      <c r="C8" s="312"/>
      <c r="D8" s="313"/>
      <c r="E8" s="308" t="s">
        <v>1131</v>
      </c>
      <c r="F8" s="309">
        <f ca="1">INDIRECT("'数据-取费表'!ai"&amp;$G$1)</f>
        <v>12</v>
      </c>
      <c r="G8" s="1519"/>
      <c r="H8" s="310"/>
      <c r="I8" s="3449"/>
      <c r="J8" s="312"/>
      <c r="K8" s="313"/>
      <c r="L8" s="308" t="s">
        <v>1131</v>
      </c>
      <c r="M8" s="309">
        <f ca="1">INDIRECT("'数据-取费表'!ai"&amp;$G$1)</f>
        <v>12</v>
      </c>
    </row>
    <row r="9" spans="1:37" ht="18" customHeight="1">
      <c r="A9" s="310"/>
      <c r="B9" s="3450"/>
      <c r="C9" s="312"/>
      <c r="D9" s="313"/>
      <c r="E9" s="308" t="s">
        <v>1132</v>
      </c>
      <c r="F9" s="318">
        <f ca="1">INDIRECT("'数据-取费表'!w"&amp;$G$1)</f>
        <v>0.1</v>
      </c>
      <c r="G9" s="1519"/>
      <c r="H9" s="310"/>
      <c r="I9" s="345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t="s">
        <v>3239</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3007</v>
      </c>
      <c r="D13" s="3230" t="s">
        <v>1139</v>
      </c>
      <c r="E13" s="3230" t="s">
        <v>1140</v>
      </c>
      <c r="F13" s="1195">
        <f ca="1">INDIRECT("'数据-取费表'!y"&amp;$G$1)</f>
        <v>0.97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2211</v>
      </c>
      <c r="D14" s="3246" t="s">
        <v>1142</v>
      </c>
      <c r="E14" s="3245"/>
      <c r="F14" s="325"/>
      <c r="G14" s="1519"/>
      <c r="H14" s="1094" t="s">
        <v>822</v>
      </c>
      <c r="I14" s="308" t="s">
        <v>1143</v>
      </c>
      <c r="J14" s="24">
        <f ca="1">C29</f>
        <v>3100</v>
      </c>
      <c r="K14" s="3234"/>
      <c r="L14" s="897"/>
      <c r="M14" s="898"/>
    </row>
    <row r="15" spans="1:37" s="1532" customFormat="1" ht="18" customHeight="1" thickBot="1">
      <c r="A15" s="1094" t="s">
        <v>823</v>
      </c>
      <c r="B15" s="308" t="s">
        <v>1144</v>
      </c>
      <c r="C15" s="24">
        <f ca="1">ROUND(C14*F15,0)</f>
        <v>66</v>
      </c>
      <c r="D15" s="3231" t="s">
        <v>1145</v>
      </c>
      <c r="E15" s="3231"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57</v>
      </c>
      <c r="K16" s="1200" t="s">
        <v>1149</v>
      </c>
      <c r="L16" s="3250"/>
      <c r="M16" s="1185"/>
    </row>
    <row r="17" spans="1:37" s="1532" customFormat="1" ht="18" customHeight="1">
      <c r="A17" s="1094" t="s">
        <v>1114</v>
      </c>
      <c r="B17" s="308" t="s">
        <v>1150</v>
      </c>
      <c r="C17" s="24">
        <f ca="1">ROUND(F17*(F43+INDIRECT("'数据-取费表'!S"&amp;$G$1))/10000,0)</f>
        <v>126</v>
      </c>
      <c r="D17" s="308" t="s">
        <v>1151</v>
      </c>
      <c r="E17" s="308" t="s">
        <v>1152</v>
      </c>
      <c r="F17" s="26">
        <f>'数据-取费表'!B35</f>
        <v>200</v>
      </c>
      <c r="G17" s="1531"/>
      <c r="H17" s="1094" t="s">
        <v>822</v>
      </c>
      <c r="I17" s="308" t="s">
        <v>1153</v>
      </c>
      <c r="J17" s="2484">
        <f ca="1">ROUND(IF(AND(项目基本情况!B11="自然人",项目基本情况!B10="北京市"),J6*M17/(1+'数据-取费表'!C42),J18+J19+J20),0)</f>
        <v>26</v>
      </c>
      <c r="K17" s="3246" t="s">
        <v>1154</v>
      </c>
      <c r="L17" s="324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33</v>
      </c>
      <c r="D18" s="308" t="s">
        <v>1145</v>
      </c>
      <c r="E18" s="308" t="s">
        <v>1146</v>
      </c>
      <c r="F18" s="328">
        <f>'数据-取费表'!B36</f>
        <v>1.4999999999999999E-2</v>
      </c>
      <c r="G18" s="1531"/>
      <c r="H18" s="1094" t="s">
        <v>821</v>
      </c>
      <c r="I18" s="308" t="s">
        <v>1157</v>
      </c>
      <c r="J18" s="24">
        <f ca="1">ROUND(J6*M18/(1+'数据-取费表'!C42),2)</f>
        <v>0</v>
      </c>
      <c r="K18" s="324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2436</v>
      </c>
      <c r="D19" s="136" t="s">
        <v>1160</v>
      </c>
      <c r="E19" s="3253"/>
      <c r="F19" s="26"/>
      <c r="G19" s="1519"/>
      <c r="H19" s="1094" t="s">
        <v>823</v>
      </c>
      <c r="I19" s="308" t="s">
        <v>1161</v>
      </c>
      <c r="J19" s="24">
        <f ca="1">IF(K19="按租金收入计税",ROUND(J6*M19/(1+'数据-取费表'!C42),2),ROUND(C29*M19*0.7,2))</f>
        <v>26.04</v>
      </c>
      <c r="K19" s="1505" t="s">
        <v>1162</v>
      </c>
      <c r="L19" s="308" t="s">
        <v>1146</v>
      </c>
      <c r="M19" s="328">
        <f>IF(K19="按租金收入计税",'数据-取费表'!B51,'数据-取费表'!B50)</f>
        <v>1.2E-2</v>
      </c>
    </row>
    <row r="20" spans="1:37" s="1532" customFormat="1" ht="18" customHeight="1">
      <c r="A20" s="1094" t="s">
        <v>826</v>
      </c>
      <c r="B20" s="308" t="s">
        <v>1163</v>
      </c>
      <c r="C20" s="24">
        <f ca="1">ROUND(C19*F20,0)</f>
        <v>49</v>
      </c>
      <c r="D20" s="329" t="s">
        <v>1164</v>
      </c>
      <c r="E20" s="308" t="s">
        <v>1146</v>
      </c>
      <c r="F20" s="328">
        <f>'数据-取费表'!B37</f>
        <v>0.02</v>
      </c>
      <c r="G20" s="1531"/>
      <c r="H20" s="1094" t="s">
        <v>1113</v>
      </c>
      <c r="I20" s="160" t="s">
        <v>1165</v>
      </c>
      <c r="J20" s="25">
        <f ca="1">ROUND(M20*M21/10000,2)</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53"/>
      <c r="F22" s="26"/>
      <c r="G22" s="1519"/>
      <c r="H22" s="1094" t="s">
        <v>826</v>
      </c>
      <c r="I22" s="308" t="s">
        <v>1173</v>
      </c>
      <c r="J22" s="24">
        <f ca="1">ROUND(J14*M22,1)</f>
        <v>31</v>
      </c>
      <c r="K22" s="324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132</v>
      </c>
      <c r="D23" s="335" t="str">
        <f>IF(F23&lt;=1,"(建造成本+管理费用)×利率×(建设周期÷2)","(建造成本+管理费用)×((1+利率)^(建设周期÷2)-1)")</f>
        <v>(建造成本+管理费用)×((1+利率)^(建设周期÷2)-1)</v>
      </c>
      <c r="E23" s="308" t="s">
        <v>1176</v>
      </c>
      <c r="F23" s="331">
        <f>'数据-取费表'!B20</f>
        <v>2.5</v>
      </c>
      <c r="G23" s="1531"/>
      <c r="H23" s="1094" t="s">
        <v>862</v>
      </c>
      <c r="I23" s="308" t="s">
        <v>1177</v>
      </c>
      <c r="J23" s="24">
        <f ca="1">ROUND(J13*M23,1)</f>
        <v>0</v>
      </c>
      <c r="K23" s="3249" t="s">
        <v>1178</v>
      </c>
      <c r="L23" s="308" t="s">
        <v>1146</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823</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31"/>
      <c r="H24" s="1202" t="s">
        <v>1116</v>
      </c>
      <c r="I24" s="1203" t="s">
        <v>1163</v>
      </c>
      <c r="J24" s="1204">
        <f ca="1">ROUND(J5*M24,1)</f>
        <v>0</v>
      </c>
      <c r="K24" s="1205" t="s">
        <v>1183</v>
      </c>
      <c r="L24" s="1203" t="s">
        <v>1146</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3253"/>
      <c r="F25" s="26"/>
      <c r="G25" s="1519"/>
      <c r="H25" s="1192" t="s">
        <v>818</v>
      </c>
      <c r="I25" s="1207" t="s">
        <v>1187</v>
      </c>
      <c r="J25" s="316">
        <f ca="1">J5-J16</f>
        <v>-57</v>
      </c>
      <c r="K25" s="1208" t="s">
        <v>1188</v>
      </c>
      <c r="L25" s="1209"/>
      <c r="M25" s="1210"/>
    </row>
    <row r="26" spans="1:37">
      <c r="A26" s="1094" t="s">
        <v>821</v>
      </c>
      <c r="B26" s="308" t="s">
        <v>1189</v>
      </c>
      <c r="C26" s="24">
        <f ca="1">ROUND((C19+C20)*F26,0)</f>
        <v>249</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2E-3</v>
      </c>
      <c r="D27" s="329" t="s">
        <v>1196</v>
      </c>
      <c r="E27" s="3231"/>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3100</v>
      </c>
      <c r="D29" s="1205"/>
      <c r="E29" s="1203"/>
      <c r="F29" s="1206"/>
      <c r="G29" s="1531"/>
      <c r="H29" s="340" t="s">
        <v>820</v>
      </c>
      <c r="I29" s="341" t="s">
        <v>1203</v>
      </c>
      <c r="J29" s="342">
        <f ca="1">ROUND(J26/(1+F40)^F41,0)</f>
        <v>0</v>
      </c>
      <c r="K29" s="343" t="s">
        <v>1204</v>
      </c>
      <c r="L29" s="344"/>
      <c r="M29" s="345">
        <f ca="1">INDIRECT("'数据-取费表'!k"&amp;$G$1)</f>
        <v>6318.51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63</v>
      </c>
      <c r="D30" s="1200" t="s">
        <v>1149</v>
      </c>
      <c r="E30" s="3250"/>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26</v>
      </c>
      <c r="D31" s="3246" t="s">
        <v>1154</v>
      </c>
      <c r="E31" s="3249" t="s">
        <v>1205</v>
      </c>
      <c r="F31" s="2483" t="str">
        <f>IF(项目基本情况!B11="企业","——",IF('数据-取费表'!B10="住宅",IF(F6*F7*F8/12/(1+'数据-取费表'!F30)&gt;100000,4%,2.5%),IF(F6*F7*F8/12/(1+'数据-取费表'!F30)&gt;100000,12%,7%)))</f>
        <v>——</v>
      </c>
      <c r="G31" s="1519"/>
      <c r="H31" s="2988" t="s">
        <v>2811</v>
      </c>
      <c r="I31" s="1533"/>
      <c r="J31" s="1534"/>
      <c r="K31" s="2650"/>
      <c r="L31" s="2876"/>
      <c r="M31" s="2877"/>
    </row>
    <row r="32" spans="1:37" ht="18" customHeight="1">
      <c r="A32" s="1094" t="s">
        <v>821</v>
      </c>
      <c r="B32" s="308" t="s">
        <v>1157</v>
      </c>
      <c r="C32" s="24">
        <f ca="1">IF(项目基本情况!B11="自然人","——",ROUND(C6*F32/(1+'数据-取费表'!C42),2))</f>
        <v>8.07</v>
      </c>
      <c r="D32" s="3249" t="s">
        <v>1158</v>
      </c>
      <c r="E32" s="308" t="s">
        <v>1146</v>
      </c>
      <c r="F32" s="337">
        <f>'数据-取费表'!B41</f>
        <v>5.5000000000000007E-2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17.600000000000001</v>
      </c>
      <c r="D33" s="1505" t="s">
        <v>3219</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0</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ROUND(C29*F36,1)</f>
        <v>31</v>
      </c>
      <c r="D36" s="3249" t="s">
        <v>1206</v>
      </c>
      <c r="E36" s="308" t="s">
        <v>1146</v>
      </c>
      <c r="F36" s="334">
        <f ca="1">INDIRECT("'数据-取费表'!Ak"&amp;$G$1)</f>
        <v>0.01</v>
      </c>
      <c r="G36" s="1519"/>
      <c r="H36" s="2878"/>
      <c r="I36" s="1533"/>
      <c r="J36" s="1534"/>
      <c r="K36" s="2719"/>
      <c r="L36" s="2878"/>
      <c r="M36" s="2878"/>
    </row>
    <row r="37" spans="1:18" ht="18" customHeight="1">
      <c r="A37" s="1094" t="s">
        <v>862</v>
      </c>
      <c r="B37" s="308" t="s">
        <v>1177</v>
      </c>
      <c r="C37" s="24">
        <f ca="1">ROUND(C13*F37,1)</f>
        <v>4.5</v>
      </c>
      <c r="D37" s="3249" t="s">
        <v>1178</v>
      </c>
      <c r="E37" s="308" t="s">
        <v>1146</v>
      </c>
      <c r="F37" s="336">
        <f ca="1">INDIRECT("'数据-取费表'!Al"&amp;$G$1)</f>
        <v>1.5E-3</v>
      </c>
      <c r="G37" s="1519"/>
      <c r="H37" s="2878"/>
      <c r="I37" s="1533"/>
      <c r="J37" s="1534"/>
      <c r="K37" s="2719"/>
      <c r="L37" s="2878"/>
      <c r="M37" s="2878"/>
    </row>
    <row r="38" spans="1:18" ht="18" customHeight="1" thickBot="1">
      <c r="A38" s="1202" t="s">
        <v>1116</v>
      </c>
      <c r="B38" s="1203" t="s">
        <v>1163</v>
      </c>
      <c r="C38" s="1204">
        <f ca="1">ROUND(C5*F38,1)</f>
        <v>1.5</v>
      </c>
      <c r="D38" s="1205" t="s">
        <v>1183</v>
      </c>
      <c r="E38" s="1203" t="s">
        <v>1146</v>
      </c>
      <c r="F38" s="1199">
        <f ca="1">INDIRECT("'数据-取费表'!Am"&amp;$G$1)</f>
        <v>0.01</v>
      </c>
      <c r="G38" s="1519"/>
      <c r="H38" s="2878"/>
      <c r="I38" s="1533"/>
      <c r="J38" s="1534"/>
      <c r="K38" s="2882"/>
      <c r="L38" s="2878"/>
      <c r="M38" s="2878"/>
    </row>
    <row r="39" spans="1:18" ht="24.6" customHeight="1" thickTop="1">
      <c r="A39" s="1192" t="s">
        <v>818</v>
      </c>
      <c r="B39" s="1207" t="s">
        <v>1187</v>
      </c>
      <c r="C39" s="316">
        <f ca="1">C5-C30</f>
        <v>91</v>
      </c>
      <c r="D39" s="1208" t="s">
        <v>1188</v>
      </c>
      <c r="E39" s="1209"/>
      <c r="F39" s="1210"/>
      <c r="G39" s="1519"/>
      <c r="H39" s="2878"/>
      <c r="I39" s="1533"/>
      <c r="J39" s="1534"/>
      <c r="K39" s="2882"/>
      <c r="L39" s="2878"/>
      <c r="M39" s="2878"/>
    </row>
    <row r="40" spans="1:18" ht="18" customHeight="1">
      <c r="A40" s="305" t="s">
        <v>819</v>
      </c>
      <c r="B40" s="306" t="s">
        <v>1209</v>
      </c>
      <c r="C40" s="307">
        <f ca="1">ROUND(C39*(1-((1+F42)/(1+F40))^F41)/(F40-F42),0)</f>
        <v>2299</v>
      </c>
      <c r="D40" s="330" t="s">
        <v>1193</v>
      </c>
      <c r="E40" s="308" t="s">
        <v>1194</v>
      </c>
      <c r="F40" s="318">
        <f ca="1">INDIRECT("'数据-取费表'!I"&amp;$G$1)</f>
        <v>0.05</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41.43</v>
      </c>
      <c r="G41" s="1519"/>
      <c r="H41" s="1306"/>
      <c r="I41" s="1533"/>
      <c r="J41" s="1534"/>
      <c r="K41" s="2719"/>
      <c r="L41" s="1306"/>
      <c r="M41" s="1306"/>
    </row>
    <row r="42" spans="1:18" ht="18" customHeight="1">
      <c r="A42" s="314"/>
      <c r="B42" s="315"/>
      <c r="C42" s="316"/>
      <c r="D42" s="333"/>
      <c r="E42" s="308" t="s">
        <v>1201</v>
      </c>
      <c r="F42" s="318">
        <f ca="1">INDIRECT("'数据-取费表'!v"&amp;$G$1)</f>
        <v>2.5000000000000001E-2</v>
      </c>
      <c r="G42" s="1519"/>
      <c r="H42" s="1306"/>
      <c r="I42" s="1533"/>
      <c r="J42" s="1534"/>
      <c r="K42" s="2719"/>
      <c r="L42" s="1306"/>
      <c r="M42" s="1306"/>
    </row>
    <row r="43" spans="1:18" ht="18" customHeight="1" thickBot="1">
      <c r="A43" s="340" t="s">
        <v>820</v>
      </c>
      <c r="B43" s="341" t="s">
        <v>1211</v>
      </c>
      <c r="C43" s="342">
        <f ca="1">ROUND(C40*10000/F43,0)</f>
        <v>3639</v>
      </c>
      <c r="D43" s="343" t="s">
        <v>1212</v>
      </c>
      <c r="E43" s="344" t="s">
        <v>1213</v>
      </c>
      <c r="F43" s="345">
        <f ca="1">INDIRECT("'数据-取费表'!k"&amp;$G$1)</f>
        <v>6318.51</v>
      </c>
      <c r="G43" s="1519"/>
      <c r="H43" s="1306"/>
      <c r="I43" s="1306"/>
      <c r="J43" s="1306"/>
      <c r="K43" s="2719"/>
      <c r="L43" s="1306"/>
      <c r="M43" s="1306"/>
    </row>
    <row r="44" spans="1:18" s="1519" customFormat="1" ht="18" customHeight="1">
      <c r="A44" s="1535"/>
      <c r="B44" s="1535"/>
      <c r="C44" s="1536">
        <f ca="1">C40/'数据-取费表'!AH9</f>
        <v>16.076923076923077</v>
      </c>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-7435</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3220</v>
      </c>
      <c r="K47" s="1551" t="s">
        <v>1251</v>
      </c>
      <c r="L47" s="1552">
        <f ca="1">INDIRECT("'数据-取费表'!d"&amp;$G$1)</f>
        <v>50</v>
      </c>
      <c r="M47" s="1515" t="str">
        <f>IF(ISNUMBER(FIND("住宅",C1)),"住宅","非住宅")</f>
        <v>非住宅</v>
      </c>
      <c r="O47" s="1553" t="s">
        <v>827</v>
      </c>
      <c r="P47" s="1554" t="s">
        <v>1252</v>
      </c>
      <c r="Q47" s="1555">
        <f ca="1">C40+J29</f>
        <v>2299</v>
      </c>
      <c r="R47" s="1555" t="s">
        <v>1253</v>
      </c>
    </row>
    <row r="48" spans="1:18" s="1519" customFormat="1" ht="28.5" thickBot="1">
      <c r="A48" s="1223" t="s">
        <v>863</v>
      </c>
      <c r="B48" s="306" t="s">
        <v>1125</v>
      </c>
      <c r="C48" s="3252">
        <f ca="1">C49+C53+C55</f>
        <v>0</v>
      </c>
      <c r="D48" s="1225"/>
      <c r="E48" s="1226"/>
      <c r="F48" s="1074"/>
      <c r="G48" s="731"/>
      <c r="H48" s="732"/>
      <c r="I48" s="1556" t="s">
        <v>1254</v>
      </c>
      <c r="J48" s="1557" t="s">
        <v>3221</v>
      </c>
      <c r="K48" s="1558" t="s">
        <v>1255</v>
      </c>
      <c r="L48" s="1559">
        <f ca="1">INDIRECT("'数据-取费表'!f"&amp;$G$1)</f>
        <v>41.43</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2607</v>
      </c>
      <c r="E49" s="1507" t="s">
        <v>1215</v>
      </c>
      <c r="F49" s="1172"/>
      <c r="G49" s="1560"/>
      <c r="H49" s="732"/>
      <c r="I49" s="1556" t="s">
        <v>1258</v>
      </c>
      <c r="J49" s="1561">
        <v>2020</v>
      </c>
      <c r="K49" s="1558" t="s">
        <v>1259</v>
      </c>
      <c r="L49" s="1562"/>
      <c r="O49" s="1563" t="s">
        <v>829</v>
      </c>
      <c r="P49" s="1554" t="s">
        <v>1260</v>
      </c>
      <c r="Q49" s="1555">
        <f ca="1">C29</f>
        <v>3100</v>
      </c>
      <c r="R49" s="1555" t="s">
        <v>1253</v>
      </c>
    </row>
    <row r="50" spans="1:18" s="1519" customFormat="1" ht="13.5" thickBot="1">
      <c r="A50" s="1088"/>
      <c r="B50" s="1091"/>
      <c r="C50" s="1231"/>
      <c r="D50" s="1065"/>
      <c r="E50" s="1168" t="s">
        <v>1130</v>
      </c>
      <c r="F50" s="1169">
        <f ca="1">F7</f>
        <v>143</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12</v>
      </c>
      <c r="I51" s="1567" t="s">
        <v>1264</v>
      </c>
      <c r="J51" s="1568">
        <f>IF(J49="",J50,J49+J50-YEAR('数据-取费表'!B2))</f>
        <v>58</v>
      </c>
      <c r="K51" s="1569" t="s">
        <v>1265</v>
      </c>
      <c r="L51" s="1570">
        <f ca="1">ROUND(-PV(INDIRECT("'数据-取费表'!h"&amp;$G$1),J51,(C39-C13*C76),0),0)</f>
        <v>-2757</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41.43</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6">
        <f ca="1">IF(M47="住宅",IF(D1="——",MAX(J51,L48),MAX(J51,L48-'数据-取费表'!B24)),IF(D1="——",MIN(J51,L48),MIN(J51,L48-'数据-取费表'!B24)))</f>
        <v>41.43</v>
      </c>
      <c r="K53" s="3446" t="s">
        <v>1272</v>
      </c>
      <c r="L53" s="3447"/>
      <c r="O53" s="1553" t="s">
        <v>833</v>
      </c>
      <c r="P53" s="1554" t="s">
        <v>1273</v>
      </c>
      <c r="Q53" s="1555">
        <f ca="1">Q47+Q48</f>
        <v>2299</v>
      </c>
      <c r="R53" s="1555" t="s">
        <v>834</v>
      </c>
    </row>
    <row r="54" spans="1:18" s="1519" customFormat="1" ht="13.5" thickBot="1">
      <c r="A54" s="1268"/>
      <c r="B54" s="1502" t="s">
        <v>1112</v>
      </c>
      <c r="C54" s="1071"/>
      <c r="D54" s="1501"/>
      <c r="E54" s="3238"/>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3238"/>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3007</v>
      </c>
      <c r="D56" s="1582"/>
      <c r="E56" s="1583"/>
      <c r="F56" s="1575"/>
      <c r="I56" s="1584" t="s">
        <v>1278</v>
      </c>
      <c r="J56" s="1585" t="s">
        <v>3201</v>
      </c>
      <c r="K56" s="1556" t="s">
        <v>1279</v>
      </c>
      <c r="L56" s="1559" t="str">
        <f ca="1">IF(L48&lt;J51,"——",L48-J53)</f>
        <v>——</v>
      </c>
      <c r="O56" s="1553" t="s">
        <v>827</v>
      </c>
      <c r="P56" s="1554" t="s">
        <v>1252</v>
      </c>
      <c r="Q56" s="1555">
        <f ca="1">C40+J29</f>
        <v>2299</v>
      </c>
      <c r="R56" s="1555" t="s">
        <v>1253</v>
      </c>
    </row>
    <row r="57" spans="1:18" s="1519" customFormat="1" ht="24.75" thickBot="1">
      <c r="A57" s="1586"/>
      <c r="B57" s="1062" t="s">
        <v>1202</v>
      </c>
      <c r="C57" s="244">
        <f ca="1">C29</f>
        <v>3100</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296</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260</v>
      </c>
      <c r="D59" s="1075" t="s">
        <v>1154</v>
      </c>
      <c r="E59" s="1076" t="s">
        <v>1155</v>
      </c>
      <c r="F59" s="2483"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1161</v>
      </c>
      <c r="C61" s="24">
        <f ca="1">IF(项目基本情况!B11="自然人","——",IF(D61="按租金收入计税",ROUND(C49*F61/(1+'数据-取费表'!C42),2),IF(D61="按房产原值计税",ROUND(C57*F61*0.7,2),INDIRECT("'数据-取费表'!Aj"&amp;$G$1))))</f>
        <v>260.39999999999998</v>
      </c>
      <c r="D61" s="1505" t="s">
        <v>1162</v>
      </c>
      <c r="E61" s="1062" t="s">
        <v>1146</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1165</v>
      </c>
      <c r="C62" s="25">
        <f ca="1">IF(项目基本情况!B11="自然人","——",ROUND(F62*F63/10000,2))</f>
        <v>0</v>
      </c>
      <c r="D62" s="1077" t="s">
        <v>1166</v>
      </c>
      <c r="E62" s="1062" t="s">
        <v>1167</v>
      </c>
      <c r="F62" s="331">
        <f t="shared" si="0"/>
        <v>1.5</v>
      </c>
      <c r="I62" s="1597" t="s">
        <v>1294</v>
      </c>
      <c r="J62" s="1598" t="s">
        <v>1295</v>
      </c>
      <c r="K62" s="1598" t="s">
        <v>1296</v>
      </c>
      <c r="L62" s="1598" t="s">
        <v>1297</v>
      </c>
      <c r="M62" s="1599" t="s">
        <v>1298</v>
      </c>
      <c r="O62" s="1553" t="s">
        <v>833</v>
      </c>
      <c r="P62" s="1554" t="s">
        <v>1273</v>
      </c>
      <c r="Q62" s="1555">
        <f ca="1">Q56+Q57</f>
        <v>2299</v>
      </c>
      <c r="R62" s="1555" t="s">
        <v>834</v>
      </c>
    </row>
    <row r="63" spans="1:18" s="1519" customFormat="1" ht="13.5" thickBot="1">
      <c r="A63" s="332"/>
      <c r="B63" s="1068"/>
      <c r="C63" s="29"/>
      <c r="D63" s="1078"/>
      <c r="E63" s="1062" t="s">
        <v>1171</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826</v>
      </c>
      <c r="B64" s="1062" t="s">
        <v>1173</v>
      </c>
      <c r="C64" s="24">
        <f ca="1">ROUND(C57*F64,1)</f>
        <v>31</v>
      </c>
      <c r="D64" s="1076" t="s">
        <v>1206</v>
      </c>
      <c r="E64" s="1062" t="s">
        <v>1146</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4.5</v>
      </c>
      <c r="D65" s="1076" t="s">
        <v>1178</v>
      </c>
      <c r="E65" s="1062" t="s">
        <v>1146</v>
      </c>
      <c r="F65" s="336">
        <f t="shared" ca="1" si="0"/>
        <v>1.5E-3</v>
      </c>
      <c r="I65" s="1597" t="s">
        <v>1303</v>
      </c>
      <c r="J65" s="1598">
        <v>40</v>
      </c>
      <c r="K65" s="1598">
        <v>30</v>
      </c>
      <c r="L65" s="1598">
        <v>50</v>
      </c>
      <c r="M65" s="1600">
        <v>0.02</v>
      </c>
      <c r="O65" s="1553" t="s">
        <v>827</v>
      </c>
      <c r="P65" s="1554" t="s">
        <v>1252</v>
      </c>
      <c r="Q65" s="1555">
        <f ca="1">C40+J29</f>
        <v>2299</v>
      </c>
      <c r="R65" s="1555" t="s">
        <v>1253</v>
      </c>
    </row>
    <row r="66" spans="1:18" s="1519" customFormat="1" ht="16.5" thickBot="1">
      <c r="A66" s="1094" t="s">
        <v>1228</v>
      </c>
      <c r="B66" s="1062" t="s">
        <v>1163</v>
      </c>
      <c r="C66" s="24">
        <f ca="1">ROUND(C48*F66,1)</f>
        <v>0</v>
      </c>
      <c r="D66" s="1076" t="s">
        <v>1183</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-296</v>
      </c>
      <c r="D67" s="1075" t="s">
        <v>1188</v>
      </c>
      <c r="E67" s="1080"/>
      <c r="F67" s="1081"/>
      <c r="O67" s="1563" t="s">
        <v>829</v>
      </c>
      <c r="P67" s="1554" t="s">
        <v>1286</v>
      </c>
      <c r="Q67" s="1601">
        <f ca="1">L51</f>
        <v>-2757</v>
      </c>
      <c r="R67" s="1555" t="s">
        <v>1306</v>
      </c>
    </row>
    <row r="68" spans="1:18" s="1519" customFormat="1" ht="16.5" thickBot="1">
      <c r="A68" s="1059" t="s">
        <v>819</v>
      </c>
      <c r="B68" s="1060" t="s">
        <v>1209</v>
      </c>
      <c r="C68" s="307">
        <f ca="1">ROUND(C67*(1-((1+F70)/(1+F68))^F69)/(F68-F70),0)</f>
        <v>-5136</v>
      </c>
      <c r="D68" s="1077" t="s">
        <v>1193</v>
      </c>
      <c r="E68" s="1062" t="s">
        <v>1194</v>
      </c>
      <c r="F68" s="318">
        <f ca="1">F40</f>
        <v>0.05</v>
      </c>
      <c r="O68" s="1563" t="s">
        <v>830</v>
      </c>
      <c r="P68" s="1602" t="s">
        <v>1307</v>
      </c>
      <c r="Q68" s="1555">
        <f ca="1">ROUND(Q69-Q70*Q71,0)</f>
        <v>-135</v>
      </c>
      <c r="R68" s="1555" t="s">
        <v>838</v>
      </c>
    </row>
    <row r="69" spans="1:18" s="1519" customFormat="1" ht="13.5" thickBot="1">
      <c r="A69" s="1063"/>
      <c r="B69" s="1064"/>
      <c r="C69" s="312"/>
      <c r="D69" s="1082" t="s">
        <v>1197</v>
      </c>
      <c r="E69" s="1062" t="s">
        <v>1198</v>
      </c>
      <c r="F69" s="339">
        <f ca="1">F41</f>
        <v>41.43</v>
      </c>
      <c r="O69" s="1563" t="s">
        <v>835</v>
      </c>
      <c r="P69" s="1602" t="s">
        <v>1308</v>
      </c>
      <c r="Q69" s="1555">
        <f ca="1">C39</f>
        <v>91</v>
      </c>
      <c r="R69" s="1555" t="s">
        <v>1253</v>
      </c>
    </row>
    <row r="70" spans="1:18" s="1519" customFormat="1" ht="13.5" thickBot="1">
      <c r="A70" s="1066"/>
      <c r="B70" s="1067"/>
      <c r="C70" s="316"/>
      <c r="D70" s="1078"/>
      <c r="E70" s="1062" t="s">
        <v>1201</v>
      </c>
      <c r="F70" s="1166"/>
      <c r="O70" s="1563" t="s">
        <v>836</v>
      </c>
      <c r="P70" s="1602" t="s">
        <v>1309</v>
      </c>
      <c r="Q70" s="1555">
        <f ca="1">C13</f>
        <v>3007</v>
      </c>
      <c r="R70" s="1555" t="s">
        <v>1253</v>
      </c>
    </row>
    <row r="71" spans="1:18" s="1519" customFormat="1" ht="13.5" thickBot="1">
      <c r="A71" s="1083" t="s">
        <v>820</v>
      </c>
      <c r="B71" s="1084" t="s">
        <v>1211</v>
      </c>
      <c r="C71" s="342">
        <f ca="1">ROUND(C68*10000/F71,0)</f>
        <v>-8128</v>
      </c>
      <c r="D71" s="1085" t="s">
        <v>1212</v>
      </c>
      <c r="E71" s="1086" t="s">
        <v>1213</v>
      </c>
      <c r="F71" s="345">
        <f ca="1">F43</f>
        <v>6318.51</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226</v>
      </c>
      <c r="D75" s="1519"/>
      <c r="E75" s="1519"/>
      <c r="F75" s="1519"/>
      <c r="K75" s="1537"/>
      <c r="L75" s="1519"/>
      <c r="O75" s="1553" t="s">
        <v>833</v>
      </c>
      <c r="P75" s="1554" t="s">
        <v>1273</v>
      </c>
      <c r="Q75" s="1555">
        <f ca="1">Q65+Q66</f>
        <v>2299</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-1.484</v>
      </c>
    </row>
    <row r="80" spans="1:18">
      <c r="B80" s="346" t="s">
        <v>1235</v>
      </c>
      <c r="C80" s="280">
        <f ca="1">ROUND(C75/C39,3)</f>
        <v>2.484</v>
      </c>
    </row>
    <row r="81" spans="2:3">
      <c r="B81" s="276" t="s">
        <v>1236</v>
      </c>
      <c r="C81" s="244"/>
    </row>
    <row r="82" spans="2:3">
      <c r="B82" s="279" t="s">
        <v>1237</v>
      </c>
      <c r="C82" s="281">
        <f ca="1">1-C83</f>
        <v>-0.30800000000000005</v>
      </c>
    </row>
    <row r="83" spans="2:3">
      <c r="B83" s="279" t="s">
        <v>1238</v>
      </c>
      <c r="C83" s="280">
        <f ca="1">ROUND(C13/C40,3)</f>
        <v>1.3080000000000001</v>
      </c>
    </row>
  </sheetData>
  <sheetProtection formatCells="0" formatColumns="0" formatRows="0"/>
  <mergeCells count="3">
    <mergeCell ref="B6:B9"/>
    <mergeCell ref="I6:I9"/>
    <mergeCell ref="K53:L53"/>
  </mergeCells>
  <phoneticPr fontId="140" type="noConversion"/>
  <conditionalFormatting sqref="K55 K60">
    <cfRule type="expression" dxfId="63" priority="4">
      <formula>$L$48&gt;$J$51</formula>
    </cfRule>
  </conditionalFormatting>
  <conditionalFormatting sqref="I55 I60">
    <cfRule type="expression" dxfId="62" priority="5">
      <formula>$J$51&gt;$L$48</formula>
    </cfRule>
  </conditionalFormatting>
  <conditionalFormatting sqref="C11">
    <cfRule type="expression" dxfId="61" priority="3">
      <formula>$F$10="自定义"</formula>
    </cfRule>
  </conditionalFormatting>
  <conditionalFormatting sqref="J11">
    <cfRule type="expression" dxfId="60" priority="2">
      <formula>$M$10="自定义"</formula>
    </cfRule>
  </conditionalFormatting>
  <conditionalFormatting sqref="C54">
    <cfRule type="expression" dxfId="5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90" t="s">
        <v>2226</v>
      </c>
      <c r="D4" s="3491"/>
      <c r="E4" s="3492" t="s">
        <v>2227</v>
      </c>
      <c r="F4" s="3493"/>
      <c r="G4" s="3490" t="s">
        <v>2228</v>
      </c>
      <c r="H4" s="3491"/>
      <c r="I4" s="3490" t="s">
        <v>2229</v>
      </c>
      <c r="J4" s="3491"/>
      <c r="K4" s="567" t="s">
        <v>2230</v>
      </c>
      <c r="L4" s="2893"/>
      <c r="M4" s="2894"/>
      <c r="N4" s="2894"/>
      <c r="O4" s="2894"/>
      <c r="P4" s="3494" t="s">
        <v>2231</v>
      </c>
      <c r="Q4" s="3495"/>
      <c r="R4" s="3500" t="s">
        <v>2227</v>
      </c>
      <c r="S4" s="3501"/>
      <c r="T4" s="3500" t="s">
        <v>2228</v>
      </c>
      <c r="U4" s="3501"/>
      <c r="V4" s="3506" t="s">
        <v>2229</v>
      </c>
      <c r="W4" s="3506"/>
      <c r="X4" s="1490"/>
      <c r="Y4" s="3500" t="s">
        <v>2231</v>
      </c>
      <c r="Z4" s="3501"/>
      <c r="AA4" s="3487" t="s">
        <v>2227</v>
      </c>
      <c r="AB4" s="3488" t="s">
        <v>2228</v>
      </c>
      <c r="AC4" s="3487" t="s">
        <v>2229</v>
      </c>
    </row>
    <row r="5" spans="1:29" ht="15">
      <c r="A5" s="364"/>
      <c r="B5" s="365"/>
      <c r="C5" s="3509" t="s">
        <v>2122</v>
      </c>
      <c r="D5" s="3510"/>
      <c r="E5" s="3516" t="s">
        <v>2123</v>
      </c>
      <c r="F5" s="3517"/>
      <c r="G5" s="3509" t="s">
        <v>2124</v>
      </c>
      <c r="H5" s="3510"/>
      <c r="I5" s="3509" t="s">
        <v>2125</v>
      </c>
      <c r="J5" s="3510"/>
      <c r="K5" s="567"/>
      <c r="L5" s="2893"/>
      <c r="M5" s="2894"/>
      <c r="N5" s="2894"/>
      <c r="O5" s="2894"/>
      <c r="P5" s="3496"/>
      <c r="Q5" s="3497"/>
      <c r="R5" s="3502"/>
      <c r="S5" s="3503"/>
      <c r="T5" s="3502"/>
      <c r="U5" s="3503"/>
      <c r="V5" s="3506"/>
      <c r="W5" s="3506"/>
      <c r="X5" s="1490"/>
      <c r="Y5" s="3502"/>
      <c r="Z5" s="3503"/>
      <c r="AA5" s="3488"/>
      <c r="AB5" s="3488"/>
      <c r="AC5" s="3488"/>
    </row>
    <row r="6" spans="1:29" ht="15.75" thickBot="1">
      <c r="A6" s="366"/>
      <c r="B6" s="367"/>
      <c r="C6" s="3507" t="s">
        <v>2126</v>
      </c>
      <c r="D6" s="3508"/>
      <c r="E6" s="3514" t="s">
        <v>2126</v>
      </c>
      <c r="F6" s="3515"/>
      <c r="G6" s="3507" t="s">
        <v>2126</v>
      </c>
      <c r="H6" s="3508"/>
      <c r="I6" s="3507" t="s">
        <v>2126</v>
      </c>
      <c r="J6" s="3508"/>
      <c r="K6" s="567" t="s">
        <v>2127</v>
      </c>
      <c r="L6" s="2893"/>
      <c r="M6" s="2894"/>
      <c r="N6" s="2894"/>
      <c r="O6" s="2894"/>
      <c r="P6" s="3498"/>
      <c r="Q6" s="3499"/>
      <c r="R6" s="3502"/>
      <c r="S6" s="3503"/>
      <c r="T6" s="3504"/>
      <c r="U6" s="3505"/>
      <c r="V6" s="3506"/>
      <c r="W6" s="3506"/>
      <c r="X6" s="1490"/>
      <c r="Y6" s="3504"/>
      <c r="Z6" s="3505"/>
      <c r="AA6" s="3489"/>
      <c r="AB6" s="3489"/>
      <c r="AC6" s="3489"/>
    </row>
    <row r="7" spans="1:29" s="113" customFormat="1" ht="15.75" thickBot="1">
      <c r="A7" s="368" t="s">
        <v>2128</v>
      </c>
      <c r="B7" s="369"/>
      <c r="C7" s="370">
        <f>'数据-取费表'!B2</f>
        <v>44769</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511" t="s">
        <v>2129</v>
      </c>
      <c r="Q7" s="3513"/>
      <c r="R7" s="710" t="s">
        <v>17</v>
      </c>
      <c r="S7" s="711">
        <f t="shared" ref="S7:S14" si="0">F7</f>
        <v>0</v>
      </c>
      <c r="T7" s="710" t="s">
        <v>17</v>
      </c>
      <c r="U7" s="711">
        <f t="shared" ref="U7:U14" si="1">H7</f>
        <v>0</v>
      </c>
      <c r="V7" s="710" t="s">
        <v>17</v>
      </c>
      <c r="W7" s="711">
        <f t="shared" ref="W7:W14" si="2">J7</f>
        <v>0</v>
      </c>
      <c r="X7" s="712"/>
      <c r="Y7" s="3511" t="s">
        <v>2129</v>
      </c>
      <c r="Z7" s="3512"/>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511" t="s">
        <v>2132</v>
      </c>
      <c r="Q8" s="3512"/>
      <c r="R8" s="710" t="s">
        <v>17</v>
      </c>
      <c r="S8" s="711">
        <f t="shared" si="0"/>
        <v>0</v>
      </c>
      <c r="T8" s="710" t="s">
        <v>17</v>
      </c>
      <c r="U8" s="711">
        <f t="shared" si="1"/>
        <v>0</v>
      </c>
      <c r="V8" s="710" t="s">
        <v>17</v>
      </c>
      <c r="W8" s="711">
        <f t="shared" si="2"/>
        <v>0</v>
      </c>
      <c r="X8" s="712"/>
      <c r="Y8" s="3511" t="s">
        <v>2132</v>
      </c>
      <c r="Z8" s="3512"/>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75" t="s">
        <v>2135</v>
      </c>
      <c r="Q9" s="1478" t="str">
        <f t="shared" ref="Q9:Q14" si="6">B9</f>
        <v>用途</v>
      </c>
      <c r="R9" s="710" t="s">
        <v>17</v>
      </c>
      <c r="S9" s="711">
        <f t="shared" si="0"/>
        <v>100</v>
      </c>
      <c r="T9" s="710" t="s">
        <v>17</v>
      </c>
      <c r="U9" s="711">
        <f t="shared" si="1"/>
        <v>100</v>
      </c>
      <c r="V9" s="710" t="s">
        <v>17</v>
      </c>
      <c r="W9" s="711">
        <f t="shared" si="2"/>
        <v>100</v>
      </c>
      <c r="X9" s="712"/>
      <c r="Y9" s="3347"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75"/>
      <c r="Q10" s="1478" t="str">
        <f t="shared" si="6"/>
        <v>土地使用年限（年）</v>
      </c>
      <c r="R10" s="710" t="s">
        <v>17</v>
      </c>
      <c r="S10" s="711">
        <f t="shared" si="0"/>
        <v>100</v>
      </c>
      <c r="T10" s="710" t="s">
        <v>17</v>
      </c>
      <c r="U10" s="711">
        <f t="shared" si="1"/>
        <v>100</v>
      </c>
      <c r="V10" s="710" t="s">
        <v>17</v>
      </c>
      <c r="W10" s="711">
        <f t="shared" si="2"/>
        <v>100</v>
      </c>
      <c r="X10" s="712"/>
      <c r="Y10" s="3347"/>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75"/>
      <c r="Q11" s="1478">
        <f t="shared" si="6"/>
        <v>111</v>
      </c>
      <c r="R11" s="710" t="s">
        <v>17</v>
      </c>
      <c r="S11" s="711">
        <f t="shared" si="0"/>
        <v>100</v>
      </c>
      <c r="T11" s="710" t="s">
        <v>17</v>
      </c>
      <c r="U11" s="711">
        <f t="shared" si="1"/>
        <v>100</v>
      </c>
      <c r="V11" s="710" t="s">
        <v>17</v>
      </c>
      <c r="W11" s="711">
        <f t="shared" si="2"/>
        <v>100</v>
      </c>
      <c r="X11" s="712"/>
      <c r="Y11" s="3347"/>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75"/>
      <c r="Q12" s="1478">
        <f t="shared" si="6"/>
        <v>111</v>
      </c>
      <c r="R12" s="710" t="s">
        <v>17</v>
      </c>
      <c r="S12" s="711">
        <f t="shared" si="0"/>
        <v>100</v>
      </c>
      <c r="T12" s="710" t="s">
        <v>17</v>
      </c>
      <c r="U12" s="711">
        <f t="shared" si="1"/>
        <v>100</v>
      </c>
      <c r="V12" s="710" t="s">
        <v>17</v>
      </c>
      <c r="W12" s="711">
        <f t="shared" si="2"/>
        <v>100</v>
      </c>
      <c r="X12" s="712"/>
      <c r="Y12" s="3347"/>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475"/>
      <c r="Q13" s="1478">
        <f t="shared" si="6"/>
        <v>111</v>
      </c>
      <c r="R13" s="710" t="s">
        <v>17</v>
      </c>
      <c r="S13" s="711">
        <f t="shared" si="0"/>
        <v>100</v>
      </c>
      <c r="T13" s="710" t="s">
        <v>17</v>
      </c>
      <c r="U13" s="711">
        <f t="shared" si="1"/>
        <v>100</v>
      </c>
      <c r="V13" s="710" t="s">
        <v>17</v>
      </c>
      <c r="W13" s="711">
        <f t="shared" si="2"/>
        <v>100</v>
      </c>
      <c r="X13" s="712"/>
      <c r="Y13" s="3347"/>
      <c r="Z13" s="55">
        <f t="shared" si="7"/>
        <v>111</v>
      </c>
      <c r="AA13" s="713">
        <f t="shared" si="3"/>
        <v>1</v>
      </c>
      <c r="AB13" s="713">
        <f t="shared" si="4"/>
        <v>1</v>
      </c>
      <c r="AC13" s="713">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77" t="s">
        <v>2140</v>
      </c>
      <c r="Q14" s="1487" t="str">
        <f t="shared" si="6"/>
        <v>交通便捷度</v>
      </c>
      <c r="R14" s="714" t="s">
        <v>17</v>
      </c>
      <c r="S14" s="715">
        <f t="shared" si="0"/>
        <v>100</v>
      </c>
      <c r="T14" s="714" t="s">
        <v>17</v>
      </c>
      <c r="U14" s="715">
        <f t="shared" si="1"/>
        <v>100</v>
      </c>
      <c r="V14" s="714" t="s">
        <v>17</v>
      </c>
      <c r="W14" s="715">
        <f t="shared" si="2"/>
        <v>100</v>
      </c>
      <c r="X14" s="1490"/>
      <c r="Y14" s="3477"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478"/>
      <c r="Q15" s="1487"/>
      <c r="R15" s="714"/>
      <c r="S15" s="715"/>
      <c r="T15" s="714"/>
      <c r="U15" s="715"/>
      <c r="V15" s="714"/>
      <c r="W15" s="715"/>
      <c r="X15" s="1490"/>
      <c r="Y15" s="3478"/>
      <c r="Z15" s="1491"/>
      <c r="AA15" s="1488">
        <v>1</v>
      </c>
      <c r="AB15" s="1488">
        <v>1</v>
      </c>
      <c r="AC15" s="1488">
        <v>1</v>
      </c>
    </row>
    <row r="16" spans="1:29" ht="42.7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78"/>
      <c r="Q16" s="1487" t="str">
        <f>B16</f>
        <v>公共配套设施</v>
      </c>
      <c r="R16" s="714" t="s">
        <v>17</v>
      </c>
      <c r="S16" s="715">
        <f>F16</f>
        <v>100</v>
      </c>
      <c r="T16" s="714" t="s">
        <v>17</v>
      </c>
      <c r="U16" s="715">
        <f>H16</f>
        <v>100</v>
      </c>
      <c r="V16" s="714" t="s">
        <v>17</v>
      </c>
      <c r="W16" s="715">
        <f>J16</f>
        <v>100</v>
      </c>
      <c r="X16" s="1490"/>
      <c r="Y16" s="3478"/>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900"/>
      <c r="M17" s="2894"/>
      <c r="N17" s="2894"/>
      <c r="O17" s="2952"/>
      <c r="P17" s="3478"/>
      <c r="Q17" s="1487"/>
      <c r="R17" s="714"/>
      <c r="S17" s="715"/>
      <c r="T17" s="714"/>
      <c r="U17" s="715"/>
      <c r="V17" s="714"/>
      <c r="W17" s="715"/>
      <c r="X17" s="1490"/>
      <c r="Y17" s="3478"/>
      <c r="Z17" s="1491"/>
      <c r="AA17" s="1488">
        <v>1</v>
      </c>
      <c r="AB17" s="1488">
        <v>1</v>
      </c>
      <c r="AC17" s="1488">
        <v>1</v>
      </c>
    </row>
    <row r="18" spans="1:29" ht="28.5">
      <c r="A18" s="387"/>
      <c r="B18" s="1246"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78"/>
      <c r="Q18" s="1487" t="str">
        <f>B18</f>
        <v>基础设施水平</v>
      </c>
      <c r="R18" s="714" t="s">
        <v>17</v>
      </c>
      <c r="S18" s="715">
        <f>F18</f>
        <v>100</v>
      </c>
      <c r="T18" s="714" t="s">
        <v>17</v>
      </c>
      <c r="U18" s="715">
        <f>H18</f>
        <v>100</v>
      </c>
      <c r="V18" s="714" t="s">
        <v>17</v>
      </c>
      <c r="W18" s="715">
        <f>J18</f>
        <v>100</v>
      </c>
      <c r="X18" s="1490"/>
      <c r="Y18" s="3478"/>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900"/>
      <c r="M19" s="2894"/>
      <c r="N19" s="2894"/>
      <c r="O19" s="2952"/>
      <c r="P19" s="3478"/>
      <c r="Q19" s="1487"/>
      <c r="R19" s="714"/>
      <c r="S19" s="715"/>
      <c r="T19" s="714"/>
      <c r="U19" s="715"/>
      <c r="V19" s="714"/>
      <c r="W19" s="715"/>
      <c r="X19" s="1490"/>
      <c r="Y19" s="3478"/>
      <c r="Z19" s="1491"/>
      <c r="AA19" s="1488">
        <v>1</v>
      </c>
      <c r="AB19" s="1488">
        <v>1</v>
      </c>
      <c r="AC19" s="1488">
        <v>1</v>
      </c>
    </row>
    <row r="20" spans="1:29" ht="57">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78"/>
      <c r="Q20" s="1487" t="str">
        <f>B20</f>
        <v>自然及人文环境</v>
      </c>
      <c r="R20" s="714" t="s">
        <v>17</v>
      </c>
      <c r="S20" s="715">
        <f>F20</f>
        <v>100</v>
      </c>
      <c r="T20" s="714" t="s">
        <v>17</v>
      </c>
      <c r="U20" s="715">
        <f>H20</f>
        <v>100</v>
      </c>
      <c r="V20" s="714" t="s">
        <v>17</v>
      </c>
      <c r="W20" s="715">
        <f>J20</f>
        <v>100</v>
      </c>
      <c r="X20" s="1490"/>
      <c r="Y20" s="3478"/>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478"/>
      <c r="Q21" s="1487"/>
      <c r="R21" s="714"/>
      <c r="S21" s="715"/>
      <c r="T21" s="714"/>
      <c r="U21" s="715"/>
      <c r="V21" s="714"/>
      <c r="W21" s="715"/>
      <c r="X21" s="1490"/>
      <c r="Y21" s="3478"/>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78"/>
      <c r="Q22" s="1487" t="str">
        <f>B22</f>
        <v>楼层</v>
      </c>
      <c r="R22" s="714" t="s">
        <v>17</v>
      </c>
      <c r="S22" s="715">
        <f>F22</f>
        <v>100</v>
      </c>
      <c r="T22" s="714" t="s">
        <v>17</v>
      </c>
      <c r="U22" s="715">
        <f>H22</f>
        <v>100</v>
      </c>
      <c r="V22" s="714" t="s">
        <v>17</v>
      </c>
      <c r="W22" s="715">
        <f>J22</f>
        <v>100</v>
      </c>
      <c r="X22" s="1490"/>
      <c r="Y22" s="3478"/>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78"/>
      <c r="Q23" s="1487">
        <f>B23</f>
        <v>111</v>
      </c>
      <c r="R23" s="714" t="s">
        <v>17</v>
      </c>
      <c r="S23" s="715">
        <f>F23</f>
        <v>100</v>
      </c>
      <c r="T23" s="714" t="s">
        <v>17</v>
      </c>
      <c r="U23" s="715">
        <f>H23</f>
        <v>100</v>
      </c>
      <c r="V23" s="714" t="s">
        <v>17</v>
      </c>
      <c r="W23" s="715">
        <f>J23</f>
        <v>100</v>
      </c>
      <c r="X23" s="1490"/>
      <c r="Y23" s="3478"/>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78"/>
      <c r="Q24" s="1487">
        <f t="shared" ref="Q24:Q34" si="11">B24</f>
        <v>111</v>
      </c>
      <c r="R24" s="714" t="s">
        <v>17</v>
      </c>
      <c r="S24" s="715">
        <f>F24</f>
        <v>100</v>
      </c>
      <c r="T24" s="714" t="s">
        <v>17</v>
      </c>
      <c r="U24" s="715">
        <f>H24</f>
        <v>100</v>
      </c>
      <c r="V24" s="714" t="s">
        <v>17</v>
      </c>
      <c r="W24" s="715">
        <f>J24</f>
        <v>100</v>
      </c>
      <c r="X24" s="1490"/>
      <c r="Y24" s="3478"/>
      <c r="Z24" s="1491">
        <f>Q24</f>
        <v>111</v>
      </c>
      <c r="AA24" s="1488">
        <f t="shared" si="3"/>
        <v>1</v>
      </c>
      <c r="AB24" s="1488">
        <f t="shared" si="4"/>
        <v>1</v>
      </c>
      <c r="AC24" s="1488">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478"/>
      <c r="Q25" s="1478">
        <f t="shared" si="11"/>
        <v>111</v>
      </c>
      <c r="R25" s="710" t="s">
        <v>17</v>
      </c>
      <c r="S25" s="711">
        <f>F25</f>
        <v>100</v>
      </c>
      <c r="T25" s="710" t="s">
        <v>17</v>
      </c>
      <c r="U25" s="711">
        <f>H25</f>
        <v>100</v>
      </c>
      <c r="V25" s="710" t="s">
        <v>17</v>
      </c>
      <c r="W25" s="711">
        <f>J25</f>
        <v>100</v>
      </c>
      <c r="X25" s="712"/>
      <c r="Y25" s="3478"/>
      <c r="Z25" s="55">
        <f>Q25</f>
        <v>111</v>
      </c>
      <c r="AA25" s="1488">
        <f>D25/F25</f>
        <v>1</v>
      </c>
      <c r="AB25" s="1488">
        <f>D25/H25</f>
        <v>1</v>
      </c>
      <c r="AC25" s="1488">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33"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82"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82"/>
      <c r="Q27" s="716" t="str">
        <f t="shared" si="11"/>
        <v>成新率</v>
      </c>
      <c r="R27" s="717" t="s">
        <v>17</v>
      </c>
      <c r="S27" s="718" t="e">
        <f t="shared" si="12"/>
        <v>#N/A</v>
      </c>
      <c r="T27" s="717" t="s">
        <v>17</v>
      </c>
      <c r="U27" s="718" t="e">
        <f t="shared" si="13"/>
        <v>#N/A</v>
      </c>
      <c r="V27" s="717" t="s">
        <v>17</v>
      </c>
      <c r="W27" s="718" t="e">
        <f t="shared" si="14"/>
        <v>#N/A</v>
      </c>
      <c r="X27" s="719"/>
      <c r="Y27" s="3482"/>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82"/>
      <c r="Q28" s="1487" t="str">
        <f t="shared" si="11"/>
        <v>物业等级</v>
      </c>
      <c r="R28" s="714" t="s">
        <v>17</v>
      </c>
      <c r="S28" s="715">
        <f t="shared" si="12"/>
        <v>100</v>
      </c>
      <c r="T28" s="714" t="s">
        <v>17</v>
      </c>
      <c r="U28" s="715">
        <f t="shared" si="13"/>
        <v>100</v>
      </c>
      <c r="V28" s="714" t="s">
        <v>17</v>
      </c>
      <c r="W28" s="715">
        <f t="shared" si="14"/>
        <v>100</v>
      </c>
      <c r="X28" s="1490"/>
      <c r="Y28" s="3482"/>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82"/>
      <c r="Q29" s="1487" t="str">
        <f t="shared" si="11"/>
        <v>有无电梯</v>
      </c>
      <c r="R29" s="714" t="s">
        <v>17</v>
      </c>
      <c r="S29" s="715">
        <f t="shared" si="12"/>
        <v>100</v>
      </c>
      <c r="T29" s="714" t="s">
        <v>17</v>
      </c>
      <c r="U29" s="715">
        <f t="shared" si="13"/>
        <v>100</v>
      </c>
      <c r="V29" s="714" t="s">
        <v>17</v>
      </c>
      <c r="W29" s="715">
        <f t="shared" si="14"/>
        <v>100</v>
      </c>
      <c r="X29" s="1490"/>
      <c r="Y29" s="3482"/>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82"/>
      <c r="Q30" s="1487" t="str">
        <f t="shared" si="11"/>
        <v>建筑面积</v>
      </c>
      <c r="R30" s="714" t="s">
        <v>17</v>
      </c>
      <c r="S30" s="715" t="e">
        <f t="shared" si="12"/>
        <v>#N/A</v>
      </c>
      <c r="T30" s="714" t="s">
        <v>17</v>
      </c>
      <c r="U30" s="715" t="e">
        <f t="shared" si="13"/>
        <v>#N/A</v>
      </c>
      <c r="V30" s="714" t="s">
        <v>17</v>
      </c>
      <c r="W30" s="715" t="e">
        <f t="shared" si="14"/>
        <v>#N/A</v>
      </c>
      <c r="X30" s="1490"/>
      <c r="Y30" s="3482"/>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82"/>
      <c r="Q31" s="1478" t="str">
        <f t="shared" si="11"/>
        <v>是否封闭</v>
      </c>
      <c r="R31" s="710" t="s">
        <v>17</v>
      </c>
      <c r="S31" s="711">
        <f t="shared" si="12"/>
        <v>100</v>
      </c>
      <c r="T31" s="710" t="s">
        <v>17</v>
      </c>
      <c r="U31" s="711">
        <f t="shared" si="13"/>
        <v>100</v>
      </c>
      <c r="V31" s="710" t="s">
        <v>17</v>
      </c>
      <c r="W31" s="711">
        <f t="shared" si="14"/>
        <v>100</v>
      </c>
      <c r="X31" s="712"/>
      <c r="Y31" s="3482"/>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82" t="s">
        <v>2145</v>
      </c>
      <c r="Q32" s="1487">
        <f t="shared" si="11"/>
        <v>111</v>
      </c>
      <c r="R32" s="714" t="s">
        <v>17</v>
      </c>
      <c r="S32" s="715">
        <f t="shared" si="12"/>
        <v>100</v>
      </c>
      <c r="T32" s="714" t="s">
        <v>17</v>
      </c>
      <c r="U32" s="715">
        <f t="shared" si="13"/>
        <v>100</v>
      </c>
      <c r="V32" s="714" t="s">
        <v>17</v>
      </c>
      <c r="W32" s="715">
        <f t="shared" si="14"/>
        <v>100</v>
      </c>
      <c r="X32" s="1490"/>
      <c r="Y32" s="3482" t="s">
        <v>2145</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82"/>
      <c r="Q33" s="1487">
        <f t="shared" si="11"/>
        <v>111</v>
      </c>
      <c r="R33" s="714" t="s">
        <v>17</v>
      </c>
      <c r="S33" s="715">
        <f t="shared" si="12"/>
        <v>100</v>
      </c>
      <c r="T33" s="714" t="s">
        <v>17</v>
      </c>
      <c r="U33" s="715">
        <f t="shared" si="13"/>
        <v>100</v>
      </c>
      <c r="V33" s="714" t="s">
        <v>17</v>
      </c>
      <c r="W33" s="715">
        <f t="shared" si="14"/>
        <v>100</v>
      </c>
      <c r="X33" s="1490"/>
      <c r="Y33" s="3482"/>
      <c r="Z33" s="1491">
        <f t="shared" si="15"/>
        <v>111</v>
      </c>
      <c r="AA33" s="1488">
        <f t="shared" si="3"/>
        <v>1</v>
      </c>
      <c r="AB33" s="1488">
        <f t="shared" si="4"/>
        <v>1</v>
      </c>
      <c r="AC33" s="1488">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482"/>
      <c r="Q34" s="1487">
        <f t="shared" si="11"/>
        <v>111</v>
      </c>
      <c r="R34" s="714" t="s">
        <v>17</v>
      </c>
      <c r="S34" s="715">
        <f t="shared" si="12"/>
        <v>100</v>
      </c>
      <c r="T34" s="714" t="s">
        <v>17</v>
      </c>
      <c r="U34" s="715">
        <f t="shared" si="13"/>
        <v>100</v>
      </c>
      <c r="V34" s="714" t="s">
        <v>17</v>
      </c>
      <c r="W34" s="715">
        <f t="shared" si="14"/>
        <v>100</v>
      </c>
      <c r="X34" s="1490"/>
      <c r="Y34" s="3482"/>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2"/>
      <c r="M35" s="2903"/>
      <c r="N35" s="2894"/>
      <c r="O35" s="2903"/>
      <c r="P35" s="3475" t="str">
        <f>A35</f>
        <v>成交单价（元/平方米）</v>
      </c>
      <c r="Q35" s="3475"/>
      <c r="R35" s="3476">
        <f>E35</f>
        <v>0</v>
      </c>
      <c r="S35" s="3476"/>
      <c r="T35" s="3476">
        <f>G35</f>
        <v>0</v>
      </c>
      <c r="U35" s="3476"/>
      <c r="V35" s="3476">
        <f>I35</f>
        <v>0</v>
      </c>
      <c r="W35" s="3476"/>
      <c r="X35" s="699"/>
      <c r="Y35" s="721"/>
      <c r="Z35" s="699"/>
      <c r="AA35" s="699"/>
      <c r="AB35" s="699"/>
      <c r="AC35" s="699"/>
    </row>
    <row r="36" spans="1:30" ht="15.75" thickBot="1">
      <c r="A36" s="445" t="s">
        <v>2249</v>
      </c>
      <c r="B36" s="446"/>
      <c r="C36" s="1275" t="e">
        <f>R37</f>
        <v>#DIV/0!</v>
      </c>
      <c r="D36" s="2488" t="s">
        <v>2638</v>
      </c>
      <c r="E36" s="1276" t="e">
        <f>R36</f>
        <v>#DIV/0!</v>
      </c>
      <c r="F36" s="2489"/>
      <c r="G36" s="1275" t="e">
        <f>T36</f>
        <v>#DIV/0!</v>
      </c>
      <c r="H36" s="2489"/>
      <c r="I36" s="1276" t="e">
        <f>V36</f>
        <v>#DIV/0!</v>
      </c>
      <c r="J36" s="2489"/>
      <c r="K36" s="2491">
        <f>F36+H36+J36</f>
        <v>0</v>
      </c>
      <c r="L36" s="2902"/>
      <c r="M36" s="2903"/>
      <c r="N36" s="2894"/>
      <c r="O36" s="2903"/>
      <c r="P36" s="3475" t="str">
        <f>A36</f>
        <v>比较价值（元/平方米）</v>
      </c>
      <c r="Q36" s="3475"/>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472" t="str">
        <f>A37</f>
        <v>估价对象XX用房的比较价值（楼面单价，元/平方米）</v>
      </c>
      <c r="Q37" s="3473"/>
      <c r="R37" s="3534" t="e">
        <f>IF(F1="售价",ROUND(IF(D36="简单平均",AVERAGE(R36:W36),R36*F36+T36*H36+V36*J36),0),ROUND(IF(D36="简单平均",AVERAGE(R36:V36),R36*F36+T36*H36+V36*J36),1))</f>
        <v>#DIV/0!</v>
      </c>
      <c r="S37" s="3534"/>
      <c r="T37" s="3534"/>
      <c r="U37" s="3534"/>
      <c r="V37" s="3534"/>
      <c r="W37" s="3534"/>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9" t="str">
        <f>YEAR(C7)&amp;"-"&amp;MONTH(C7)</f>
        <v>2022-7</v>
      </c>
      <c r="D46" s="1300">
        <f>EDATE(C46,-1)</f>
        <v>44713</v>
      </c>
      <c r="E46" s="1300">
        <f t="shared" ref="E46:O46" si="16">EDATE(D46,-1)</f>
        <v>44682</v>
      </c>
      <c r="F46" s="1300">
        <f t="shared" si="16"/>
        <v>44652</v>
      </c>
      <c r="G46" s="1300">
        <f t="shared" si="16"/>
        <v>44621</v>
      </c>
      <c r="H46" s="1300">
        <f t="shared" si="16"/>
        <v>44593</v>
      </c>
      <c r="I46" s="1300">
        <f t="shared" si="16"/>
        <v>44562</v>
      </c>
      <c r="J46" s="1300">
        <f t="shared" si="16"/>
        <v>44531</v>
      </c>
      <c r="K46" s="1300">
        <f t="shared" si="16"/>
        <v>44501</v>
      </c>
      <c r="L46" s="1300">
        <f t="shared" si="16"/>
        <v>44470</v>
      </c>
      <c r="M46" s="1300">
        <f t="shared" si="16"/>
        <v>44440</v>
      </c>
      <c r="N46" s="1300">
        <f t="shared" si="16"/>
        <v>44409</v>
      </c>
      <c r="O46" s="1300">
        <f t="shared" si="16"/>
        <v>44378</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3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490" t="s">
        <v>2226</v>
      </c>
      <c r="D4" s="3491"/>
      <c r="E4" s="3492" t="s">
        <v>2227</v>
      </c>
      <c r="F4" s="3493"/>
      <c r="G4" s="3490" t="s">
        <v>2228</v>
      </c>
      <c r="H4" s="3491"/>
      <c r="I4" s="3490" t="s">
        <v>2229</v>
      </c>
      <c r="J4" s="3491"/>
      <c r="K4" s="567" t="s">
        <v>2230</v>
      </c>
      <c r="L4" s="2893"/>
      <c r="M4" s="2894"/>
      <c r="N4" s="2894"/>
      <c r="O4" s="2894"/>
      <c r="P4" s="3494" t="s">
        <v>2231</v>
      </c>
      <c r="Q4" s="3495"/>
      <c r="R4" s="3500" t="s">
        <v>2227</v>
      </c>
      <c r="S4" s="3501"/>
      <c r="T4" s="3500" t="s">
        <v>2228</v>
      </c>
      <c r="U4" s="3501"/>
      <c r="V4" s="3506" t="s">
        <v>2229</v>
      </c>
      <c r="W4" s="3506"/>
      <c r="X4" s="1490"/>
      <c r="Y4" s="3500" t="s">
        <v>2231</v>
      </c>
      <c r="Z4" s="3501"/>
      <c r="AA4" s="3487" t="s">
        <v>2227</v>
      </c>
      <c r="AB4" s="3488" t="s">
        <v>2228</v>
      </c>
      <c r="AC4" s="3487" t="s">
        <v>2229</v>
      </c>
    </row>
    <row r="5" spans="1:30" ht="15">
      <c r="A5" s="364"/>
      <c r="B5" s="365"/>
      <c r="C5" s="3509" t="s">
        <v>2122</v>
      </c>
      <c r="D5" s="3510"/>
      <c r="E5" s="3516" t="s">
        <v>2123</v>
      </c>
      <c r="F5" s="3517"/>
      <c r="G5" s="3509" t="s">
        <v>2124</v>
      </c>
      <c r="H5" s="3510"/>
      <c r="I5" s="3509" t="s">
        <v>2125</v>
      </c>
      <c r="J5" s="3510"/>
      <c r="K5" s="567"/>
      <c r="L5" s="2893"/>
      <c r="M5" s="2894"/>
      <c r="N5" s="2894"/>
      <c r="O5" s="2894"/>
      <c r="P5" s="3496"/>
      <c r="Q5" s="3497"/>
      <c r="R5" s="3502"/>
      <c r="S5" s="3503"/>
      <c r="T5" s="3502"/>
      <c r="U5" s="3503"/>
      <c r="V5" s="3506"/>
      <c r="W5" s="3506"/>
      <c r="X5" s="1490"/>
      <c r="Y5" s="3502"/>
      <c r="Z5" s="3503"/>
      <c r="AA5" s="3488"/>
      <c r="AB5" s="3488"/>
      <c r="AC5" s="3488"/>
    </row>
    <row r="6" spans="1:30" ht="15.75" thickBot="1">
      <c r="A6" s="366"/>
      <c r="B6" s="367"/>
      <c r="C6" s="3507" t="s">
        <v>2126</v>
      </c>
      <c r="D6" s="3508"/>
      <c r="E6" s="3514" t="s">
        <v>2126</v>
      </c>
      <c r="F6" s="3515"/>
      <c r="G6" s="3507" t="s">
        <v>2126</v>
      </c>
      <c r="H6" s="3508"/>
      <c r="I6" s="3507" t="s">
        <v>2126</v>
      </c>
      <c r="J6" s="3508"/>
      <c r="K6" s="567" t="s">
        <v>2127</v>
      </c>
      <c r="L6" s="2893"/>
      <c r="M6" s="2894"/>
      <c r="N6" s="2894"/>
      <c r="O6" s="2894"/>
      <c r="P6" s="3498"/>
      <c r="Q6" s="3499"/>
      <c r="R6" s="3502"/>
      <c r="S6" s="3503"/>
      <c r="T6" s="3504"/>
      <c r="U6" s="3505"/>
      <c r="V6" s="3506"/>
      <c r="W6" s="3506"/>
      <c r="X6" s="1490"/>
      <c r="Y6" s="3504"/>
      <c r="Z6" s="3505"/>
      <c r="AA6" s="3489"/>
      <c r="AB6" s="3489"/>
      <c r="AC6" s="3489"/>
    </row>
    <row r="7" spans="1:30" s="113" customFormat="1" ht="15.75" thickBot="1">
      <c r="A7" s="368" t="s">
        <v>2128</v>
      </c>
      <c r="B7" s="369"/>
      <c r="C7" s="370">
        <f>'数据-取费表'!B2</f>
        <v>44769</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511" t="s">
        <v>2129</v>
      </c>
      <c r="Q7" s="3513"/>
      <c r="R7" s="710" t="s">
        <v>17</v>
      </c>
      <c r="S7" s="711">
        <f t="shared" ref="S7:S15" si="0">F7</f>
        <v>0</v>
      </c>
      <c r="T7" s="710" t="s">
        <v>17</v>
      </c>
      <c r="U7" s="711">
        <f t="shared" ref="U7:U15" si="1">H7</f>
        <v>0</v>
      </c>
      <c r="V7" s="710" t="s">
        <v>17</v>
      </c>
      <c r="W7" s="711">
        <f t="shared" ref="W7:W15" si="2">J7</f>
        <v>0</v>
      </c>
      <c r="X7" s="712"/>
      <c r="Y7" s="3511" t="s">
        <v>2129</v>
      </c>
      <c r="Z7" s="3512"/>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511" t="s">
        <v>2132</v>
      </c>
      <c r="Q8" s="3512"/>
      <c r="R8" s="710" t="s">
        <v>17</v>
      </c>
      <c r="S8" s="711">
        <f t="shared" si="0"/>
        <v>0</v>
      </c>
      <c r="T8" s="710" t="s">
        <v>17</v>
      </c>
      <c r="U8" s="711">
        <f t="shared" si="1"/>
        <v>0</v>
      </c>
      <c r="V8" s="710" t="s">
        <v>17</v>
      </c>
      <c r="W8" s="711">
        <f t="shared" si="2"/>
        <v>0</v>
      </c>
      <c r="X8" s="712"/>
      <c r="Y8" s="3511" t="s">
        <v>2132</v>
      </c>
      <c r="Z8" s="3512"/>
      <c r="AA8" s="713" t="e">
        <f t="shared" ref="AA8:AA45" si="3">D8/F8</f>
        <v>#DIV/0!</v>
      </c>
      <c r="AB8" s="713" t="e">
        <f t="shared" ref="AB8:AB45" si="4">D8/H8</f>
        <v>#DIV/0!</v>
      </c>
      <c r="AC8" s="713"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475" t="s">
        <v>2135</v>
      </c>
      <c r="Q9" s="1478" t="str">
        <f t="shared" ref="Q9:Q15" si="6">B9</f>
        <v>用途</v>
      </c>
      <c r="R9" s="710" t="s">
        <v>17</v>
      </c>
      <c r="S9" s="711">
        <f t="shared" si="0"/>
        <v>100</v>
      </c>
      <c r="T9" s="710" t="s">
        <v>17</v>
      </c>
      <c r="U9" s="711">
        <f t="shared" si="1"/>
        <v>100</v>
      </c>
      <c r="V9" s="710" t="s">
        <v>17</v>
      </c>
      <c r="W9" s="711">
        <f t="shared" si="2"/>
        <v>100</v>
      </c>
      <c r="X9" s="712"/>
      <c r="Y9" s="3347"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105</v>
      </c>
      <c r="G10" s="422"/>
      <c r="H10" s="132">
        <f>ROUND(100/'数据-取费表'!G16,0)</f>
        <v>105</v>
      </c>
      <c r="I10" s="422"/>
      <c r="J10" s="132">
        <f>ROUND(100/'数据-取费表'!G16,0)</f>
        <v>105</v>
      </c>
      <c r="K10" s="628"/>
      <c r="L10" s="2897"/>
      <c r="M10" s="2898"/>
      <c r="N10" s="2898"/>
      <c r="O10" s="2951"/>
      <c r="P10" s="3475"/>
      <c r="Q10" s="1478" t="str">
        <f t="shared" si="6"/>
        <v>土地使用年限（年）</v>
      </c>
      <c r="R10" s="710" t="s">
        <v>17</v>
      </c>
      <c r="S10" s="711">
        <f t="shared" si="0"/>
        <v>105</v>
      </c>
      <c r="T10" s="710" t="s">
        <v>17</v>
      </c>
      <c r="U10" s="711">
        <f t="shared" si="1"/>
        <v>105</v>
      </c>
      <c r="V10" s="710" t="s">
        <v>17</v>
      </c>
      <c r="W10" s="711">
        <f t="shared" si="2"/>
        <v>105</v>
      </c>
      <c r="X10" s="712"/>
      <c r="Y10" s="3347"/>
      <c r="Z10" s="55" t="str">
        <f t="shared" si="7"/>
        <v>土地使用年限（年）</v>
      </c>
      <c r="AA10" s="713">
        <f t="shared" si="3"/>
        <v>0.95238095238095233</v>
      </c>
      <c r="AB10" s="713">
        <f t="shared" si="4"/>
        <v>0.95238095238095233</v>
      </c>
      <c r="AC10" s="713">
        <f t="shared" si="5"/>
        <v>0.95238095238095233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75"/>
      <c r="Q11" s="1478" t="str">
        <f t="shared" si="6"/>
        <v>容积率</v>
      </c>
      <c r="R11" s="710" t="s">
        <v>17</v>
      </c>
      <c r="S11" s="711" t="e">
        <f t="shared" si="0"/>
        <v>#N/A</v>
      </c>
      <c r="T11" s="710" t="s">
        <v>17</v>
      </c>
      <c r="U11" s="711" t="e">
        <f t="shared" si="1"/>
        <v>#N/A</v>
      </c>
      <c r="V11" s="710" t="s">
        <v>17</v>
      </c>
      <c r="W11" s="711" t="e">
        <f t="shared" si="2"/>
        <v>#N/A</v>
      </c>
      <c r="X11" s="712"/>
      <c r="Y11" s="3347"/>
      <c r="Z11" s="55" t="str">
        <f t="shared" si="7"/>
        <v>容积率</v>
      </c>
      <c r="AA11" s="713" t="e">
        <f t="shared" si="3"/>
        <v>#N/A</v>
      </c>
      <c r="AB11" s="713" t="e">
        <f t="shared" si="4"/>
        <v>#N/A</v>
      </c>
      <c r="AC11" s="713" t="e">
        <f t="shared" si="5"/>
        <v>#N/A</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75"/>
      <c r="Q12" s="1478" t="str">
        <f t="shared" si="6"/>
        <v>配建</v>
      </c>
      <c r="R12" s="710" t="s">
        <v>17</v>
      </c>
      <c r="S12" s="711">
        <f t="shared" si="0"/>
        <v>100</v>
      </c>
      <c r="T12" s="710" t="s">
        <v>17</v>
      </c>
      <c r="U12" s="711">
        <f t="shared" si="1"/>
        <v>100</v>
      </c>
      <c r="V12" s="710" t="s">
        <v>17</v>
      </c>
      <c r="W12" s="711">
        <f t="shared" si="2"/>
        <v>100</v>
      </c>
      <c r="X12" s="712"/>
      <c r="Y12" s="3347"/>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75"/>
      <c r="Q13" s="1478">
        <f t="shared" si="6"/>
        <v>111</v>
      </c>
      <c r="R13" s="710" t="s">
        <v>17</v>
      </c>
      <c r="S13" s="711">
        <f t="shared" si="0"/>
        <v>100</v>
      </c>
      <c r="T13" s="710" t="s">
        <v>17</v>
      </c>
      <c r="U13" s="711">
        <f t="shared" si="1"/>
        <v>100</v>
      </c>
      <c r="V13" s="710" t="s">
        <v>17</v>
      </c>
      <c r="W13" s="711">
        <f t="shared" si="2"/>
        <v>100</v>
      </c>
      <c r="X13" s="712"/>
      <c r="Y13" s="3347"/>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75"/>
      <c r="Q14" s="1478">
        <f t="shared" si="6"/>
        <v>111</v>
      </c>
      <c r="R14" s="710" t="s">
        <v>17</v>
      </c>
      <c r="S14" s="711">
        <f t="shared" si="0"/>
        <v>100</v>
      </c>
      <c r="T14" s="710" t="s">
        <v>17</v>
      </c>
      <c r="U14" s="711">
        <f t="shared" si="1"/>
        <v>100</v>
      </c>
      <c r="V14" s="710" t="s">
        <v>17</v>
      </c>
      <c r="W14" s="711">
        <f t="shared" si="2"/>
        <v>100</v>
      </c>
      <c r="X14" s="712"/>
      <c r="Y14" s="3347"/>
      <c r="Z14" s="55">
        <f t="shared" si="7"/>
        <v>111</v>
      </c>
      <c r="AA14" s="713">
        <f>D14/F14</f>
        <v>1</v>
      </c>
      <c r="AB14" s="713">
        <f>D14/H14</f>
        <v>1</v>
      </c>
      <c r="AC14" s="713">
        <f>D14/J14</f>
        <v>1</v>
      </c>
    </row>
    <row r="15" spans="1:30" ht="99.7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77" t="s">
        <v>2140</v>
      </c>
      <c r="Q15" s="1487" t="str">
        <f t="shared" si="6"/>
        <v>居住社区成熟度</v>
      </c>
      <c r="R15" s="714" t="s">
        <v>17</v>
      </c>
      <c r="S15" s="715">
        <f t="shared" si="0"/>
        <v>100</v>
      </c>
      <c r="T15" s="714" t="s">
        <v>17</v>
      </c>
      <c r="U15" s="715">
        <f t="shared" si="1"/>
        <v>100</v>
      </c>
      <c r="V15" s="714" t="s">
        <v>17</v>
      </c>
      <c r="W15" s="715">
        <f t="shared" si="2"/>
        <v>100</v>
      </c>
      <c r="X15" s="1490"/>
      <c r="Y15" s="3477" t="s">
        <v>2140</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900"/>
      <c r="M16" s="2894"/>
      <c r="N16" s="2894"/>
      <c r="O16" s="2952"/>
      <c r="P16" s="3478"/>
      <c r="Q16" s="1487"/>
      <c r="R16" s="714"/>
      <c r="S16" s="715"/>
      <c r="T16" s="714"/>
      <c r="U16" s="715"/>
      <c r="V16" s="714"/>
      <c r="W16" s="715"/>
      <c r="X16" s="1490"/>
      <c r="Y16" s="3478"/>
      <c r="Z16" s="1491"/>
      <c r="AA16" s="1488">
        <v>1</v>
      </c>
      <c r="AB16" s="1488">
        <v>1</v>
      </c>
      <c r="AC16" s="1488">
        <v>1</v>
      </c>
    </row>
    <row r="17" spans="1:29" ht="71.25">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78"/>
      <c r="Q17" s="1487" t="str">
        <f>B17</f>
        <v>商业繁华度</v>
      </c>
      <c r="R17" s="714" t="s">
        <v>17</v>
      </c>
      <c r="S17" s="715">
        <f>F17</f>
        <v>100</v>
      </c>
      <c r="T17" s="714" t="s">
        <v>17</v>
      </c>
      <c r="U17" s="715">
        <f>H17</f>
        <v>100</v>
      </c>
      <c r="V17" s="714" t="s">
        <v>17</v>
      </c>
      <c r="W17" s="715">
        <f>J17</f>
        <v>100</v>
      </c>
      <c r="X17" s="1490"/>
      <c r="Y17" s="3478"/>
      <c r="Z17" s="1491" t="str">
        <f>Q17</f>
        <v>商业繁华度</v>
      </c>
      <c r="AA17" s="1488">
        <f t="shared" si="3"/>
        <v>1</v>
      </c>
      <c r="AB17" s="1488">
        <f t="shared" si="4"/>
        <v>1</v>
      </c>
      <c r="AC17" s="1488">
        <f t="shared" si="5"/>
        <v>1</v>
      </c>
    </row>
    <row r="18" spans="1:29" ht="15">
      <c r="A18" s="387"/>
      <c r="B18" s="415"/>
      <c r="C18" s="2037"/>
      <c r="D18" s="409"/>
      <c r="E18" s="2039"/>
      <c r="F18" s="409"/>
      <c r="G18" s="2039"/>
      <c r="H18" s="407"/>
      <c r="I18" s="2038"/>
      <c r="J18" s="407"/>
      <c r="K18" s="628"/>
      <c r="L18" s="2900"/>
      <c r="M18" s="2894"/>
      <c r="N18" s="2894"/>
      <c r="O18" s="2952"/>
      <c r="P18" s="3478"/>
      <c r="Q18" s="1487"/>
      <c r="R18" s="714"/>
      <c r="S18" s="715"/>
      <c r="T18" s="714"/>
      <c r="U18" s="715"/>
      <c r="V18" s="714"/>
      <c r="W18" s="715"/>
      <c r="X18" s="1490"/>
      <c r="Y18" s="3478"/>
      <c r="Z18" s="1491"/>
      <c r="AA18" s="1488">
        <v>1</v>
      </c>
      <c r="AB18" s="1488">
        <v>1</v>
      </c>
      <c r="AC18" s="1488">
        <v>1</v>
      </c>
    </row>
    <row r="19" spans="1:29" ht="71.2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78"/>
      <c r="Q19" s="1487" t="str">
        <f>B19</f>
        <v>办公集聚程度</v>
      </c>
      <c r="R19" s="714" t="s">
        <v>17</v>
      </c>
      <c r="S19" s="715">
        <f>F19</f>
        <v>100</v>
      </c>
      <c r="T19" s="714" t="s">
        <v>17</v>
      </c>
      <c r="U19" s="715">
        <f>H19</f>
        <v>100</v>
      </c>
      <c r="V19" s="714" t="s">
        <v>17</v>
      </c>
      <c r="W19" s="715">
        <f>J19</f>
        <v>100</v>
      </c>
      <c r="X19" s="1490"/>
      <c r="Y19" s="3478"/>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900"/>
      <c r="M20" s="2894"/>
      <c r="N20" s="2894"/>
      <c r="O20" s="2952"/>
      <c r="P20" s="3478"/>
      <c r="Q20" s="1487"/>
      <c r="R20" s="714"/>
      <c r="S20" s="715"/>
      <c r="T20" s="714"/>
      <c r="U20" s="715"/>
      <c r="V20" s="714"/>
      <c r="W20" s="715"/>
      <c r="X20" s="1490"/>
      <c r="Y20" s="3478"/>
      <c r="Z20" s="1491"/>
      <c r="AA20" s="1488">
        <v>1</v>
      </c>
      <c r="AB20" s="1488">
        <v>1</v>
      </c>
      <c r="AC20" s="1488">
        <v>1</v>
      </c>
    </row>
    <row r="21" spans="1:29" ht="85.5">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78"/>
      <c r="Q21" s="1487" t="str">
        <f>B21</f>
        <v>交通便捷度</v>
      </c>
      <c r="R21" s="714" t="s">
        <v>17</v>
      </c>
      <c r="S21" s="715">
        <f>F21</f>
        <v>100</v>
      </c>
      <c r="T21" s="714" t="s">
        <v>17</v>
      </c>
      <c r="U21" s="715">
        <f>H21</f>
        <v>100</v>
      </c>
      <c r="V21" s="714" t="s">
        <v>17</v>
      </c>
      <c r="W21" s="715">
        <f>J21</f>
        <v>100</v>
      </c>
      <c r="X21" s="1490"/>
      <c r="Y21" s="3478"/>
      <c r="Z21" s="1491" t="str">
        <f>Q21</f>
        <v>交通便捷度</v>
      </c>
      <c r="AA21" s="1488">
        <f t="shared" si="3"/>
        <v>1</v>
      </c>
      <c r="AB21" s="1488">
        <f t="shared" si="4"/>
        <v>1</v>
      </c>
      <c r="AC21" s="1488">
        <f t="shared" si="5"/>
        <v>1</v>
      </c>
    </row>
    <row r="22" spans="1:29" ht="15">
      <c r="A22" s="387"/>
      <c r="B22" s="1246"/>
      <c r="C22" s="406"/>
      <c r="D22" s="409"/>
      <c r="E22" s="2034"/>
      <c r="F22" s="407"/>
      <c r="G22" s="2034"/>
      <c r="H22" s="407"/>
      <c r="I22" s="2033"/>
      <c r="J22" s="407"/>
      <c r="K22" s="628"/>
      <c r="L22" s="2900"/>
      <c r="M22" s="2894"/>
      <c r="N22" s="2894"/>
      <c r="O22" s="2952"/>
      <c r="P22" s="3478"/>
      <c r="Q22" s="1487"/>
      <c r="R22" s="714"/>
      <c r="S22" s="715"/>
      <c r="T22" s="714"/>
      <c r="U22" s="715"/>
      <c r="V22" s="714"/>
      <c r="W22" s="715"/>
      <c r="X22" s="1490"/>
      <c r="Y22" s="3478"/>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78"/>
      <c r="Q23" s="1487" t="str">
        <f t="shared" ref="Q23:Q37" si="8">B23</f>
        <v>区域土地利用方向</v>
      </c>
      <c r="R23" s="714" t="s">
        <v>17</v>
      </c>
      <c r="S23" s="715">
        <f>F23</f>
        <v>100</v>
      </c>
      <c r="T23" s="714" t="s">
        <v>17</v>
      </c>
      <c r="U23" s="715">
        <f>H23</f>
        <v>100</v>
      </c>
      <c r="V23" s="714" t="s">
        <v>17</v>
      </c>
      <c r="W23" s="715">
        <f>J23</f>
        <v>100</v>
      </c>
      <c r="X23" s="1490"/>
      <c r="Y23" s="3478"/>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900"/>
      <c r="M24" s="2894"/>
      <c r="N24" s="2894"/>
      <c r="O24" s="2952"/>
      <c r="P24" s="3478"/>
      <c r="Q24" s="1487"/>
      <c r="R24" s="714"/>
      <c r="S24" s="715"/>
      <c r="T24" s="714"/>
      <c r="U24" s="715"/>
      <c r="V24" s="714"/>
      <c r="W24" s="715"/>
      <c r="X24" s="1490"/>
      <c r="Y24" s="3478"/>
      <c r="Z24" s="1491"/>
      <c r="AA24" s="1488"/>
      <c r="AB24" s="1488"/>
      <c r="AC24" s="1488"/>
    </row>
    <row r="25" spans="1:29" ht="57">
      <c r="A25" s="364"/>
      <c r="B25" s="1246" t="s">
        <v>2329</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78"/>
      <c r="Q25" s="1487" t="str">
        <f t="shared" si="8"/>
        <v>自然及人文环境状况</v>
      </c>
      <c r="R25" s="714" t="s">
        <v>17</v>
      </c>
      <c r="S25" s="715">
        <f>F25</f>
        <v>100</v>
      </c>
      <c r="T25" s="714" t="s">
        <v>17</v>
      </c>
      <c r="U25" s="715">
        <f>H25</f>
        <v>100</v>
      </c>
      <c r="V25" s="714" t="s">
        <v>17</v>
      </c>
      <c r="W25" s="715">
        <f>J25</f>
        <v>100</v>
      </c>
      <c r="X25" s="1490"/>
      <c r="Y25" s="3478"/>
      <c r="Z25" s="1491" t="str">
        <f>Q25</f>
        <v>自然及人文环境状况</v>
      </c>
      <c r="AA25" s="1488">
        <f t="shared" si="3"/>
        <v>1</v>
      </c>
      <c r="AB25" s="1488">
        <f t="shared" si="4"/>
        <v>1</v>
      </c>
      <c r="AC25" s="1488">
        <f t="shared" si="5"/>
        <v>1</v>
      </c>
    </row>
    <row r="26" spans="1:29" ht="15">
      <c r="A26" s="364"/>
      <c r="B26" s="415"/>
      <c r="C26" s="406"/>
      <c r="D26" s="407"/>
      <c r="E26" s="2040"/>
      <c r="F26" s="407"/>
      <c r="G26" s="2040"/>
      <c r="H26" s="407"/>
      <c r="I26" s="406"/>
      <c r="J26" s="407"/>
      <c r="K26" s="628"/>
      <c r="L26" s="2900"/>
      <c r="M26" s="2894"/>
      <c r="N26" s="2894"/>
      <c r="O26" s="2952"/>
      <c r="P26" s="3478"/>
      <c r="Q26" s="1487"/>
      <c r="R26" s="714"/>
      <c r="S26" s="715"/>
      <c r="T26" s="714"/>
      <c r="U26" s="715"/>
      <c r="V26" s="714"/>
      <c r="W26" s="715"/>
      <c r="X26" s="1490"/>
      <c r="Y26" s="3478"/>
      <c r="Z26" s="1491"/>
      <c r="AA26" s="1488">
        <v>1</v>
      </c>
      <c r="AB26" s="1488">
        <v>1</v>
      </c>
      <c r="AC26" s="1488">
        <v>1</v>
      </c>
    </row>
    <row r="27" spans="1:29" s="113" customFormat="1" ht="42.75">
      <c r="A27" s="605"/>
      <c r="B27" s="1246"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78"/>
      <c r="Q27" s="1478" t="str">
        <f t="shared" si="8"/>
        <v>公共配套设施</v>
      </c>
      <c r="R27" s="710" t="s">
        <v>17</v>
      </c>
      <c r="S27" s="711">
        <f>F27</f>
        <v>100</v>
      </c>
      <c r="T27" s="710" t="s">
        <v>17</v>
      </c>
      <c r="U27" s="711">
        <f>H27</f>
        <v>100</v>
      </c>
      <c r="V27" s="710" t="s">
        <v>17</v>
      </c>
      <c r="W27" s="711">
        <f>J27</f>
        <v>100</v>
      </c>
      <c r="X27" s="712"/>
      <c r="Y27" s="3478"/>
      <c r="Z27" s="55" t="str">
        <f>Q27</f>
        <v>公共配套设施</v>
      </c>
      <c r="AA27" s="1488">
        <f>D27/F27</f>
        <v>1</v>
      </c>
      <c r="AB27" s="1488">
        <f>D27/H27</f>
        <v>1</v>
      </c>
      <c r="AC27" s="1488">
        <f>D27/J27</f>
        <v>1</v>
      </c>
    </row>
    <row r="28" spans="1:29" s="113" customFormat="1" ht="15">
      <c r="A28" s="605"/>
      <c r="B28" s="415"/>
      <c r="C28" s="2114"/>
      <c r="D28" s="407"/>
      <c r="E28" s="2040"/>
      <c r="F28" s="407"/>
      <c r="G28" s="2040"/>
      <c r="H28" s="407"/>
      <c r="I28" s="406"/>
      <c r="J28" s="407"/>
      <c r="K28" s="628"/>
      <c r="L28" s="2895"/>
      <c r="M28" s="2896"/>
      <c r="N28" s="2896"/>
      <c r="O28" s="2950"/>
      <c r="P28" s="3478"/>
      <c r="Q28" s="1478"/>
      <c r="R28" s="710"/>
      <c r="S28" s="711"/>
      <c r="T28" s="710"/>
      <c r="U28" s="711"/>
      <c r="V28" s="710"/>
      <c r="W28" s="711"/>
      <c r="X28" s="712"/>
      <c r="Y28" s="3478"/>
      <c r="Z28" s="55"/>
      <c r="AA28" s="1488">
        <v>1</v>
      </c>
      <c r="AB28" s="1488">
        <v>1</v>
      </c>
      <c r="AC28" s="1488">
        <v>1</v>
      </c>
    </row>
    <row r="29" spans="1:29" s="113" customFormat="1" ht="28.5">
      <c r="A29" s="605"/>
      <c r="B29" s="1246"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78"/>
      <c r="Q29" s="1478" t="str">
        <f t="shared" ref="Q29" si="9">B29</f>
        <v>基础设施水平</v>
      </c>
      <c r="R29" s="710" t="s">
        <v>17</v>
      </c>
      <c r="S29" s="711">
        <f>F29</f>
        <v>100</v>
      </c>
      <c r="T29" s="710" t="s">
        <v>17</v>
      </c>
      <c r="U29" s="711">
        <f>H29</f>
        <v>100</v>
      </c>
      <c r="V29" s="710" t="s">
        <v>17</v>
      </c>
      <c r="W29" s="711">
        <f>J29</f>
        <v>100</v>
      </c>
      <c r="X29" s="712"/>
      <c r="Y29" s="3478"/>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5"/>
      <c r="M30" s="2896"/>
      <c r="N30" s="2896"/>
      <c r="O30" s="2950"/>
      <c r="P30" s="3478"/>
      <c r="Q30" s="1478"/>
      <c r="R30" s="710"/>
      <c r="S30" s="711"/>
      <c r="T30" s="710"/>
      <c r="U30" s="711"/>
      <c r="V30" s="710"/>
      <c r="W30" s="711"/>
      <c r="X30" s="712"/>
      <c r="Y30" s="3478"/>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78"/>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78"/>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78"/>
      <c r="Q32" s="1487" t="str">
        <f t="shared" si="8"/>
        <v>毗邻道路的类型与等级</v>
      </c>
      <c r="R32" s="714" t="s">
        <v>17</v>
      </c>
      <c r="S32" s="715">
        <f t="shared" si="10"/>
        <v>100</v>
      </c>
      <c r="T32" s="714" t="s">
        <v>17</v>
      </c>
      <c r="U32" s="715">
        <f t="shared" si="11"/>
        <v>100</v>
      </c>
      <c r="V32" s="714" t="s">
        <v>17</v>
      </c>
      <c r="W32" s="715">
        <f t="shared" si="12"/>
        <v>100</v>
      </c>
      <c r="X32" s="1490"/>
      <c r="Y32" s="3478"/>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900"/>
      <c r="M33" s="2894"/>
      <c r="N33" s="2894"/>
      <c r="O33" s="2952"/>
      <c r="P33" s="3478"/>
      <c r="Q33" s="1487"/>
      <c r="R33" s="714"/>
      <c r="S33" s="715"/>
      <c r="T33" s="714"/>
      <c r="U33" s="715"/>
      <c r="V33" s="714"/>
      <c r="W33" s="715"/>
      <c r="X33" s="1490"/>
      <c r="Y33" s="3478"/>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78"/>
      <c r="Q34" s="1487" t="str">
        <f t="shared" si="8"/>
        <v>土地级别</v>
      </c>
      <c r="R34" s="714" t="s">
        <v>17</v>
      </c>
      <c r="S34" s="715">
        <f t="shared" si="10"/>
        <v>100</v>
      </c>
      <c r="T34" s="714" t="s">
        <v>17</v>
      </c>
      <c r="U34" s="715">
        <f t="shared" si="11"/>
        <v>100</v>
      </c>
      <c r="V34" s="714" t="s">
        <v>17</v>
      </c>
      <c r="W34" s="715">
        <f t="shared" si="12"/>
        <v>100</v>
      </c>
      <c r="X34" s="1490"/>
      <c r="Y34" s="3478"/>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78"/>
      <c r="Q35" s="1487">
        <f t="shared" si="8"/>
        <v>111</v>
      </c>
      <c r="R35" s="714" t="s">
        <v>17</v>
      </c>
      <c r="S35" s="715">
        <f t="shared" si="10"/>
        <v>100</v>
      </c>
      <c r="T35" s="714" t="s">
        <v>17</v>
      </c>
      <c r="U35" s="715">
        <f t="shared" si="11"/>
        <v>100</v>
      </c>
      <c r="V35" s="714" t="s">
        <v>17</v>
      </c>
      <c r="W35" s="715">
        <f t="shared" si="12"/>
        <v>100</v>
      </c>
      <c r="X35" s="1490"/>
      <c r="Y35" s="3478"/>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33" t="s">
        <v>2145</v>
      </c>
      <c r="Q36" s="1487">
        <f t="shared" si="8"/>
        <v>111</v>
      </c>
      <c r="R36" s="714" t="s">
        <v>17</v>
      </c>
      <c r="S36" s="715">
        <f t="shared" si="10"/>
        <v>100</v>
      </c>
      <c r="T36" s="714" t="s">
        <v>17</v>
      </c>
      <c r="U36" s="715">
        <f t="shared" si="11"/>
        <v>100</v>
      </c>
      <c r="V36" s="714" t="s">
        <v>17</v>
      </c>
      <c r="W36" s="715">
        <f t="shared" si="12"/>
        <v>100</v>
      </c>
      <c r="X36" s="1490"/>
      <c r="Y36" s="3482"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82"/>
      <c r="Q37" s="1487">
        <f t="shared" si="8"/>
        <v>111</v>
      </c>
      <c r="R37" s="717" t="s">
        <v>17</v>
      </c>
      <c r="S37" s="718">
        <f t="shared" si="10"/>
        <v>100</v>
      </c>
      <c r="T37" s="717" t="s">
        <v>17</v>
      </c>
      <c r="U37" s="718">
        <f t="shared" si="11"/>
        <v>100</v>
      </c>
      <c r="V37" s="717" t="s">
        <v>17</v>
      </c>
      <c r="W37" s="718">
        <f t="shared" si="12"/>
        <v>100</v>
      </c>
      <c r="X37" s="719"/>
      <c r="Y37" s="3482"/>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82"/>
      <c r="Q38" s="1487" t="str">
        <f>B38</f>
        <v>宗地面积</v>
      </c>
      <c r="R38" s="714" t="s">
        <v>17</v>
      </c>
      <c r="S38" s="715" t="e">
        <f t="shared" si="10"/>
        <v>#N/A</v>
      </c>
      <c r="T38" s="714" t="s">
        <v>17</v>
      </c>
      <c r="U38" s="715" t="e">
        <f t="shared" si="11"/>
        <v>#N/A</v>
      </c>
      <c r="V38" s="714" t="s">
        <v>17</v>
      </c>
      <c r="W38" s="715" t="e">
        <f t="shared" si="12"/>
        <v>#N/A</v>
      </c>
      <c r="X38" s="1490"/>
      <c r="Y38" s="3482"/>
      <c r="Z38" s="1491" t="str">
        <f t="shared" si="13"/>
        <v>宗地面积</v>
      </c>
      <c r="AA38" s="1488" t="e">
        <f t="shared" si="3"/>
        <v>#N/A</v>
      </c>
      <c r="AB38" s="1488" t="e">
        <f t="shared" si="4"/>
        <v>#N/A</v>
      </c>
      <c r="AC38" s="1488" t="e">
        <f t="shared" si="5"/>
        <v>#N/A</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482"/>
      <c r="Q39" s="1487" t="str">
        <f t="shared" ref="Q39:Q45" si="14">B39</f>
        <v>宗地形状</v>
      </c>
      <c r="R39" s="714" t="s">
        <v>17</v>
      </c>
      <c r="S39" s="715">
        <f t="shared" si="10"/>
        <v>100</v>
      </c>
      <c r="T39" s="714" t="s">
        <v>17</v>
      </c>
      <c r="U39" s="715">
        <f t="shared" si="11"/>
        <v>100</v>
      </c>
      <c r="V39" s="714" t="s">
        <v>17</v>
      </c>
      <c r="W39" s="715">
        <f t="shared" si="12"/>
        <v>100</v>
      </c>
      <c r="X39" s="1490"/>
      <c r="Y39" s="3482"/>
      <c r="Z39" s="1491" t="str">
        <f t="shared" si="13"/>
        <v>宗地形状</v>
      </c>
      <c r="AA39" s="1488">
        <f t="shared" si="3"/>
        <v>1</v>
      </c>
      <c r="AB39" s="1488">
        <f t="shared" si="4"/>
        <v>1</v>
      </c>
      <c r="AC39" s="1488">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482"/>
      <c r="Q40" s="1487" t="str">
        <f t="shared" si="14"/>
        <v>临街宽度及深度</v>
      </c>
      <c r="R40" s="714" t="s">
        <v>17</v>
      </c>
      <c r="S40" s="715">
        <f t="shared" si="10"/>
        <v>100</v>
      </c>
      <c r="T40" s="714" t="s">
        <v>17</v>
      </c>
      <c r="U40" s="715">
        <f t="shared" si="11"/>
        <v>100</v>
      </c>
      <c r="V40" s="714" t="s">
        <v>17</v>
      </c>
      <c r="W40" s="715">
        <f t="shared" si="12"/>
        <v>100</v>
      </c>
      <c r="X40" s="1490"/>
      <c r="Y40" s="3482"/>
      <c r="Z40" s="1491" t="str">
        <f t="shared" si="13"/>
        <v>临街宽度及深度</v>
      </c>
      <c r="AA40" s="1488">
        <f t="shared" si="3"/>
        <v>1</v>
      </c>
      <c r="AB40" s="1488">
        <f t="shared" si="4"/>
        <v>1</v>
      </c>
      <c r="AC40" s="1488">
        <f t="shared" si="5"/>
        <v>1</v>
      </c>
    </row>
    <row r="41" spans="1:29" s="113" customFormat="1" ht="15">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482"/>
      <c r="Q41" s="1487" t="str">
        <f t="shared" si="14"/>
        <v>宗地开发程度</v>
      </c>
      <c r="R41" s="710" t="s">
        <v>17</v>
      </c>
      <c r="S41" s="711">
        <f t="shared" si="10"/>
        <v>100</v>
      </c>
      <c r="T41" s="710" t="s">
        <v>17</v>
      </c>
      <c r="U41" s="711">
        <f t="shared" si="11"/>
        <v>100</v>
      </c>
      <c r="V41" s="710" t="s">
        <v>17</v>
      </c>
      <c r="W41" s="711">
        <f t="shared" si="12"/>
        <v>100</v>
      </c>
      <c r="X41" s="712"/>
      <c r="Y41" s="3482"/>
      <c r="Z41" s="55" t="str">
        <f t="shared" si="13"/>
        <v>宗地开发程度</v>
      </c>
      <c r="AA41" s="713">
        <f t="shared" si="3"/>
        <v>1</v>
      </c>
      <c r="AB41" s="713">
        <f t="shared" si="4"/>
        <v>1</v>
      </c>
      <c r="AC41" s="713">
        <f t="shared" si="5"/>
        <v>1</v>
      </c>
    </row>
    <row r="42" spans="1:29" ht="15">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482" t="s">
        <v>2145</v>
      </c>
      <c r="Q42" s="1487" t="str">
        <f t="shared" si="14"/>
        <v>工程地质条件</v>
      </c>
      <c r="R42" s="714" t="s">
        <v>17</v>
      </c>
      <c r="S42" s="715">
        <f t="shared" si="10"/>
        <v>100</v>
      </c>
      <c r="T42" s="714" t="s">
        <v>17</v>
      </c>
      <c r="U42" s="715">
        <f t="shared" si="11"/>
        <v>100</v>
      </c>
      <c r="V42" s="714" t="s">
        <v>17</v>
      </c>
      <c r="W42" s="715">
        <f t="shared" si="12"/>
        <v>100</v>
      </c>
      <c r="X42" s="1490"/>
      <c r="Y42" s="3482"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82"/>
      <c r="Q43" s="1487">
        <f t="shared" si="14"/>
        <v>111</v>
      </c>
      <c r="R43" s="714" t="s">
        <v>17</v>
      </c>
      <c r="S43" s="715">
        <f t="shared" si="10"/>
        <v>100</v>
      </c>
      <c r="T43" s="714" t="s">
        <v>17</v>
      </c>
      <c r="U43" s="715">
        <f t="shared" si="11"/>
        <v>100</v>
      </c>
      <c r="V43" s="714" t="s">
        <v>17</v>
      </c>
      <c r="W43" s="715">
        <f t="shared" si="12"/>
        <v>100</v>
      </c>
      <c r="X43" s="1490"/>
      <c r="Y43" s="3482"/>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82"/>
      <c r="Q44" s="1487">
        <f t="shared" si="14"/>
        <v>111</v>
      </c>
      <c r="R44" s="714" t="s">
        <v>17</v>
      </c>
      <c r="S44" s="715">
        <f t="shared" si="10"/>
        <v>100</v>
      </c>
      <c r="T44" s="714" t="s">
        <v>17</v>
      </c>
      <c r="U44" s="715">
        <f t="shared" si="11"/>
        <v>100</v>
      </c>
      <c r="V44" s="714" t="s">
        <v>17</v>
      </c>
      <c r="W44" s="715">
        <f t="shared" si="12"/>
        <v>100</v>
      </c>
      <c r="X44" s="1490"/>
      <c r="Y44" s="3482"/>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82"/>
      <c r="Q45" s="1487">
        <f t="shared" si="14"/>
        <v>111</v>
      </c>
      <c r="R45" s="717" t="s">
        <v>17</v>
      </c>
      <c r="S45" s="718">
        <f t="shared" si="10"/>
        <v>100</v>
      </c>
      <c r="T45" s="717" t="s">
        <v>17</v>
      </c>
      <c r="U45" s="718">
        <f t="shared" si="11"/>
        <v>100</v>
      </c>
      <c r="V45" s="717" t="s">
        <v>17</v>
      </c>
      <c r="W45" s="718">
        <f t="shared" si="12"/>
        <v>100</v>
      </c>
      <c r="X45" s="719"/>
      <c r="Y45" s="3482"/>
      <c r="Z45" s="720">
        <f t="shared" si="13"/>
        <v>111</v>
      </c>
      <c r="AA45" s="1488">
        <f t="shared" si="3"/>
        <v>1</v>
      </c>
      <c r="AB45" s="1488">
        <f t="shared" si="4"/>
        <v>1</v>
      </c>
      <c r="AC45" s="1488">
        <f t="shared" si="5"/>
        <v>1</v>
      </c>
    </row>
    <row r="46" spans="1:29" ht="15">
      <c r="A46" s="438" t="s">
        <v>2300</v>
      </c>
      <c r="B46" s="2118" t="s">
        <v>2336</v>
      </c>
      <c r="C46" s="638" t="s">
        <v>1</v>
      </c>
      <c r="D46" s="440"/>
      <c r="E46" s="441"/>
      <c r="F46" s="442"/>
      <c r="G46" s="443"/>
      <c r="H46" s="444"/>
      <c r="I46" s="441"/>
      <c r="J46" s="444"/>
      <c r="K46" s="723"/>
      <c r="L46" s="2902"/>
      <c r="M46" s="2903"/>
      <c r="N46" s="2894"/>
      <c r="O46" s="2903"/>
      <c r="P46" s="3475" t="str">
        <f>A46</f>
        <v>成交单价</v>
      </c>
      <c r="Q46" s="3475"/>
      <c r="R46" s="3506">
        <f>E46</f>
        <v>0</v>
      </c>
      <c r="S46" s="3506"/>
      <c r="T46" s="3506">
        <f>G46</f>
        <v>0</v>
      </c>
      <c r="U46" s="3506"/>
      <c r="V46" s="3506">
        <f>I46</f>
        <v>0</v>
      </c>
      <c r="W46" s="3506"/>
      <c r="X46" s="699"/>
      <c r="Y46" s="721"/>
      <c r="Z46" s="699"/>
      <c r="AA46" s="699"/>
      <c r="AB46" s="699"/>
      <c r="AC46" s="699"/>
    </row>
    <row r="47" spans="1:29" ht="15.75" thickBot="1">
      <c r="A47" s="445" t="s">
        <v>2249</v>
      </c>
      <c r="B47" s="639"/>
      <c r="C47" s="448" t="e">
        <f>R48</f>
        <v>#DIV/0!</v>
      </c>
      <c r="D47" s="2488" t="s">
        <v>2638</v>
      </c>
      <c r="E47" s="448" t="e">
        <f>R47</f>
        <v>#DIV/0!</v>
      </c>
      <c r="F47" s="2489"/>
      <c r="G47" s="447" t="e">
        <f>T47</f>
        <v>#DIV/0!</v>
      </c>
      <c r="H47" s="2489"/>
      <c r="I47" s="448" t="e">
        <f>V47</f>
        <v>#DIV/0!</v>
      </c>
      <c r="J47" s="2489"/>
      <c r="K47" s="2491">
        <f>F47+H47+J47</f>
        <v>0</v>
      </c>
      <c r="L47" s="2902"/>
      <c r="M47" s="2903"/>
      <c r="N47" s="2903"/>
      <c r="O47" s="2903"/>
      <c r="P47" s="3475" t="str">
        <f>A47</f>
        <v>比较价值（元/平方米）</v>
      </c>
      <c r="Q47" s="3475"/>
      <c r="R47" s="3535" t="e">
        <f>ROUND(PRODUCT(R46,AA7:AA45),0)</f>
        <v>#DIV/0!</v>
      </c>
      <c r="S47" s="3535"/>
      <c r="T47" s="3535" t="e">
        <f>ROUND(PRODUCT(T46,AB7:AB45),0)</f>
        <v>#DIV/0!</v>
      </c>
      <c r="U47" s="3535"/>
      <c r="V47" s="3535" t="e">
        <f>ROUND(PRODUCT(V46,AC7:AC45),0)</f>
        <v>#DIV/0!</v>
      </c>
      <c r="W47" s="3535"/>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2"/>
      <c r="M48" s="2903"/>
      <c r="N48" s="2903"/>
      <c r="O48" s="2903"/>
      <c r="P48" s="3472" t="str">
        <f>A48</f>
        <v>估价对象XX用房的比较价值（楼面单价，元/平方米）</v>
      </c>
      <c r="Q48" s="3473"/>
      <c r="R48" s="3536" t="e">
        <f>ROUND(IF(D47="简单平均",AVERAGE(R47:W47),R47*F47+T47*H47+V47*J47),0)</f>
        <v>#DIV/0!</v>
      </c>
      <c r="S48" s="3536"/>
      <c r="T48" s="3536"/>
      <c r="U48" s="3536"/>
      <c r="V48" s="3536"/>
      <c r="W48" s="3536"/>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19" t="s">
        <v>2340</v>
      </c>
      <c r="D55" s="2120" t="s">
        <v>2341</v>
      </c>
      <c r="E55" s="642" t="s">
        <v>2342</v>
      </c>
      <c r="F55" s="1002" t="s">
        <v>2343</v>
      </c>
      <c r="G55" s="3490" t="s">
        <v>2344</v>
      </c>
      <c r="H55" s="3537"/>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62450.639999999992</v>
      </c>
      <c r="F56" s="998" t="e">
        <f t="shared" ref="F56:F64" si="15">ROUND(B56*E56/10000,0)</f>
        <v>#DIV/0!</v>
      </c>
      <c r="G56" s="3486"/>
      <c r="H56" s="3475"/>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7">
        <v>0.25</v>
      </c>
      <c r="E57" s="650"/>
      <c r="F57" s="998" t="e">
        <f t="shared" si="15"/>
        <v>#DIV/0!</v>
      </c>
      <c r="G57" s="3227" t="s">
        <v>2349</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0</v>
      </c>
      <c r="F60" s="998" t="e">
        <f t="shared" si="15"/>
        <v>#DIV/0!</v>
      </c>
      <c r="G60" s="2123"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6318.51</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7">
        <v>0.25</v>
      </c>
      <c r="E63" s="223">
        <f>'数据-汇总表'!E14</f>
        <v>0</v>
      </c>
      <c r="F63" s="998" t="e">
        <f t="shared" si="15"/>
        <v>#DIV/0!</v>
      </c>
      <c r="G63" s="2123" t="s">
        <v>2349</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7">
        <v>0.25</v>
      </c>
      <c r="E64" s="223">
        <f>'数据-汇总表'!E15</f>
        <v>0</v>
      </c>
      <c r="F64" s="998" t="e">
        <f t="shared" si="15"/>
        <v>#DIV/0!</v>
      </c>
      <c r="G64" s="2124"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68769.149999999994</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2022-7-1</v>
      </c>
      <c r="D67" s="701">
        <f>EDATE(C67,-3)</f>
        <v>44652</v>
      </c>
      <c r="E67" s="701">
        <f>EDATE(D67,-3)</f>
        <v>44562</v>
      </c>
      <c r="F67" s="701">
        <f t="shared" ref="F67:O67" si="18">EDATE(E67,-3)</f>
        <v>44470</v>
      </c>
      <c r="G67" s="701">
        <f t="shared" si="18"/>
        <v>44378</v>
      </c>
      <c r="H67" s="701">
        <f t="shared" si="18"/>
        <v>44287</v>
      </c>
      <c r="I67" s="701">
        <f t="shared" si="18"/>
        <v>44197</v>
      </c>
      <c r="J67" s="701">
        <f t="shared" si="18"/>
        <v>44105</v>
      </c>
      <c r="K67" s="701">
        <f t="shared" si="18"/>
        <v>44013</v>
      </c>
      <c r="L67" s="701">
        <f t="shared" si="18"/>
        <v>43922</v>
      </c>
      <c r="M67" s="701">
        <f t="shared" si="18"/>
        <v>43831</v>
      </c>
      <c r="N67" s="701">
        <f t="shared" si="18"/>
        <v>43739</v>
      </c>
      <c r="O67" s="701">
        <f t="shared" si="18"/>
        <v>43647</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5"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90" t="s">
        <v>2226</v>
      </c>
      <c r="D4" s="3491"/>
      <c r="E4" s="3492" t="s">
        <v>2227</v>
      </c>
      <c r="F4" s="3493"/>
      <c r="G4" s="3490" t="s">
        <v>2228</v>
      </c>
      <c r="H4" s="3491"/>
      <c r="I4" s="3490" t="s">
        <v>2229</v>
      </c>
      <c r="J4" s="3491"/>
      <c r="K4" s="567" t="s">
        <v>2230</v>
      </c>
      <c r="L4" s="2893"/>
      <c r="M4" s="2894"/>
      <c r="N4" s="2894"/>
      <c r="O4" s="2894"/>
      <c r="P4" s="3494" t="s">
        <v>2231</v>
      </c>
      <c r="Q4" s="3495"/>
      <c r="R4" s="3500" t="s">
        <v>2227</v>
      </c>
      <c r="S4" s="3501"/>
      <c r="T4" s="3500" t="s">
        <v>2228</v>
      </c>
      <c r="U4" s="3501"/>
      <c r="V4" s="3506" t="s">
        <v>2229</v>
      </c>
      <c r="W4" s="3506"/>
      <c r="X4" s="1490"/>
      <c r="Y4" s="3500" t="s">
        <v>2231</v>
      </c>
      <c r="Z4" s="3501"/>
      <c r="AA4" s="3487" t="s">
        <v>2227</v>
      </c>
      <c r="AB4" s="3488" t="s">
        <v>2228</v>
      </c>
      <c r="AC4" s="3487" t="s">
        <v>2229</v>
      </c>
    </row>
    <row r="5" spans="1:29" ht="15">
      <c r="A5" s="364"/>
      <c r="B5" s="365"/>
      <c r="C5" s="3509" t="s">
        <v>2122</v>
      </c>
      <c r="D5" s="3510"/>
      <c r="E5" s="3516" t="s">
        <v>2123</v>
      </c>
      <c r="F5" s="3517"/>
      <c r="G5" s="3509" t="s">
        <v>2124</v>
      </c>
      <c r="H5" s="3510"/>
      <c r="I5" s="3509" t="s">
        <v>2125</v>
      </c>
      <c r="J5" s="3510"/>
      <c r="K5" s="567"/>
      <c r="L5" s="2893"/>
      <c r="M5" s="2894"/>
      <c r="N5" s="2894"/>
      <c r="O5" s="2894"/>
      <c r="P5" s="3496"/>
      <c r="Q5" s="3497"/>
      <c r="R5" s="3502"/>
      <c r="S5" s="3503"/>
      <c r="T5" s="3502"/>
      <c r="U5" s="3503"/>
      <c r="V5" s="3506"/>
      <c r="W5" s="3506"/>
      <c r="X5" s="1490"/>
      <c r="Y5" s="3502"/>
      <c r="Z5" s="3503"/>
      <c r="AA5" s="3488"/>
      <c r="AB5" s="3488"/>
      <c r="AC5" s="3488"/>
    </row>
    <row r="6" spans="1:29" ht="15.75" thickBot="1">
      <c r="A6" s="366"/>
      <c r="B6" s="367"/>
      <c r="C6" s="3538" t="s">
        <v>2376</v>
      </c>
      <c r="D6" s="3539"/>
      <c r="E6" s="3540" t="s">
        <v>2376</v>
      </c>
      <c r="F6" s="3541"/>
      <c r="G6" s="3538" t="s">
        <v>2376</v>
      </c>
      <c r="H6" s="3539"/>
      <c r="I6" s="3538" t="s">
        <v>2376</v>
      </c>
      <c r="J6" s="3539"/>
      <c r="K6" s="567" t="s">
        <v>2127</v>
      </c>
      <c r="L6" s="2893"/>
      <c r="M6" s="2894"/>
      <c r="N6" s="2894"/>
      <c r="O6" s="2894"/>
      <c r="P6" s="3498"/>
      <c r="Q6" s="3499"/>
      <c r="R6" s="3502"/>
      <c r="S6" s="3503"/>
      <c r="T6" s="3504"/>
      <c r="U6" s="3505"/>
      <c r="V6" s="3506"/>
      <c r="W6" s="3506"/>
      <c r="X6" s="1490"/>
      <c r="Y6" s="3504"/>
      <c r="Z6" s="3505"/>
      <c r="AA6" s="3489"/>
      <c r="AB6" s="3489"/>
      <c r="AC6" s="3489"/>
    </row>
    <row r="7" spans="1:29" s="113" customFormat="1" ht="15.75" thickBot="1">
      <c r="A7" s="368" t="s">
        <v>2128</v>
      </c>
      <c r="B7" s="369"/>
      <c r="C7" s="370">
        <f>'数据-取费表'!B2</f>
        <v>44769</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511" t="s">
        <v>2129</v>
      </c>
      <c r="Q7" s="3513"/>
      <c r="R7" s="710" t="s">
        <v>17</v>
      </c>
      <c r="S7" s="711">
        <f t="shared" ref="S7:S15" si="0">F7</f>
        <v>0</v>
      </c>
      <c r="T7" s="710" t="s">
        <v>17</v>
      </c>
      <c r="U7" s="711">
        <f t="shared" ref="U7:U15" si="1">H7</f>
        <v>0</v>
      </c>
      <c r="V7" s="710" t="s">
        <v>17</v>
      </c>
      <c r="W7" s="711">
        <f t="shared" ref="W7:W15" si="2">J7</f>
        <v>0</v>
      </c>
      <c r="X7" s="712"/>
      <c r="Y7" s="3511" t="s">
        <v>2129</v>
      </c>
      <c r="Z7" s="3512"/>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511" t="s">
        <v>2132</v>
      </c>
      <c r="Q8" s="3512"/>
      <c r="R8" s="710" t="s">
        <v>17</v>
      </c>
      <c r="S8" s="711">
        <f t="shared" si="0"/>
        <v>0</v>
      </c>
      <c r="T8" s="710" t="s">
        <v>17</v>
      </c>
      <c r="U8" s="711">
        <f t="shared" si="1"/>
        <v>0</v>
      </c>
      <c r="V8" s="710" t="s">
        <v>17</v>
      </c>
      <c r="W8" s="711">
        <f t="shared" si="2"/>
        <v>0</v>
      </c>
      <c r="X8" s="712"/>
      <c r="Y8" s="3511" t="s">
        <v>2132</v>
      </c>
      <c r="Z8" s="3512"/>
      <c r="AA8" s="713" t="e">
        <f t="shared" ref="AA8:AA40" si="3">D8/F8</f>
        <v>#DIV/0!</v>
      </c>
      <c r="AB8" s="713" t="e">
        <f t="shared" ref="AB8:AB40" si="4">D8/H8</f>
        <v>#DIV/0!</v>
      </c>
      <c r="AC8" s="713"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475" t="s">
        <v>2135</v>
      </c>
      <c r="Q9" s="1478" t="str">
        <f t="shared" ref="Q9:Q15" si="6">B9</f>
        <v>用途</v>
      </c>
      <c r="R9" s="710" t="s">
        <v>17</v>
      </c>
      <c r="S9" s="711">
        <f t="shared" si="0"/>
        <v>100</v>
      </c>
      <c r="T9" s="710" t="s">
        <v>17</v>
      </c>
      <c r="U9" s="711">
        <f t="shared" si="1"/>
        <v>100</v>
      </c>
      <c r="V9" s="710" t="s">
        <v>17</v>
      </c>
      <c r="W9" s="711">
        <f t="shared" si="2"/>
        <v>100</v>
      </c>
      <c r="X9" s="712"/>
      <c r="Y9" s="3347"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105</v>
      </c>
      <c r="G10" s="391"/>
      <c r="H10" s="132">
        <f>ROUND(100/'数据-取费表'!G16,0)</f>
        <v>105</v>
      </c>
      <c r="I10" s="391"/>
      <c r="J10" s="132">
        <f>ROUND(100/'数据-取费表'!G16,0)</f>
        <v>105</v>
      </c>
      <c r="K10" s="628"/>
      <c r="L10" s="2897"/>
      <c r="M10" s="2898"/>
      <c r="N10" s="2898"/>
      <c r="O10" s="2951"/>
      <c r="P10" s="3475"/>
      <c r="Q10" s="1478" t="str">
        <f t="shared" si="6"/>
        <v>土地使用年限（年）</v>
      </c>
      <c r="R10" s="710" t="s">
        <v>17</v>
      </c>
      <c r="S10" s="711">
        <f t="shared" si="0"/>
        <v>105</v>
      </c>
      <c r="T10" s="710" t="s">
        <v>17</v>
      </c>
      <c r="U10" s="711">
        <f t="shared" si="1"/>
        <v>105</v>
      </c>
      <c r="V10" s="710" t="s">
        <v>17</v>
      </c>
      <c r="W10" s="711">
        <f t="shared" si="2"/>
        <v>105</v>
      </c>
      <c r="X10" s="712"/>
      <c r="Y10" s="3347"/>
      <c r="Z10" s="55" t="str">
        <f t="shared" si="7"/>
        <v>土地使用年限（年）</v>
      </c>
      <c r="AA10" s="713">
        <f t="shared" si="3"/>
        <v>0.95238095238095233</v>
      </c>
      <c r="AB10" s="713">
        <f t="shared" si="4"/>
        <v>0.95238095238095233</v>
      </c>
      <c r="AC10" s="713">
        <f t="shared" si="5"/>
        <v>0.95238095238095233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75"/>
      <c r="Q11" s="1478" t="str">
        <f t="shared" si="6"/>
        <v>容积率</v>
      </c>
      <c r="R11" s="710" t="s">
        <v>17</v>
      </c>
      <c r="S11" s="711" t="e">
        <f t="shared" si="0"/>
        <v>#N/A</v>
      </c>
      <c r="T11" s="710" t="s">
        <v>17</v>
      </c>
      <c r="U11" s="711" t="e">
        <f t="shared" si="1"/>
        <v>#N/A</v>
      </c>
      <c r="V11" s="710" t="s">
        <v>17</v>
      </c>
      <c r="W11" s="711" t="e">
        <f t="shared" si="2"/>
        <v>#N/A</v>
      </c>
      <c r="X11" s="712"/>
      <c r="Y11" s="3347"/>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75"/>
      <c r="Q12" s="1478">
        <f t="shared" si="6"/>
        <v>111</v>
      </c>
      <c r="R12" s="710" t="s">
        <v>17</v>
      </c>
      <c r="S12" s="711">
        <f t="shared" si="0"/>
        <v>100</v>
      </c>
      <c r="T12" s="710" t="s">
        <v>17</v>
      </c>
      <c r="U12" s="711">
        <f t="shared" si="1"/>
        <v>100</v>
      </c>
      <c r="V12" s="710" t="s">
        <v>17</v>
      </c>
      <c r="W12" s="711">
        <f t="shared" si="2"/>
        <v>100</v>
      </c>
      <c r="X12" s="712"/>
      <c r="Y12" s="3347"/>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75"/>
      <c r="Q13" s="1478">
        <f t="shared" si="6"/>
        <v>111</v>
      </c>
      <c r="R13" s="710" t="s">
        <v>17</v>
      </c>
      <c r="S13" s="711">
        <f t="shared" si="0"/>
        <v>100</v>
      </c>
      <c r="T13" s="710" t="s">
        <v>17</v>
      </c>
      <c r="U13" s="711">
        <f t="shared" si="1"/>
        <v>100</v>
      </c>
      <c r="V13" s="710" t="s">
        <v>17</v>
      </c>
      <c r="W13" s="711">
        <f t="shared" si="2"/>
        <v>100</v>
      </c>
      <c r="X13" s="712"/>
      <c r="Y13" s="3347"/>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75"/>
      <c r="Q14" s="1478">
        <f t="shared" si="6"/>
        <v>111</v>
      </c>
      <c r="R14" s="710" t="s">
        <v>17</v>
      </c>
      <c r="S14" s="711">
        <f t="shared" si="0"/>
        <v>100</v>
      </c>
      <c r="T14" s="710" t="s">
        <v>17</v>
      </c>
      <c r="U14" s="711">
        <f t="shared" si="1"/>
        <v>100</v>
      </c>
      <c r="V14" s="710" t="s">
        <v>17</v>
      </c>
      <c r="W14" s="711">
        <f t="shared" si="2"/>
        <v>100</v>
      </c>
      <c r="X14" s="712"/>
      <c r="Y14" s="3347"/>
      <c r="Z14" s="55">
        <f t="shared" si="7"/>
        <v>111</v>
      </c>
      <c r="AA14" s="713">
        <f t="shared" si="3"/>
        <v>1</v>
      </c>
      <c r="AB14" s="713">
        <f t="shared" si="4"/>
        <v>1</v>
      </c>
      <c r="AC14" s="713">
        <f t="shared" si="5"/>
        <v>1</v>
      </c>
    </row>
    <row r="15" spans="1:29" ht="57">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77" t="s">
        <v>2140</v>
      </c>
      <c r="Q15" s="1487" t="str">
        <f t="shared" si="6"/>
        <v>产业集聚程度</v>
      </c>
      <c r="R15" s="714" t="s">
        <v>17</v>
      </c>
      <c r="S15" s="715">
        <f t="shared" si="0"/>
        <v>100</v>
      </c>
      <c r="T15" s="714" t="s">
        <v>17</v>
      </c>
      <c r="U15" s="715">
        <f t="shared" si="1"/>
        <v>100</v>
      </c>
      <c r="V15" s="714" t="s">
        <v>17</v>
      </c>
      <c r="W15" s="715">
        <f t="shared" si="2"/>
        <v>100</v>
      </c>
      <c r="X15" s="1490"/>
      <c r="Y15" s="3477" t="s">
        <v>2140</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900"/>
      <c r="M16" s="2894"/>
      <c r="N16" s="2894"/>
      <c r="O16" s="2952"/>
      <c r="P16" s="3478"/>
      <c r="Q16" s="1487"/>
      <c r="R16" s="714"/>
      <c r="S16" s="715"/>
      <c r="T16" s="714"/>
      <c r="U16" s="715"/>
      <c r="V16" s="714"/>
      <c r="W16" s="715"/>
      <c r="X16" s="1490"/>
      <c r="Y16" s="3478"/>
      <c r="Z16" s="1491"/>
      <c r="AA16" s="1488">
        <v>1</v>
      </c>
      <c r="AB16" s="1488">
        <v>1</v>
      </c>
      <c r="AC16" s="1488">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78"/>
      <c r="Q17" s="1487" t="str">
        <f>B17</f>
        <v>交通便捷度</v>
      </c>
      <c r="R17" s="714" t="s">
        <v>17</v>
      </c>
      <c r="S17" s="715">
        <f>F17</f>
        <v>100</v>
      </c>
      <c r="T17" s="714" t="s">
        <v>17</v>
      </c>
      <c r="U17" s="715">
        <f>H17</f>
        <v>100</v>
      </c>
      <c r="V17" s="714" t="s">
        <v>17</v>
      </c>
      <c r="W17" s="715">
        <f>J17</f>
        <v>100</v>
      </c>
      <c r="X17" s="1490"/>
      <c r="Y17" s="3478"/>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900"/>
      <c r="M18" s="2894"/>
      <c r="N18" s="2894"/>
      <c r="O18" s="2952"/>
      <c r="P18" s="3478"/>
      <c r="Q18" s="1487"/>
      <c r="R18" s="714"/>
      <c r="S18" s="715"/>
      <c r="T18" s="714"/>
      <c r="U18" s="715"/>
      <c r="V18" s="714"/>
      <c r="W18" s="715"/>
      <c r="X18" s="1490"/>
      <c r="Y18" s="3478"/>
      <c r="Z18" s="1491"/>
      <c r="AA18" s="1488">
        <v>1</v>
      </c>
      <c r="AB18" s="1488">
        <v>1</v>
      </c>
      <c r="AC18" s="1488">
        <v>1</v>
      </c>
    </row>
    <row r="19" spans="1:29" ht="15">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78"/>
      <c r="Q19" s="1487" t="str">
        <f t="shared" ref="Q19:Q33" si="8">B19</f>
        <v>区域土地利用方向</v>
      </c>
      <c r="R19" s="714" t="s">
        <v>17</v>
      </c>
      <c r="S19" s="715">
        <f>F19</f>
        <v>100</v>
      </c>
      <c r="T19" s="714" t="s">
        <v>17</v>
      </c>
      <c r="U19" s="715">
        <f>H19</f>
        <v>100</v>
      </c>
      <c r="V19" s="714" t="s">
        <v>17</v>
      </c>
      <c r="W19" s="715">
        <f>J19</f>
        <v>100</v>
      </c>
      <c r="X19" s="1490"/>
      <c r="Y19" s="3478"/>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900"/>
      <c r="M20" s="2894"/>
      <c r="N20" s="2894"/>
      <c r="O20" s="2952"/>
      <c r="P20" s="3478"/>
      <c r="Q20" s="1487"/>
      <c r="R20" s="714"/>
      <c r="S20" s="715"/>
      <c r="T20" s="714"/>
      <c r="U20" s="715"/>
      <c r="V20" s="714"/>
      <c r="W20" s="715"/>
      <c r="X20" s="1490"/>
      <c r="Y20" s="3478"/>
      <c r="Z20" s="1491"/>
      <c r="AA20" s="1488"/>
      <c r="AB20" s="1488"/>
      <c r="AC20" s="1488"/>
    </row>
    <row r="21" spans="1:29" ht="71.25">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78"/>
      <c r="Q21" s="1487" t="str">
        <f t="shared" si="8"/>
        <v>环境状况</v>
      </c>
      <c r="R21" s="714" t="s">
        <v>17</v>
      </c>
      <c r="S21" s="715">
        <f>F21</f>
        <v>100</v>
      </c>
      <c r="T21" s="714" t="s">
        <v>17</v>
      </c>
      <c r="U21" s="715">
        <f>H21</f>
        <v>100</v>
      </c>
      <c r="V21" s="714" t="s">
        <v>17</v>
      </c>
      <c r="W21" s="715">
        <f>J21</f>
        <v>100</v>
      </c>
      <c r="X21" s="1490"/>
      <c r="Y21" s="3478"/>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900"/>
      <c r="M22" s="2894"/>
      <c r="N22" s="2894"/>
      <c r="O22" s="2952"/>
      <c r="P22" s="3478"/>
      <c r="Q22" s="1487"/>
      <c r="R22" s="714"/>
      <c r="S22" s="715"/>
      <c r="T22" s="714"/>
      <c r="U22" s="715"/>
      <c r="V22" s="714"/>
      <c r="W22" s="715"/>
      <c r="X22" s="1490"/>
      <c r="Y22" s="3478"/>
      <c r="Z22" s="1491"/>
      <c r="AA22" s="1488">
        <v>1</v>
      </c>
      <c r="AB22" s="1488">
        <v>1</v>
      </c>
      <c r="AC22" s="1488">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78"/>
      <c r="Q23" s="1478" t="str">
        <f t="shared" si="8"/>
        <v>公共配套设施</v>
      </c>
      <c r="R23" s="710" t="s">
        <v>17</v>
      </c>
      <c r="S23" s="711">
        <f>F23</f>
        <v>100</v>
      </c>
      <c r="T23" s="710" t="s">
        <v>17</v>
      </c>
      <c r="U23" s="711">
        <f>H23</f>
        <v>100</v>
      </c>
      <c r="V23" s="710" t="s">
        <v>17</v>
      </c>
      <c r="W23" s="711">
        <f>J23</f>
        <v>100</v>
      </c>
      <c r="X23" s="712"/>
      <c r="Y23" s="3478"/>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5"/>
      <c r="M24" s="2896"/>
      <c r="N24" s="2896"/>
      <c r="O24" s="2950"/>
      <c r="P24" s="3478"/>
      <c r="Q24" s="1478"/>
      <c r="R24" s="710"/>
      <c r="S24" s="711"/>
      <c r="T24" s="710"/>
      <c r="U24" s="711"/>
      <c r="V24" s="710"/>
      <c r="W24" s="711"/>
      <c r="X24" s="712"/>
      <c r="Y24" s="3478"/>
      <c r="Z24" s="55"/>
      <c r="AA24" s="713">
        <v>1</v>
      </c>
      <c r="AB24" s="713">
        <v>1</v>
      </c>
      <c r="AC24" s="713">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78"/>
      <c r="Q25" s="1478" t="str">
        <f t="shared" ref="Q25" si="9">B25</f>
        <v>基础设施水平</v>
      </c>
      <c r="R25" s="710" t="s">
        <v>17</v>
      </c>
      <c r="S25" s="711">
        <f>F25</f>
        <v>100</v>
      </c>
      <c r="T25" s="710" t="s">
        <v>17</v>
      </c>
      <c r="U25" s="711">
        <f>H25</f>
        <v>100</v>
      </c>
      <c r="V25" s="710" t="s">
        <v>17</v>
      </c>
      <c r="W25" s="711">
        <f>J25</f>
        <v>100</v>
      </c>
      <c r="X25" s="712"/>
      <c r="Y25" s="3478"/>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5"/>
      <c r="M26" s="2896"/>
      <c r="N26" s="2896"/>
      <c r="O26" s="2950"/>
      <c r="P26" s="3478"/>
      <c r="Q26" s="1478"/>
      <c r="R26" s="710"/>
      <c r="S26" s="711"/>
      <c r="T26" s="710"/>
      <c r="U26" s="711"/>
      <c r="V26" s="710"/>
      <c r="W26" s="711"/>
      <c r="X26" s="712"/>
      <c r="Y26" s="3478"/>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78"/>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78"/>
      <c r="Z27" s="1491" t="str">
        <f t="shared" ref="Z27:Z40" si="13">Q27</f>
        <v>临街状况</v>
      </c>
      <c r="AA27" s="1488">
        <f t="shared" si="3"/>
        <v>1</v>
      </c>
      <c r="AB27" s="1488">
        <f t="shared" si="4"/>
        <v>1</v>
      </c>
      <c r="AC27" s="1488">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78"/>
      <c r="Q28" s="1487" t="str">
        <f t="shared" si="8"/>
        <v>毗邻道路的类型与等级</v>
      </c>
      <c r="R28" s="714" t="s">
        <v>17</v>
      </c>
      <c r="S28" s="715">
        <f t="shared" si="10"/>
        <v>100</v>
      </c>
      <c r="T28" s="714" t="s">
        <v>17</v>
      </c>
      <c r="U28" s="715">
        <f t="shared" si="11"/>
        <v>100</v>
      </c>
      <c r="V28" s="714" t="s">
        <v>17</v>
      </c>
      <c r="W28" s="715">
        <f t="shared" si="12"/>
        <v>100</v>
      </c>
      <c r="X28" s="1490"/>
      <c r="Y28" s="3478"/>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900"/>
      <c r="M29" s="2894"/>
      <c r="N29" s="2894"/>
      <c r="O29" s="2952"/>
      <c r="P29" s="3478"/>
      <c r="Q29" s="1487"/>
      <c r="R29" s="714"/>
      <c r="S29" s="715"/>
      <c r="T29" s="714"/>
      <c r="U29" s="715"/>
      <c r="V29" s="714"/>
      <c r="W29" s="715"/>
      <c r="X29" s="1490"/>
      <c r="Y29" s="3478"/>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78"/>
      <c r="Q30" s="1487" t="str">
        <f t="shared" si="8"/>
        <v>土地级别</v>
      </c>
      <c r="R30" s="714" t="s">
        <v>17</v>
      </c>
      <c r="S30" s="715">
        <f t="shared" si="10"/>
        <v>100</v>
      </c>
      <c r="T30" s="714" t="s">
        <v>17</v>
      </c>
      <c r="U30" s="715">
        <f t="shared" si="11"/>
        <v>100</v>
      </c>
      <c r="V30" s="714" t="s">
        <v>17</v>
      </c>
      <c r="W30" s="715">
        <f t="shared" si="12"/>
        <v>100</v>
      </c>
      <c r="X30" s="1490"/>
      <c r="Y30" s="3478"/>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78"/>
      <c r="Q31" s="1487">
        <f t="shared" si="8"/>
        <v>111</v>
      </c>
      <c r="R31" s="714" t="s">
        <v>17</v>
      </c>
      <c r="S31" s="715">
        <f t="shared" si="10"/>
        <v>100</v>
      </c>
      <c r="T31" s="714" t="s">
        <v>17</v>
      </c>
      <c r="U31" s="715">
        <f t="shared" si="11"/>
        <v>100</v>
      </c>
      <c r="V31" s="714" t="s">
        <v>17</v>
      </c>
      <c r="W31" s="715">
        <f t="shared" si="12"/>
        <v>100</v>
      </c>
      <c r="X31" s="1490"/>
      <c r="Y31" s="3478"/>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33" t="s">
        <v>2145</v>
      </c>
      <c r="Q32" s="1487">
        <f t="shared" si="8"/>
        <v>111</v>
      </c>
      <c r="R32" s="714" t="s">
        <v>17</v>
      </c>
      <c r="S32" s="715">
        <f t="shared" si="10"/>
        <v>100</v>
      </c>
      <c r="T32" s="714" t="s">
        <v>17</v>
      </c>
      <c r="U32" s="715">
        <f t="shared" si="11"/>
        <v>100</v>
      </c>
      <c r="V32" s="714" t="s">
        <v>17</v>
      </c>
      <c r="W32" s="715">
        <f t="shared" si="12"/>
        <v>100</v>
      </c>
      <c r="X32" s="1490"/>
      <c r="Y32" s="3482" t="s">
        <v>2145</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82"/>
      <c r="Q33" s="1487">
        <f t="shared" si="8"/>
        <v>111</v>
      </c>
      <c r="R33" s="717" t="s">
        <v>17</v>
      </c>
      <c r="S33" s="718">
        <f t="shared" si="10"/>
        <v>100</v>
      </c>
      <c r="T33" s="717" t="s">
        <v>17</v>
      </c>
      <c r="U33" s="718">
        <f t="shared" si="11"/>
        <v>100</v>
      </c>
      <c r="V33" s="717" t="s">
        <v>17</v>
      </c>
      <c r="W33" s="718">
        <f t="shared" si="12"/>
        <v>100</v>
      </c>
      <c r="X33" s="719"/>
      <c r="Y33" s="3482"/>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82"/>
      <c r="Q34" s="1487" t="str">
        <f>B34</f>
        <v>宗地面积</v>
      </c>
      <c r="R34" s="714" t="s">
        <v>17</v>
      </c>
      <c r="S34" s="715" t="e">
        <f t="shared" si="10"/>
        <v>#N/A</v>
      </c>
      <c r="T34" s="714" t="s">
        <v>17</v>
      </c>
      <c r="U34" s="715" t="e">
        <f t="shared" si="11"/>
        <v>#N/A</v>
      </c>
      <c r="V34" s="714" t="s">
        <v>17</v>
      </c>
      <c r="W34" s="715" t="e">
        <f t="shared" si="12"/>
        <v>#N/A</v>
      </c>
      <c r="X34" s="1490"/>
      <c r="Y34" s="3482"/>
      <c r="Z34" s="1491" t="str">
        <f t="shared" si="13"/>
        <v>宗地面积</v>
      </c>
      <c r="AA34" s="1488" t="e">
        <f t="shared" si="3"/>
        <v>#N/A</v>
      </c>
      <c r="AB34" s="1488" t="e">
        <f t="shared" si="4"/>
        <v>#N/A</v>
      </c>
      <c r="AC34" s="1488" t="e">
        <f t="shared" si="5"/>
        <v>#N/A</v>
      </c>
    </row>
    <row r="35" spans="1:31" ht="15">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482"/>
      <c r="Q35" s="1487" t="str">
        <f t="shared" ref="Q35:Q40" si="14">B35</f>
        <v>宗地形状</v>
      </c>
      <c r="R35" s="714" t="s">
        <v>17</v>
      </c>
      <c r="S35" s="715">
        <f t="shared" si="10"/>
        <v>100</v>
      </c>
      <c r="T35" s="714" t="s">
        <v>17</v>
      </c>
      <c r="U35" s="715">
        <f t="shared" si="11"/>
        <v>100</v>
      </c>
      <c r="V35" s="714" t="s">
        <v>17</v>
      </c>
      <c r="W35" s="715">
        <f t="shared" si="12"/>
        <v>100</v>
      </c>
      <c r="X35" s="1490"/>
      <c r="Y35" s="3482"/>
      <c r="Z35" s="1491" t="str">
        <f t="shared" si="13"/>
        <v>宗地形状</v>
      </c>
      <c r="AA35" s="1488">
        <f t="shared" si="3"/>
        <v>1</v>
      </c>
      <c r="AB35" s="1488">
        <f t="shared" si="4"/>
        <v>1</v>
      </c>
      <c r="AC35" s="1488">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482"/>
      <c r="Q36" s="1487" t="str">
        <f t="shared" si="14"/>
        <v>宗地开发程度</v>
      </c>
      <c r="R36" s="710" t="s">
        <v>17</v>
      </c>
      <c r="S36" s="711">
        <f t="shared" si="10"/>
        <v>100</v>
      </c>
      <c r="T36" s="710" t="s">
        <v>17</v>
      </c>
      <c r="U36" s="711">
        <f t="shared" si="11"/>
        <v>100</v>
      </c>
      <c r="V36" s="710" t="s">
        <v>17</v>
      </c>
      <c r="W36" s="711">
        <f t="shared" si="12"/>
        <v>100</v>
      </c>
      <c r="X36" s="712"/>
      <c r="Y36" s="3482"/>
      <c r="Z36" s="55" t="str">
        <f t="shared" si="13"/>
        <v>宗地开发程度</v>
      </c>
      <c r="AA36" s="713">
        <f t="shared" si="3"/>
        <v>1</v>
      </c>
      <c r="AB36" s="713">
        <f t="shared" si="4"/>
        <v>1</v>
      </c>
      <c r="AC36" s="713">
        <f t="shared" si="5"/>
        <v>1</v>
      </c>
    </row>
    <row r="37" spans="1:31" ht="15">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482" t="s">
        <v>2145</v>
      </c>
      <c r="Q37" s="1487" t="str">
        <f t="shared" si="14"/>
        <v>工程地质条件</v>
      </c>
      <c r="R37" s="714" t="s">
        <v>17</v>
      </c>
      <c r="S37" s="715">
        <f t="shared" si="10"/>
        <v>100</v>
      </c>
      <c r="T37" s="714" t="s">
        <v>17</v>
      </c>
      <c r="U37" s="715">
        <f t="shared" si="11"/>
        <v>100</v>
      </c>
      <c r="V37" s="714" t="s">
        <v>17</v>
      </c>
      <c r="W37" s="715">
        <f t="shared" si="12"/>
        <v>100</v>
      </c>
      <c r="X37" s="1490"/>
      <c r="Y37" s="3482"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82"/>
      <c r="Q38" s="1487">
        <f t="shared" si="14"/>
        <v>111</v>
      </c>
      <c r="R38" s="714" t="s">
        <v>17</v>
      </c>
      <c r="S38" s="715">
        <f t="shared" si="10"/>
        <v>100</v>
      </c>
      <c r="T38" s="714" t="s">
        <v>17</v>
      </c>
      <c r="U38" s="715">
        <f t="shared" si="11"/>
        <v>100</v>
      </c>
      <c r="V38" s="714" t="s">
        <v>17</v>
      </c>
      <c r="W38" s="715">
        <f t="shared" si="12"/>
        <v>100</v>
      </c>
      <c r="X38" s="1490"/>
      <c r="Y38" s="3482"/>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82"/>
      <c r="Q39" s="1487">
        <f t="shared" si="14"/>
        <v>111</v>
      </c>
      <c r="R39" s="714" t="s">
        <v>17</v>
      </c>
      <c r="S39" s="715">
        <f t="shared" si="10"/>
        <v>100</v>
      </c>
      <c r="T39" s="714" t="s">
        <v>17</v>
      </c>
      <c r="U39" s="715">
        <f t="shared" si="11"/>
        <v>100</v>
      </c>
      <c r="V39" s="714" t="s">
        <v>17</v>
      </c>
      <c r="W39" s="715">
        <f t="shared" si="12"/>
        <v>100</v>
      </c>
      <c r="X39" s="1490"/>
      <c r="Y39" s="3482"/>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82"/>
      <c r="Q40" s="1487">
        <f t="shared" si="14"/>
        <v>111</v>
      </c>
      <c r="R40" s="717" t="s">
        <v>17</v>
      </c>
      <c r="S40" s="718">
        <f t="shared" si="10"/>
        <v>100</v>
      </c>
      <c r="T40" s="717" t="s">
        <v>17</v>
      </c>
      <c r="U40" s="718">
        <f t="shared" si="11"/>
        <v>100</v>
      </c>
      <c r="V40" s="717" t="s">
        <v>17</v>
      </c>
      <c r="W40" s="718">
        <f t="shared" si="12"/>
        <v>100</v>
      </c>
      <c r="X40" s="719"/>
      <c r="Y40" s="3482"/>
      <c r="Z40" s="720">
        <f t="shared" si="13"/>
        <v>111</v>
      </c>
      <c r="AA40" s="1488">
        <f t="shared" si="3"/>
        <v>1</v>
      </c>
      <c r="AB40" s="1488">
        <f t="shared" si="4"/>
        <v>1</v>
      </c>
      <c r="AC40" s="1488">
        <f t="shared" si="5"/>
        <v>1</v>
      </c>
    </row>
    <row r="41" spans="1:31" ht="15">
      <c r="A41" s="438" t="s">
        <v>2300</v>
      </c>
      <c r="B41" s="2118" t="s">
        <v>2379</v>
      </c>
      <c r="C41" s="638" t="s">
        <v>1</v>
      </c>
      <c r="D41" s="440"/>
      <c r="E41" s="441"/>
      <c r="F41" s="442"/>
      <c r="G41" s="443"/>
      <c r="H41" s="444"/>
      <c r="I41" s="441"/>
      <c r="J41" s="444"/>
      <c r="K41" s="723"/>
      <c r="L41" s="2902"/>
      <c r="M41" s="2894"/>
      <c r="N41" s="2894"/>
      <c r="O41" s="2903"/>
      <c r="P41" s="3475" t="str">
        <f>A41</f>
        <v>成交单价</v>
      </c>
      <c r="Q41" s="3475"/>
      <c r="R41" s="3506">
        <f>E41</f>
        <v>0</v>
      </c>
      <c r="S41" s="3506"/>
      <c r="T41" s="3506">
        <f>G41</f>
        <v>0</v>
      </c>
      <c r="U41" s="3506"/>
      <c r="V41" s="3506">
        <f>I41</f>
        <v>0</v>
      </c>
      <c r="W41" s="3506"/>
      <c r="X41" s="699"/>
      <c r="Y41" s="721"/>
      <c r="Z41" s="699"/>
      <c r="AA41" s="699"/>
      <c r="AB41" s="699"/>
      <c r="AC41" s="699"/>
    </row>
    <row r="42" spans="1:31" ht="15.75" thickBot="1">
      <c r="A42" s="445" t="s">
        <v>2249</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475" t="str">
        <f>A42</f>
        <v>比较价值（元/平方米）</v>
      </c>
      <c r="Q42" s="3475"/>
      <c r="R42" s="3535" t="e">
        <f>ROUND(PRODUCT(R41,AA7:AA40),0)</f>
        <v>#DIV/0!</v>
      </c>
      <c r="S42" s="3535"/>
      <c r="T42" s="3535" t="e">
        <f>ROUND(PRODUCT(T41,AB7:AB40),0)</f>
        <v>#DIV/0!</v>
      </c>
      <c r="U42" s="3535"/>
      <c r="V42" s="3535" t="e">
        <f>ROUND(PRODUCT(V41,AC7:AC40),0)</f>
        <v>#DIV/0!</v>
      </c>
      <c r="W42" s="3535"/>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472" t="str">
        <f>A43</f>
        <v>估价对象XX用房的比较价值（楼面单价，元/平方米）</v>
      </c>
      <c r="Q43" s="3473"/>
      <c r="R43" s="3536" t="e">
        <f>ROUND(IF(D42="简单平均",AVERAGE(R42:W42),R42*F42+T42*H42+V42*J42),0)</f>
        <v>#DIV/0!</v>
      </c>
      <c r="S43" s="3536"/>
      <c r="T43" s="3536"/>
      <c r="U43" s="3536"/>
      <c r="V43" s="3536"/>
      <c r="W43" s="3536"/>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19" t="s">
        <v>2340</v>
      </c>
      <c r="D50" s="2120" t="s">
        <v>2341</v>
      </c>
      <c r="E50" s="642" t="s">
        <v>2342</v>
      </c>
      <c r="F50" s="643" t="s">
        <v>2343</v>
      </c>
      <c r="G50" s="3490" t="s">
        <v>2344</v>
      </c>
      <c r="H50" s="3537"/>
      <c r="I50" s="1491" t="s">
        <v>2380</v>
      </c>
      <c r="J50" s="1491">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62450.639999999992</v>
      </c>
      <c r="F51" s="647" t="e">
        <f t="shared" ref="F51:F60" si="15">ROUND(B51*E51/10000,0)</f>
        <v>#DIV/0!</v>
      </c>
      <c r="G51" s="3486"/>
      <c r="H51" s="3475"/>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7">
        <v>0.25</v>
      </c>
      <c r="E52" s="650"/>
      <c r="F52" s="647" t="e">
        <f t="shared" si="15"/>
        <v>#DIV/0!</v>
      </c>
      <c r="G52" s="3227" t="s">
        <v>2349</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0</v>
      </c>
      <c r="F56" s="647" t="e">
        <f t="shared" si="15"/>
        <v>#DIV/0!</v>
      </c>
      <c r="G56" s="2123"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6318.51</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7">
        <v>0.25</v>
      </c>
      <c r="E59" s="223">
        <f>'数据-汇总表'!E14</f>
        <v>0</v>
      </c>
      <c r="F59" s="647" t="e">
        <f t="shared" si="15"/>
        <v>#DIV/0!</v>
      </c>
      <c r="G59" s="2123" t="s">
        <v>2349</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7">
        <v>0.25</v>
      </c>
      <c r="E60" s="223">
        <f>'数据-汇总表'!E15</f>
        <v>0</v>
      </c>
      <c r="F60" s="647" t="e">
        <f t="shared" si="15"/>
        <v>#DIV/0!</v>
      </c>
      <c r="G60" s="2124"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f t="shared" si="18"/>
        <v>43739</v>
      </c>
      <c r="O63" s="701">
        <f t="shared" si="18"/>
        <v>43647</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5"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9"/>
      <c r="C2" s="3259"/>
      <c r="D2" s="3259"/>
      <c r="E2" s="3259"/>
    </row>
    <row r="3" spans="1:5" ht="18">
      <c r="A3" s="3260" t="str">
        <f>IF(项目基本情况!B9="房地产市场价值","估价结果一览表（市场价值不需“结果表-1”）","估价结果一览表")</f>
        <v>估价结果一览表</v>
      </c>
      <c r="B3" s="3260"/>
      <c r="C3" s="3260"/>
      <c r="D3" s="3260"/>
      <c r="E3" s="3260"/>
    </row>
    <row r="4" spans="1:5" ht="19.5" thickBot="1">
      <c r="A4" s="1629"/>
      <c r="B4" s="3258" t="s">
        <v>1354</v>
      </c>
      <c r="C4" s="3258"/>
      <c r="D4" s="3258"/>
      <c r="E4" s="1629"/>
    </row>
    <row r="5" spans="1:5" ht="16.5" thickTop="1">
      <c r="A5" s="1627"/>
      <c r="B5" s="3256" t="s">
        <v>1346</v>
      </c>
      <c r="C5" s="1630" t="s">
        <v>1347</v>
      </c>
      <c r="D5" s="940" t="e">
        <f ca="1">结果表!H101</f>
        <v>#REF!</v>
      </c>
      <c r="E5" s="1627"/>
    </row>
    <row r="6" spans="1:5" ht="15.75">
      <c r="A6" s="1627"/>
      <c r="B6" s="3256"/>
      <c r="C6" s="1630" t="s">
        <v>1348</v>
      </c>
      <c r="D6" s="940" t="e">
        <f ca="1">NUMBERSTRING(INT(D5*10000),2)&amp;"元整"</f>
        <v>#REF!</v>
      </c>
      <c r="E6" s="1627"/>
    </row>
    <row r="7" spans="1:5" ht="15.75">
      <c r="A7" s="1627"/>
      <c r="B7" s="3261"/>
      <c r="C7" s="1631" t="s">
        <v>1349</v>
      </c>
      <c r="D7" s="941" t="e">
        <f ca="1">结果表!H102</f>
        <v>#REF!</v>
      </c>
      <c r="E7" s="1627"/>
    </row>
    <row r="8" spans="1:5" ht="15.75">
      <c r="A8" s="1627"/>
      <c r="B8" s="3262" t="str">
        <f>结果表!E103</f>
        <v>2.估价师知悉的法定优先受偿款</v>
      </c>
      <c r="C8" s="1632" t="s">
        <v>1350</v>
      </c>
      <c r="D8" s="941">
        <f>结果表!H103</f>
        <v>0</v>
      </c>
      <c r="E8" s="1627"/>
    </row>
    <row r="9" spans="1:5" ht="15.75">
      <c r="A9" s="1627"/>
      <c r="B9" s="3264"/>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55" t="str">
        <f>结果表!E107</f>
        <v>3.房地产抵押价值</v>
      </c>
      <c r="C13" s="1635" t="s">
        <v>1347</v>
      </c>
      <c r="D13" s="943" t="e">
        <f ca="1">结果表!H107</f>
        <v>#REF!</v>
      </c>
      <c r="E13" s="1627"/>
    </row>
    <row r="14" spans="1:5" ht="15.75">
      <c r="A14" s="1627"/>
      <c r="B14" s="3256"/>
      <c r="C14" s="1630" t="s">
        <v>1348</v>
      </c>
      <c r="D14" s="940" t="e">
        <f ca="1">NUMBERSTRING(INT(D13*10000),2)&amp;"元整"</f>
        <v>#REF!</v>
      </c>
      <c r="E14" s="1627"/>
    </row>
    <row r="15" spans="1:5" ht="15">
      <c r="A15" s="1627"/>
      <c r="B15" s="3261"/>
      <c r="C15" s="1631" t="s">
        <v>1358</v>
      </c>
      <c r="D15" s="949" t="e">
        <f ca="1">结果表!H108</f>
        <v>#REF!</v>
      </c>
      <c r="E15" s="1627"/>
    </row>
    <row r="16" spans="1:5" ht="15">
      <c r="A16" s="1627"/>
      <c r="B16" s="3262" t="str">
        <f>结果表!E109</f>
        <v>——</v>
      </c>
      <c r="C16" s="1635" t="s">
        <v>1359</v>
      </c>
      <c r="D16" s="1636" t="str">
        <f>结果表!H109</f>
        <v>——</v>
      </c>
      <c r="E16" s="1627"/>
    </row>
    <row r="17" spans="1:5" ht="15.75">
      <c r="A17" s="1627"/>
      <c r="B17" s="3263"/>
      <c r="C17" s="1630" t="s">
        <v>1360</v>
      </c>
      <c r="D17" s="940" t="e">
        <f>NUMBERSTRING(INT(D16*10000),2)&amp;"元整"</f>
        <v>#VALUE!</v>
      </c>
      <c r="E17" s="1627"/>
    </row>
    <row r="18" spans="1:5" ht="15">
      <c r="A18" s="1627"/>
      <c r="B18" s="3264"/>
      <c r="C18" s="1631" t="s">
        <v>1349</v>
      </c>
      <c r="D18" s="949" t="str">
        <f>结果表!H110</f>
        <v>——</v>
      </c>
      <c r="E18" s="1627"/>
    </row>
    <row r="19" spans="1:5" ht="15.75">
      <c r="A19" s="1627"/>
      <c r="B19" s="3255" t="str">
        <f>结果表!E111</f>
        <v>——</v>
      </c>
      <c r="C19" s="1635" t="s">
        <v>1347</v>
      </c>
      <c r="D19" s="941" t="str">
        <f>结果表!H111</f>
        <v>——</v>
      </c>
      <c r="E19" s="1627"/>
    </row>
    <row r="20" spans="1:5" ht="15.75">
      <c r="A20" s="1627"/>
      <c r="B20" s="3256"/>
      <c r="C20" s="1630" t="s">
        <v>1360</v>
      </c>
      <c r="D20" s="940" t="e">
        <f>NUMBERSTRING(INT(D19*10000),2)&amp;"元整"</f>
        <v>#VALUE!</v>
      </c>
      <c r="E20" s="1627"/>
    </row>
    <row r="21" spans="1:5" ht="15.75" thickBot="1">
      <c r="A21" s="1627"/>
      <c r="B21" s="3257"/>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3"/>
      <c r="L1" s="2132" t="s">
        <v>2385</v>
      </c>
      <c r="M1" s="975">
        <f>SUMPRODUCT((区片价!B5:B9=I2)*(区片价!C3:F3=E2)*(区片价!C5:F9))</f>
        <v>0</v>
      </c>
      <c r="N1" s="978">
        <f>SUMPRODUCT((因素修正幅度!B5:B9=I2)*(因素修正幅度!C3:F3=E2)*(因素修正幅度!C5:F9))</f>
        <v>0</v>
      </c>
      <c r="O1" s="2133"/>
      <c r="P1" s="2133"/>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3"/>
      <c r="L2" s="2140" t="s">
        <v>2396</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5" t="s">
        <v>2398</v>
      </c>
      <c r="D3" s="2136" t="s">
        <v>2399</v>
      </c>
      <c r="E3" s="2141"/>
      <c r="F3" s="2142" t="s">
        <v>2400</v>
      </c>
      <c r="G3" s="837" t="e">
        <f>IF(F3="宗地容积率",'数据-汇总表'!I4,IF(F3="估价对象容积率",'数据-汇总表'!I6,'数据-汇总表'!I7))</f>
        <v>#DIV/0!</v>
      </c>
      <c r="H3" s="175" t="s">
        <v>2401</v>
      </c>
      <c r="I3" s="862"/>
      <c r="J3" s="2139" t="s">
        <v>2402</v>
      </c>
      <c r="K3" s="1233"/>
      <c r="L3" s="2140" t="s">
        <v>2403</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5"/>
      <c r="B4" s="3546"/>
      <c r="C4" s="3546"/>
      <c r="D4" s="3547"/>
      <c r="E4" s="3547"/>
      <c r="F4" s="3547"/>
      <c r="G4" s="3547"/>
      <c r="H4" s="3547"/>
      <c r="I4" s="3547"/>
      <c r="J4" s="3548"/>
      <c r="K4" s="1233"/>
      <c r="L4" s="2140" t="s">
        <v>2404</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2405</v>
      </c>
      <c r="C5" s="838" t="e">
        <f>ROUND(IF(E2="商业",C6*C7+C16,(IF(E2="住宅",C6*C12+C16,C6+C16))),0)</f>
        <v>#DIV/0!</v>
      </c>
      <c r="D5" s="1474" t="e">
        <f>ROUND(C6+C16,0)</f>
        <v>#DIV/0!</v>
      </c>
      <c r="E5" s="1474"/>
      <c r="F5" s="2145"/>
      <c r="G5" s="2146"/>
      <c r="H5" s="2146"/>
      <c r="I5" s="2146"/>
      <c r="J5" s="2147"/>
      <c r="K5" s="2148"/>
      <c r="L5" s="2140" t="s">
        <v>2406</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2407</v>
      </c>
      <c r="B6" s="2154" t="s">
        <v>2408</v>
      </c>
      <c r="C6" s="839">
        <f>SUMIF(L1:L12,G2,M1:M12)</f>
        <v>0</v>
      </c>
      <c r="D6" s="2155" t="s">
        <v>2409</v>
      </c>
      <c r="E6" s="2156"/>
      <c r="F6" s="2156"/>
      <c r="G6" s="2157"/>
      <c r="H6" s="2157"/>
      <c r="I6" s="2157"/>
      <c r="J6" s="2158"/>
      <c r="K6" s="1519"/>
      <c r="L6" s="2140" t="s">
        <v>2410</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49" t="str">
        <f>IF(E2="商业",IF(C8="不临58条商业街","",2),"")</f>
        <v/>
      </c>
      <c r="B7" s="2159" t="s">
        <v>2411</v>
      </c>
      <c r="C7" s="840" t="e">
        <f>IF(C8="不临58条商业街",1,ROUND(1+(1.6*E8+1.2*E9+0.8*E10+0.4*E11)*C9,4))</f>
        <v>#DIV/0!</v>
      </c>
      <c r="D7" s="2160" t="s">
        <v>2412</v>
      </c>
      <c r="E7" s="863"/>
      <c r="F7" s="2161"/>
      <c r="G7" s="2162"/>
      <c r="H7" s="2162"/>
      <c r="I7" s="2162"/>
      <c r="J7" s="2163"/>
      <c r="K7" s="1519"/>
      <c r="L7" s="2140" t="s">
        <v>2413</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2414</v>
      </c>
      <c r="X7" s="1329">
        <f>G2</f>
        <v>0</v>
      </c>
      <c r="Y7" s="1329" t="s">
        <v>2415</v>
      </c>
      <c r="Z7" s="1330" t="e">
        <f>G3</f>
        <v>#DIV/0!</v>
      </c>
      <c r="AA7" s="1331"/>
      <c r="AB7" s="1331"/>
      <c r="AC7" s="1332"/>
      <c r="AD7" s="1333"/>
      <c r="AE7" s="1333"/>
      <c r="AF7" s="1333"/>
      <c r="AG7" s="1333"/>
      <c r="AH7" s="1333"/>
      <c r="AI7" s="1333"/>
      <c r="AJ7" s="1334"/>
    </row>
    <row r="8" spans="1:36" ht="15">
      <c r="A8" s="3550"/>
      <c r="B8" s="175" t="s">
        <v>2416</v>
      </c>
      <c r="C8" s="2164"/>
      <c r="D8" s="841" t="s">
        <v>139</v>
      </c>
      <c r="E8" s="842" t="e">
        <f>ROUND(C11/E7,4)</f>
        <v>#DIV/0!</v>
      </c>
      <c r="F8" s="2165" t="s">
        <v>2417</v>
      </c>
      <c r="G8" s="2166"/>
      <c r="H8" s="2166"/>
      <c r="I8" s="2166"/>
      <c r="J8" s="2167"/>
      <c r="K8" s="1233"/>
      <c r="L8" s="2140"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2" t="s">
        <v>2419</v>
      </c>
      <c r="X8" s="3543"/>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50"/>
      <c r="B9" s="175" t="s">
        <v>2432</v>
      </c>
      <c r="C9" s="843">
        <f>SUMIF(修正!C71:C138,C8,修正!E71:E138)</f>
        <v>0</v>
      </c>
      <c r="D9" s="176" t="s">
        <v>140</v>
      </c>
      <c r="E9" s="176" t="e">
        <f>ROUND(C11/E7,4)</f>
        <v>#DIV/0!</v>
      </c>
      <c r="F9" s="2165" t="s">
        <v>2433</v>
      </c>
      <c r="G9" s="2166"/>
      <c r="H9" s="2166"/>
      <c r="I9" s="2166"/>
      <c r="J9" s="2167"/>
      <c r="K9" s="1233"/>
      <c r="L9" s="2140"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4"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50"/>
      <c r="B10" s="175" t="s">
        <v>2437</v>
      </c>
      <c r="C10" s="176">
        <f>SUMIF(修正!C71:C138,C8,修正!F71:F138)</f>
        <v>0</v>
      </c>
      <c r="D10" s="176" t="s">
        <v>141</v>
      </c>
      <c r="E10" s="176" t="e">
        <f>ROUND(C11/E7,4)</f>
        <v>#DIV/0!</v>
      </c>
      <c r="F10" s="2165" t="s">
        <v>2438</v>
      </c>
      <c r="G10" s="2166"/>
      <c r="H10" s="2166"/>
      <c r="I10" s="2166"/>
      <c r="J10" s="2167"/>
      <c r="K10" s="1233"/>
      <c r="L10" s="2140"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4"/>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50"/>
      <c r="B11" s="2168" t="s">
        <v>2440</v>
      </c>
      <c r="C11" s="844">
        <f>C10/4</f>
        <v>0</v>
      </c>
      <c r="D11" s="844" t="s">
        <v>142</v>
      </c>
      <c r="E11" s="844" t="e">
        <f>ROUND(C11/E7,4)</f>
        <v>#DIV/0!</v>
      </c>
      <c r="F11" s="2169" t="s">
        <v>2441</v>
      </c>
      <c r="G11" s="2170"/>
      <c r="H11" s="2170"/>
      <c r="I11" s="2170"/>
      <c r="J11" s="2171"/>
      <c r="K11" s="1233"/>
      <c r="L11" s="2140"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4" t="s">
        <v>2443</v>
      </c>
      <c r="X11" s="1339" t="s">
        <v>2444</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5" thickBot="1">
      <c r="A12" s="3549" t="s">
        <v>2445</v>
      </c>
      <c r="B12" s="2172" t="s">
        <v>2446</v>
      </c>
      <c r="C12" s="840">
        <f>ROUND(C15*D15*E15*F15*G15*H15*I15*J15,4)</f>
        <v>1</v>
      </c>
      <c r="D12" s="2173" t="s">
        <v>2447</v>
      </c>
      <c r="E12" s="2174"/>
      <c r="F12" s="2174"/>
      <c r="G12" s="2175"/>
      <c r="H12" s="2175"/>
      <c r="I12" s="2175"/>
      <c r="J12" s="2176"/>
      <c r="K12" s="1233"/>
      <c r="L12" s="2177"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4"/>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1"/>
      <c r="B13" s="2178" t="s">
        <v>2450</v>
      </c>
      <c r="C13" s="2179" t="s">
        <v>2451</v>
      </c>
      <c r="D13" s="1485" t="s">
        <v>2452</v>
      </c>
      <c r="E13" s="1485" t="s">
        <v>2453</v>
      </c>
      <c r="F13" s="30" t="s">
        <v>2454</v>
      </c>
      <c r="G13" s="2180" t="s">
        <v>2455</v>
      </c>
      <c r="H13" s="2180" t="s">
        <v>2455</v>
      </c>
      <c r="I13" s="2180" t="s">
        <v>2455</v>
      </c>
      <c r="J13" s="2181" t="s">
        <v>2455</v>
      </c>
      <c r="K13" s="1233"/>
      <c r="L13" s="1233"/>
      <c r="M13" s="1233"/>
      <c r="N13" s="1233"/>
      <c r="O13" s="1233"/>
      <c r="P13" s="1233"/>
      <c r="Q13" s="1233"/>
      <c r="R13" s="1327">
        <v>12</v>
      </c>
      <c r="S13" s="1328"/>
      <c r="T13" s="1327" t="e">
        <f t="shared" si="0"/>
        <v>#DIV/0!</v>
      </c>
      <c r="U13" s="1328"/>
      <c r="V13" s="1327" t="e">
        <f t="shared" si="1"/>
        <v>#DIV/0!</v>
      </c>
      <c r="W13" s="3544"/>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51"/>
      <c r="B14" s="2182"/>
      <c r="C14" s="2183"/>
      <c r="D14" s="2184"/>
      <c r="E14" s="2184"/>
      <c r="F14" s="2185"/>
      <c r="G14" s="2186" t="s">
        <v>2456</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52"/>
      <c r="B15" s="2190" t="s">
        <v>2457</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49" t="s">
        <v>2462</v>
      </c>
      <c r="B16" s="2159" t="s">
        <v>2463</v>
      </c>
      <c r="C16" s="2321" t="e">
        <f>ROUND(IF(F17="与级别开发程度一致",0,(G17-E17)/C17),0)</f>
        <v>#DIV/0!</v>
      </c>
      <c r="D16" s="3565" t="s">
        <v>2467</v>
      </c>
      <c r="E16" s="3566"/>
      <c r="F16" s="3565" t="s">
        <v>2464</v>
      </c>
      <c r="G16" s="3566"/>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53"/>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8"/>
    </row>
    <row r="19" spans="1:37" s="2152" customFormat="1" ht="27.75" thickBot="1">
      <c r="A19" s="2196" t="s">
        <v>628</v>
      </c>
      <c r="B19" s="2197" t="s">
        <v>2470</v>
      </c>
      <c r="C19" s="845" t="e">
        <f>ROUND(IF(H19="按公示增长率计算",SUMPRODUCT((地价!A3:A37=YEAR(G19)&amp;"-"&amp;ROUNDUP(MONTH(G19)/3,0))*(地价!X2:AB2=E2)*(地价!X3:AB37)),IF(H19="地价指数",M20/M19,(1+I19)^O19)),4)</f>
        <v>#VALUE!</v>
      </c>
      <c r="D19" s="2201" t="s">
        <v>2471</v>
      </c>
      <c r="E19" s="846">
        <v>41640</v>
      </c>
      <c r="F19" s="2201" t="s">
        <v>2472</v>
      </c>
      <c r="G19" s="847">
        <f>'数据-取费表'!B2</f>
        <v>44769</v>
      </c>
      <c r="H19" s="2202"/>
      <c r="I19" s="848" t="str">
        <f>IF(H19="季度增幅（自定义）",SUMIF(N21:N24,E2,O21:O24),"")</f>
        <v/>
      </c>
      <c r="J19" s="2199"/>
      <c r="K19" s="1240"/>
      <c r="L19" s="2203" t="s">
        <v>2473</v>
      </c>
      <c r="M19" s="1449">
        <f>ROUND(SUMIF(地价!B2:F2,E2,地价!B37:F37),0)</f>
        <v>0</v>
      </c>
      <c r="N19" s="2204"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1"/>
      <c r="AH19" s="2290"/>
      <c r="AI19" s="2972"/>
      <c r="AJ19" s="2972"/>
      <c r="AK19" s="2205"/>
    </row>
    <row r="20" spans="1:37" s="2152" customFormat="1" ht="27.75" thickBot="1">
      <c r="A20" s="2206" t="s">
        <v>629</v>
      </c>
      <c r="B20" s="2207" t="s">
        <v>2475</v>
      </c>
      <c r="C20" s="850" t="e">
        <f>ROUND(POWER(1+G20,J20-I20)*(POWER(1+G20,I20)-1)/(POWER(1+G20,J20)-1),4)</f>
        <v>#DIV/0!</v>
      </c>
      <c r="D20" s="2208" t="s">
        <v>2476</v>
      </c>
      <c r="E20" s="1456">
        <f>存贷款利率!E21/100</f>
        <v>4.3499999999999997E-2</v>
      </c>
      <c r="F20" s="2208" t="s">
        <v>2468</v>
      </c>
      <c r="G20" s="854">
        <f>SUMIF(M26:P26,E2,M28:P28)</f>
        <v>0</v>
      </c>
      <c r="H20" s="2208" t="s">
        <v>2477</v>
      </c>
      <c r="I20" s="855" t="e">
        <f>SUMIF('数据-取费表'!C6:C15,E2,'数据-取费表'!F6:F15)/COUNTIF('数据-取费表'!C6:C15,E2)</f>
        <v>#DIV/0!</v>
      </c>
      <c r="J20" s="856">
        <f>IF(E2="住宅",70,IF(E2="商业",40,50))</f>
        <v>50</v>
      </c>
      <c r="K20" s="1240"/>
      <c r="L20" s="2209" t="s">
        <v>2478</v>
      </c>
      <c r="M20" s="1450">
        <f>ROUND(SUMPRODUCT((地价!A4:A37=YEAR(G19)&amp;"-"&amp;ROUNDUP(MONTH(G19)/3,0))*(地价!B2:F2=E2)*(地价!B4:F37)),0)</f>
        <v>0</v>
      </c>
      <c r="N20" s="2210" t="s">
        <v>2479</v>
      </c>
      <c r="O20" s="2211" t="s">
        <v>2480</v>
      </c>
      <c r="P20" s="2212" t="s">
        <v>2481</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2" customFormat="1" ht="15">
      <c r="A21" s="2213" t="s">
        <v>630</v>
      </c>
      <c r="B21" s="2214" t="s">
        <v>2482</v>
      </c>
      <c r="C21" s="857" t="e">
        <f>IF(B21="容积率修正",IF(G3&lt;=10,D22,J22),C23)</f>
        <v>#DIV/0!</v>
      </c>
      <c r="D21" s="2215"/>
      <c r="E21" s="2215"/>
      <c r="F21" s="2215"/>
      <c r="G21" s="2215"/>
      <c r="H21" s="2215"/>
      <c r="I21" s="2215"/>
      <c r="J21" s="2216"/>
      <c r="K21" s="1240"/>
      <c r="L21" s="2968"/>
      <c r="M21" s="2968"/>
      <c r="N21" s="2217" t="s">
        <v>2483</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2" customFormat="1" ht="14.25">
      <c r="A22" s="2091" t="s">
        <v>2484</v>
      </c>
      <c r="B22" s="2218" t="s">
        <v>2485</v>
      </c>
      <c r="C22" s="1487" t="s">
        <v>2486</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8"/>
      <c r="M22" s="2968"/>
      <c r="N22" s="2217" t="s">
        <v>2487</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1" t="s">
        <v>2488</v>
      </c>
      <c r="B23" s="2219" t="s">
        <v>2489</v>
      </c>
      <c r="C23" s="931" t="e">
        <f>ROUND(IF(G3&gt;1,IF(I3&lt;7,SUMPRODUCT((B93:B98=I3)*(C92:N92=G2)*(C93:N98)),SUMIF(C92:N92,G2,C100:N100)),IF(I3&lt;7,SUMPRODUCT((B102:B107=I3)*(C92:N92=G2)*(C102:N107)),SUMIF(C92:N92,G2,C109:N109))),4)</f>
        <v>#DIV/0!</v>
      </c>
      <c r="D23" s="2187"/>
      <c r="E23" s="2187"/>
      <c r="F23" s="2220"/>
      <c r="G23" s="2221"/>
      <c r="H23" s="2222"/>
      <c r="I23" s="2223"/>
      <c r="J23" s="2224"/>
      <c r="K23" s="1233"/>
      <c r="L23" s="2133"/>
      <c r="M23" s="2133"/>
      <c r="N23" s="2217" t="s">
        <v>2490</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2491</v>
      </c>
      <c r="C24" s="845">
        <f>SUMIF(A45:A88,E2,B45:B88)</f>
        <v>0</v>
      </c>
      <c r="D24" s="2198"/>
      <c r="E24" s="2225"/>
      <c r="F24" s="2225"/>
      <c r="G24" s="2225"/>
      <c r="H24" s="2225"/>
      <c r="I24" s="2225"/>
      <c r="J24" s="2226"/>
      <c r="K24" s="1240"/>
      <c r="L24" s="2968"/>
      <c r="M24" s="2968"/>
      <c r="N24" s="2227" t="s">
        <v>2492</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6" t="s">
        <v>632</v>
      </c>
      <c r="B25" s="2228" t="s">
        <v>2493</v>
      </c>
      <c r="C25" s="851"/>
      <c r="D25" s="2162"/>
      <c r="E25" s="2162"/>
      <c r="F25" s="2229"/>
      <c r="G25" s="2162"/>
      <c r="H25" s="2162"/>
      <c r="I25" s="2162"/>
      <c r="J25" s="2163"/>
      <c r="K25" s="1233"/>
      <c r="L25" s="2133"/>
      <c r="M25" s="2133"/>
      <c r="N25" s="2963" t="s">
        <v>2494</v>
      </c>
      <c r="O25" s="2964"/>
      <c r="P25" s="2965">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3"/>
      <c r="L26" s="2966" t="s">
        <v>2393</v>
      </c>
      <c r="M26" s="2160" t="s">
        <v>2458</v>
      </c>
      <c r="N26" s="2160" t="s">
        <v>2459</v>
      </c>
      <c r="O26" s="2160" t="s">
        <v>2460</v>
      </c>
      <c r="P26" s="2967" t="s">
        <v>2461</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2496</v>
      </c>
      <c r="C27" s="852" t="e">
        <f>E30+SUM(I33:I39)</f>
        <v>#DIV/0!</v>
      </c>
      <c r="D27" s="2235"/>
      <c r="E27" s="2236"/>
      <c r="F27" s="2237"/>
      <c r="G27" s="2236"/>
      <c r="H27" s="2236"/>
      <c r="I27" s="2236"/>
      <c r="J27" s="2238"/>
      <c r="K27" s="1233"/>
      <c r="L27" s="2193"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3"/>
      <c r="L28" s="2194"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2501</v>
      </c>
      <c r="C29" s="180" t="e">
        <f>ROUND(C5*C18*C19*C20*C21*C24,0)</f>
        <v>#DIV/0!</v>
      </c>
      <c r="D29" s="2246"/>
      <c r="E29" s="860" t="e">
        <f>ROUND(C29*D29/10000,0)</f>
        <v>#DIV/0!</v>
      </c>
      <c r="F29" s="2247" t="s">
        <v>2502</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2503</v>
      </c>
      <c r="C30" s="193" t="e">
        <f>ROUND(IF(E2="工业",C29*M39,C29*M38),0)</f>
        <v>#DIV/0!</v>
      </c>
      <c r="D30" s="2252"/>
      <c r="E30" s="860" t="e">
        <f>ROUND(C30*D30/10000,0)</f>
        <v>#DIV/0!</v>
      </c>
      <c r="F30" s="2253" t="s">
        <v>2504</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2505</v>
      </c>
      <c r="C31" s="2258" t="s">
        <v>2506</v>
      </c>
      <c r="D31" s="2175"/>
      <c r="E31" s="2258"/>
      <c r="F31" s="2258"/>
      <c r="G31" s="2173" t="s">
        <v>2507</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62"/>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67"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63"/>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63"/>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6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64"/>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64"/>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2514</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2516</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2517</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2461</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2621</v>
      </c>
      <c r="C41" s="348" t="e">
        <f>ROUND(POWER(1+E41,H41-G41)*(POWER(1+E41,G41)-1)/(POWER(1+E41,H41)-1),4)</f>
        <v>#DIV/0!</v>
      </c>
      <c r="D41" s="176" t="s">
        <v>2468</v>
      </c>
      <c r="E41" s="2319">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2518</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2519</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2520</v>
      </c>
      <c r="B47" s="1486" t="s">
        <v>2521</v>
      </c>
      <c r="C47" s="1486" t="s">
        <v>2522</v>
      </c>
      <c r="D47" s="1486" t="s">
        <v>2523</v>
      </c>
      <c r="E47" s="758" t="s">
        <v>2524</v>
      </c>
      <c r="F47" s="2280" t="s">
        <v>2525</v>
      </c>
      <c r="G47" s="1486" t="s">
        <v>574</v>
      </c>
      <c r="H47" s="2281"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79" t="s">
        <v>2528</v>
      </c>
      <c r="B48" s="2282" t="str">
        <f>估价对象房地状况!C4</f>
        <v>估价对象位于XX商圈，周边商业氛围成熟，人流量大，商业繁华度好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9" t="s">
        <v>2529</v>
      </c>
      <c r="B49" s="2283" t="str">
        <f>估价对象房地状况!C18</f>
        <v>估价对象周边道路状况、公共交通通达情况、停车便捷程度，综合评价交通便捷度较好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2530</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2531</v>
      </c>
      <c r="B51" s="2284" t="s">
        <v>2532</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2533</v>
      </c>
      <c r="B52" s="2283">
        <f>估价对象房地状况!C24</f>
        <v>0</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2534</v>
      </c>
      <c r="B53" s="2285" t="s">
        <v>2535</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6" t="s">
        <v>2536</v>
      </c>
      <c r="B54" s="1447" t="str">
        <f>估价对象房地状况!C21</f>
        <v>估价对象所在区域公共配套设施齐备情况</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2537</v>
      </c>
      <c r="B55" s="2283" t="str">
        <f>估价对象房地状况!C22</f>
        <v>估价对象所在区域基础设施水平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7" t="s">
        <v>2538</v>
      </c>
      <c r="B56" s="2288" t="str">
        <f>估价对象房地状况!C20</f>
        <v>区域自然环境：；人文环境；综合评价环境状况一般</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2539</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2520</v>
      </c>
      <c r="B58" s="1486"/>
      <c r="C58" s="1486" t="s">
        <v>2522</v>
      </c>
      <c r="D58" s="1486" t="s">
        <v>2523</v>
      </c>
      <c r="E58" s="758" t="s">
        <v>2524</v>
      </c>
      <c r="F58" s="2280" t="s">
        <v>2540</v>
      </c>
      <c r="G58" s="1486" t="s">
        <v>574</v>
      </c>
      <c r="H58" s="2281"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79" t="s">
        <v>2541</v>
      </c>
      <c r="B59" s="2282" t="str">
        <f>估价对象房地状况!C17</f>
        <v>估价对象位于XX商圈，周边办公楼项目较多，入驻率高，办公集聚程度较好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9" t="s">
        <v>2529</v>
      </c>
      <c r="B60" s="2283" t="str">
        <f>估价对象房地状况!C18</f>
        <v>估价对象周边道路状况、公共交通通达情况、停车便捷程度，综合评价交通便捷度较好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2530</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2531</v>
      </c>
      <c r="B62" s="2284" t="s">
        <v>2532</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2533</v>
      </c>
      <c r="B63" s="2283">
        <f>估价对象房地状况!C24</f>
        <v>0</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2534</v>
      </c>
      <c r="B64" s="2285" t="s">
        <v>2535</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9" t="s">
        <v>2536</v>
      </c>
      <c r="B65" s="1447" t="str">
        <f>估价对象房地状况!C21</f>
        <v>估价对象所在区域公共配套设施齐备情况</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2537</v>
      </c>
      <c r="B66" s="1447" t="str">
        <f>估价对象房地状况!C22</f>
        <v>估价对象所在区域基础设施水平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7" t="s">
        <v>2538</v>
      </c>
      <c r="B67" s="2289" t="str">
        <f>估价对象房地状况!C20</f>
        <v>区域自然环境：；人文环境；综合评价环境状况一般</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2542</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2520</v>
      </c>
      <c r="B69" s="1486"/>
      <c r="C69" s="1486" t="s">
        <v>2522</v>
      </c>
      <c r="D69" s="1486" t="s">
        <v>2523</v>
      </c>
      <c r="E69" s="758" t="s">
        <v>2524</v>
      </c>
      <c r="F69" s="2280" t="s">
        <v>2540</v>
      </c>
      <c r="G69" s="1486" t="s">
        <v>574</v>
      </c>
      <c r="H69" s="2281"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79" t="s">
        <v>2543</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9" t="s">
        <v>2529</v>
      </c>
      <c r="B71" s="2283" t="str">
        <f>估价对象房地状况!C18</f>
        <v>估价对象周边道路状况、公共交通通达情况、停车便捷程度，综合评价交通便捷度较好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2530</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2544</v>
      </c>
      <c r="B73" s="2283">
        <f>估价对象房地状况!C24</f>
        <v>0</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9" t="s">
        <v>2536</v>
      </c>
      <c r="B74" s="1447" t="str">
        <f>估价对象房地状况!C21</f>
        <v>估价对象所在区域公共配套设施齐备情况</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2537</v>
      </c>
      <c r="B75" s="1447" t="str">
        <f>估价对象房地状况!C22</f>
        <v>估价对象所在区域基础设施水平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2534</v>
      </c>
      <c r="B76" s="2285" t="s">
        <v>2535</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c r="A77" s="2279" t="s">
        <v>2538</v>
      </c>
      <c r="B77" s="2282" t="str">
        <f>估价对象房地状况!C20</f>
        <v>区域自然环境：；人文环境；综合评价环境状况一般</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2545</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2546</v>
      </c>
      <c r="B79" s="2276">
        <f>1+E81</f>
        <v>1</v>
      </c>
      <c r="C79" s="753"/>
      <c r="D79" s="753"/>
      <c r="E79" s="754"/>
      <c r="F79" s="2278"/>
      <c r="G79" s="6"/>
      <c r="H79" s="6"/>
      <c r="I79" s="6"/>
      <c r="J79" s="7"/>
      <c r="K79" s="7"/>
      <c r="L79" s="7"/>
      <c r="M79" s="7"/>
      <c r="N79" s="7"/>
      <c r="Z79" s="2134"/>
      <c r="AA79" s="2200"/>
      <c r="AG79" s="1235"/>
      <c r="AK79" s="2200"/>
    </row>
    <row r="80" spans="1:37" ht="24.75">
      <c r="A80" s="2279" t="s">
        <v>2520</v>
      </c>
      <c r="B80" s="1486"/>
      <c r="C80" s="1486" t="s">
        <v>2522</v>
      </c>
      <c r="D80" s="1486" t="s">
        <v>2523</v>
      </c>
      <c r="E80" s="758" t="s">
        <v>2524</v>
      </c>
      <c r="F80" s="2280" t="s">
        <v>2540</v>
      </c>
      <c r="G80" s="1486" t="s">
        <v>574</v>
      </c>
      <c r="H80" s="2281" t="s">
        <v>2526</v>
      </c>
      <c r="I80" s="1486" t="s">
        <v>2527</v>
      </c>
      <c r="J80" s="560" t="s">
        <v>2177</v>
      </c>
      <c r="K80" s="560" t="s">
        <v>2178</v>
      </c>
      <c r="L80" s="560" t="s">
        <v>2179</v>
      </c>
      <c r="M80" s="560" t="s">
        <v>2180</v>
      </c>
      <c r="N80" s="560" t="s">
        <v>2181</v>
      </c>
      <c r="Z80" s="2134"/>
      <c r="AA80" s="2200"/>
      <c r="AG80" s="1235"/>
      <c r="AK80" s="2200"/>
    </row>
    <row r="81" spans="1:37" ht="38.25">
      <c r="A81" s="2279" t="s">
        <v>2547</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2529</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2530</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2544</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2536</v>
      </c>
      <c r="B85" s="1447"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2537</v>
      </c>
      <c r="B86" s="1447"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2534</v>
      </c>
      <c r="B87" s="2285" t="s">
        <v>2548</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2549</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54" t="s">
        <v>2550</v>
      </c>
      <c r="B90" s="3554"/>
      <c r="C90" s="3554"/>
      <c r="D90" s="3554"/>
      <c r="E90" s="3554"/>
      <c r="F90" s="3554"/>
      <c r="G90" s="3554"/>
      <c r="H90" s="3554"/>
      <c r="I90" s="3554"/>
      <c r="J90" s="3554"/>
      <c r="K90" s="2293"/>
      <c r="L90" s="2293"/>
      <c r="M90" s="2293"/>
      <c r="N90" s="2293"/>
    </row>
    <row r="91" spans="1:37">
      <c r="A91" s="3556" t="s">
        <v>2551</v>
      </c>
      <c r="B91" s="3556" t="s">
        <v>2552</v>
      </c>
      <c r="C91" s="2247" t="s">
        <v>2553</v>
      </c>
      <c r="D91" s="2248"/>
      <c r="E91" s="2248"/>
      <c r="F91" s="2248"/>
      <c r="G91" s="2248"/>
      <c r="H91" s="2248"/>
      <c r="I91" s="2248"/>
      <c r="J91" s="2294"/>
      <c r="K91" s="2295"/>
      <c r="L91" s="2295"/>
      <c r="M91" s="2295"/>
      <c r="N91" s="2295"/>
    </row>
    <row r="92" spans="1:37">
      <c r="A92" s="3556"/>
      <c r="B92" s="3556"/>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57"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58"/>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58"/>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58"/>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58"/>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58"/>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58"/>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59"/>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57" t="s">
        <v>2555</v>
      </c>
      <c r="B101" s="2300" t="s">
        <v>2556</v>
      </c>
      <c r="C101" s="2301" t="e">
        <f>$G$3</f>
        <v>#DIV/0!</v>
      </c>
      <c r="D101" s="2301" t="e">
        <f t="shared" ref="D101:N101" si="31">$G$3</f>
        <v>#DIV/0!</v>
      </c>
      <c r="E101" s="2301" t="e">
        <f t="shared" si="31"/>
        <v>#DIV/0!</v>
      </c>
      <c r="F101" s="2301" t="e">
        <f t="shared" si="31"/>
        <v>#DIV/0!</v>
      </c>
      <c r="G101" s="2301" t="e">
        <f t="shared" si="31"/>
        <v>#DIV/0!</v>
      </c>
      <c r="H101" s="2301" t="e">
        <f t="shared" si="31"/>
        <v>#DIV/0!</v>
      </c>
      <c r="I101" s="2301" t="e">
        <f t="shared" si="31"/>
        <v>#DIV/0!</v>
      </c>
      <c r="J101" s="2301" t="e">
        <f t="shared" si="31"/>
        <v>#DIV/0!</v>
      </c>
      <c r="K101" s="2301" t="e">
        <f t="shared" si="31"/>
        <v>#DIV/0!</v>
      </c>
      <c r="L101" s="2301" t="e">
        <f t="shared" si="31"/>
        <v>#DIV/0!</v>
      </c>
      <c r="M101" s="2301" t="e">
        <f t="shared" si="31"/>
        <v>#DIV/0!</v>
      </c>
      <c r="N101" s="2301" t="e">
        <f t="shared" si="31"/>
        <v>#DIV/0!</v>
      </c>
    </row>
    <row r="102" spans="1:14">
      <c r="A102" s="3558"/>
      <c r="B102" s="2296">
        <v>1</v>
      </c>
      <c r="C102" s="2297" t="e">
        <f>1.9362/C101</f>
        <v>#DIV/0!</v>
      </c>
      <c r="D102" s="2297" t="e">
        <f>1.9362/D101</f>
        <v>#DIV/0!</v>
      </c>
      <c r="E102" s="2297" t="e">
        <f>1.8629/E101</f>
        <v>#DIV/0!</v>
      </c>
      <c r="F102" s="2297" t="e">
        <f>1.8629/F101</f>
        <v>#DIV/0!</v>
      </c>
      <c r="G102" s="2297" t="e">
        <f>1.8629/G101</f>
        <v>#DIV/0!</v>
      </c>
      <c r="H102" s="2297" t="e">
        <f>1.8629/H101</f>
        <v>#DIV/0!</v>
      </c>
      <c r="I102" s="2297" t="e">
        <f>1.8629/I101</f>
        <v>#DIV/0!</v>
      </c>
      <c r="J102" s="2297" t="e">
        <f>1.942/J101</f>
        <v>#DIV/0!</v>
      </c>
      <c r="K102" s="2297" t="e">
        <f>1.942/K101</f>
        <v>#DIV/0!</v>
      </c>
      <c r="L102" s="2297" t="e">
        <f>1.942/L101</f>
        <v>#DIV/0!</v>
      </c>
      <c r="M102" s="2297" t="e">
        <f>1.942/M101</f>
        <v>#DIV/0!</v>
      </c>
      <c r="N102" s="2297" t="e">
        <f>1.942/N101</f>
        <v>#DIV/0!</v>
      </c>
    </row>
    <row r="103" spans="1:14">
      <c r="A103" s="3558"/>
      <c r="B103" s="2296">
        <v>2</v>
      </c>
      <c r="C103" s="2297" t="e">
        <f>1.4198/C101</f>
        <v>#DIV/0!</v>
      </c>
      <c r="D103" s="2297" t="e">
        <f>1.4198/D101</f>
        <v>#DIV/0!</v>
      </c>
      <c r="E103" s="2297" t="e">
        <f>1.3372/E101</f>
        <v>#DIV/0!</v>
      </c>
      <c r="F103" s="2297" t="e">
        <f>1.3372/F101</f>
        <v>#DIV/0!</v>
      </c>
      <c r="G103" s="2297" t="e">
        <f>1.3372/G101</f>
        <v>#DIV/0!</v>
      </c>
      <c r="H103" s="2297" t="e">
        <f>1.3372/H101</f>
        <v>#DIV/0!</v>
      </c>
      <c r="I103" s="2297" t="e">
        <f>1.3372/I101</f>
        <v>#DIV/0!</v>
      </c>
      <c r="J103" s="2297" t="e">
        <f>1.2799/J101</f>
        <v>#DIV/0!</v>
      </c>
      <c r="K103" s="2297" t="e">
        <f>1.2799/K101</f>
        <v>#DIV/0!</v>
      </c>
      <c r="L103" s="2297" t="e">
        <f>1.2799/L101</f>
        <v>#DIV/0!</v>
      </c>
      <c r="M103" s="2297" t="e">
        <f>1.2799/M101</f>
        <v>#DIV/0!</v>
      </c>
      <c r="N103" s="2297" t="e">
        <f>1.2799/N101</f>
        <v>#DIV/0!</v>
      </c>
    </row>
    <row r="104" spans="1:14">
      <c r="A104" s="3558"/>
      <c r="B104" s="2296">
        <v>3</v>
      </c>
      <c r="C104" s="2297" t="e">
        <f>1.1594/C101</f>
        <v>#DIV/0!</v>
      </c>
      <c r="D104" s="2297" t="e">
        <f>1.1594/D101</f>
        <v>#DIV/0!</v>
      </c>
      <c r="E104" s="2297" t="e">
        <f>1.0788/E101</f>
        <v>#DIV/0!</v>
      </c>
      <c r="F104" s="2297" t="e">
        <f>1.0788/F101</f>
        <v>#DIV/0!</v>
      </c>
      <c r="G104" s="2297" t="e">
        <f>1.0788/G101</f>
        <v>#DIV/0!</v>
      </c>
      <c r="H104" s="2297" t="e">
        <f>1.0788/H101</f>
        <v>#DIV/0!</v>
      </c>
      <c r="I104" s="2297" t="e">
        <f>1.0788/I101</f>
        <v>#DIV/0!</v>
      </c>
      <c r="J104" s="2297" t="e">
        <f>1.0072/J101</f>
        <v>#DIV/0!</v>
      </c>
      <c r="K104" s="2297" t="e">
        <f>1.0072/K101</f>
        <v>#DIV/0!</v>
      </c>
      <c r="L104" s="2297" t="e">
        <f>1.0072/L101</f>
        <v>#DIV/0!</v>
      </c>
      <c r="M104" s="2297" t="e">
        <f>1.0072/M101</f>
        <v>#DIV/0!</v>
      </c>
      <c r="N104" s="2297" t="e">
        <f>1.0072/N101</f>
        <v>#DIV/0!</v>
      </c>
    </row>
    <row r="105" spans="1:14">
      <c r="A105" s="3558"/>
      <c r="B105" s="2296">
        <v>4</v>
      </c>
      <c r="C105" s="2297" t="e">
        <f>0.9622/C101</f>
        <v>#DIV/0!</v>
      </c>
      <c r="D105" s="2297" t="e">
        <f>0.9622/D101</f>
        <v>#DIV/0!</v>
      </c>
      <c r="E105" s="2297" t="e">
        <f>0.8656/E101</f>
        <v>#DIV/0!</v>
      </c>
      <c r="F105" s="2297" t="e">
        <f>0.8656/F101</f>
        <v>#DIV/0!</v>
      </c>
      <c r="G105" s="2297" t="e">
        <f>0.8656/G101</f>
        <v>#DIV/0!</v>
      </c>
      <c r="H105" s="2297" t="e">
        <f>0.8656/H101</f>
        <v>#DIV/0!</v>
      </c>
      <c r="I105" s="2297" t="e">
        <f>0.8656/I101</f>
        <v>#DIV/0!</v>
      </c>
      <c r="J105" s="2297" t="e">
        <f>0.7525/J101</f>
        <v>#DIV/0!</v>
      </c>
      <c r="K105" s="2297" t="e">
        <f>0.7525/K101</f>
        <v>#DIV/0!</v>
      </c>
      <c r="L105" s="2297" t="e">
        <f>0.7525/L101</f>
        <v>#DIV/0!</v>
      </c>
      <c r="M105" s="2297" t="e">
        <f>0.7525/M101</f>
        <v>#DIV/0!</v>
      </c>
      <c r="N105" s="2297" t="e">
        <f>0.7525/N101</f>
        <v>#DIV/0!</v>
      </c>
    </row>
    <row r="106" spans="1:14">
      <c r="A106" s="3558"/>
      <c r="B106" s="2296">
        <v>5</v>
      </c>
      <c r="C106" s="2297" t="e">
        <f>0.8417/C101</f>
        <v>#DIV/0!</v>
      </c>
      <c r="D106" s="2297" t="e">
        <f>0.8417/D101</f>
        <v>#DIV/0!</v>
      </c>
      <c r="E106" s="2297" t="e">
        <f>0.7371/E101</f>
        <v>#DIV/0!</v>
      </c>
      <c r="F106" s="2297" t="e">
        <f>0.7371/F101</f>
        <v>#DIV/0!</v>
      </c>
      <c r="G106" s="2297" t="e">
        <f>0.7371/G101</f>
        <v>#DIV/0!</v>
      </c>
      <c r="H106" s="2297" t="e">
        <f>0.7371/H101</f>
        <v>#DIV/0!</v>
      </c>
      <c r="I106" s="2297" t="e">
        <f>0.7371/I101</f>
        <v>#DIV/0!</v>
      </c>
      <c r="J106" s="2297" t="e">
        <f>0.5659/J101</f>
        <v>#DIV/0!</v>
      </c>
      <c r="K106" s="2297" t="e">
        <f>0.5659/K101</f>
        <v>#DIV/0!</v>
      </c>
      <c r="L106" s="2297" t="e">
        <f>0.5659/L101</f>
        <v>#DIV/0!</v>
      </c>
      <c r="M106" s="2297" t="e">
        <f>0.5659/M101</f>
        <v>#DIV/0!</v>
      </c>
      <c r="N106" s="2297" t="e">
        <f>0.5659/N101</f>
        <v>#DIV/0!</v>
      </c>
    </row>
    <row r="107" spans="1:14">
      <c r="A107" s="3558"/>
      <c r="B107" s="2296">
        <v>6</v>
      </c>
      <c r="C107" s="2297" t="e">
        <f>0.7608/C101</f>
        <v>#DIV/0!</v>
      </c>
      <c r="D107" s="2297" t="e">
        <f>0.7608/D101</f>
        <v>#DIV/0!</v>
      </c>
      <c r="E107" s="2297" t="e">
        <f>0.6482/E101</f>
        <v>#DIV/0!</v>
      </c>
      <c r="F107" s="2297" t="e">
        <f>0.6482/F101</f>
        <v>#DIV/0!</v>
      </c>
      <c r="G107" s="2297" t="e">
        <f>0.6482/G101</f>
        <v>#DIV/0!</v>
      </c>
      <c r="H107" s="2297" t="e">
        <f>0.6482/H101</f>
        <v>#DIV/0!</v>
      </c>
      <c r="I107" s="2297" t="e">
        <f>0.6482/I101</f>
        <v>#DIV/0!</v>
      </c>
      <c r="J107" s="2297" t="e">
        <f>0.4525/J101</f>
        <v>#DIV/0!</v>
      </c>
      <c r="K107" s="2297" t="e">
        <f>0.4525/K101</f>
        <v>#DIV/0!</v>
      </c>
      <c r="L107" s="2297" t="e">
        <f>0.4525/L101</f>
        <v>#DIV/0!</v>
      </c>
      <c r="M107" s="2297" t="e">
        <f>0.4525/M101</f>
        <v>#DIV/0!</v>
      </c>
      <c r="N107" s="2297" t="e">
        <f>0.4525/N101</f>
        <v>#DIV/0!</v>
      </c>
    </row>
    <row r="108" spans="1:14">
      <c r="A108" s="3558"/>
      <c r="B108" s="3560"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59"/>
      <c r="B109" s="3561"/>
      <c r="C109" s="2299" t="e">
        <f>(-0.163*(C108^2)-0.59*C108+7617)*(10^(-4))/C101</f>
        <v>#DIV/0!</v>
      </c>
      <c r="D109" s="2299" t="e">
        <f>(-0.163*(D108^2)-0.59*D108+7617)*(10^(-4))/D101</f>
        <v>#DIV/0!</v>
      </c>
      <c r="E109" s="2299" t="e">
        <f>(-0.161*(E108^2)-7.509*E108+6533)*(10^(-4))/E101</f>
        <v>#DIV/0!</v>
      </c>
      <c r="F109" s="2299" t="e">
        <f>(-0.161*(F108^2)-7.509*F108+6533)*(10^(-4))/F101</f>
        <v>#DIV/0!</v>
      </c>
      <c r="G109" s="2299" t="e">
        <f>(-0.161*(G108^2)-7.509*G108+6533)*(10^(-4))/G101</f>
        <v>#DIV/0!</v>
      </c>
      <c r="H109" s="2299" t="e">
        <f>(-0.161*(H108^2)-7.509*H108+6533)*(10^(-4))/H101</f>
        <v>#DIV/0!</v>
      </c>
      <c r="I109" s="2299" t="e">
        <f>(-0.161*(I108^2)-7.509*I108+6533)*(10^(-4))/I101</f>
        <v>#DIV/0!</v>
      </c>
      <c r="J109" s="2299" t="e">
        <f>(-0.214*(J108^2)-21.991*J108+4665)*(10^(-4))/J101</f>
        <v>#DIV/0!</v>
      </c>
      <c r="K109" s="2299" t="e">
        <f>(-0.214*(K108^2)-21.991*K108+4665)*(10^(-4))/K101</f>
        <v>#DIV/0!</v>
      </c>
      <c r="L109" s="2299" t="e">
        <f>(-0.214*(L108^2)-21.991*L108+4665)*(10^(-4))/L101</f>
        <v>#DIV/0!</v>
      </c>
      <c r="M109" s="2299" t="e">
        <f>(-0.214*(M108^2)-21.991*M108+4665)*(10^(-4))/M101</f>
        <v>#DIV/0!</v>
      </c>
      <c r="N109" s="2299" t="e">
        <f>(-0.214*(N108^2)-21.991*N108+4665)*(10^(-4))/N101</f>
        <v>#DIV/0!</v>
      </c>
    </row>
    <row r="110" spans="1:14">
      <c r="A110" s="3555" t="s">
        <v>2558</v>
      </c>
      <c r="B110" s="3555"/>
      <c r="C110" s="3555"/>
      <c r="D110" s="3555"/>
      <c r="E110" s="3555"/>
      <c r="F110" s="3555"/>
      <c r="G110" s="3555"/>
      <c r="H110" s="3555"/>
      <c r="I110" s="3555"/>
      <c r="J110" s="3555"/>
      <c r="K110" s="2302"/>
      <c r="L110" s="2302"/>
      <c r="M110" s="2302"/>
      <c r="N110" s="2302"/>
    </row>
    <row r="112" spans="1:14" ht="13.5" thickBot="1"/>
    <row r="113" spans="1:13" ht="25.5" thickBot="1">
      <c r="A113" s="824" t="s">
        <v>2559</v>
      </c>
      <c r="B113" s="1178" t="e">
        <f>G3</f>
        <v>#DIV/0!</v>
      </c>
      <c r="C113" s="825" t="s">
        <v>2560</v>
      </c>
      <c r="D113" s="826" t="e">
        <f>SUMPRODUCT((A115:A118=F113)*(B114:M114=H113)*B115:M118)</f>
        <v>#DIV/0!</v>
      </c>
      <c r="E113" s="2138" t="s">
        <v>2393</v>
      </c>
      <c r="F113" s="2304">
        <f>E2</f>
        <v>0</v>
      </c>
      <c r="G113" s="2138" t="s">
        <v>2394</v>
      </c>
      <c r="H113" s="2304">
        <f>G2</f>
        <v>0</v>
      </c>
      <c r="I113" s="2138"/>
      <c r="J113" s="2305"/>
      <c r="K113" s="2305"/>
      <c r="L113" s="2305"/>
      <c r="M113" s="2305"/>
    </row>
    <row r="114" spans="1:13">
      <c r="A114" s="829"/>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30" t="s">
        <v>2458</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2459</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2460</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5" thickBot="1">
      <c r="A118" s="670" t="s">
        <v>2461</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2950</v>
      </c>
      <c r="B19" s="3209" t="s">
        <v>2951</v>
      </c>
      <c r="C19" s="3210" t="s">
        <v>2952</v>
      </c>
      <c r="D19" s="3211"/>
      <c r="E19" s="3205" t="s">
        <v>2953</v>
      </c>
      <c r="F19" s="803"/>
      <c r="G19" s="803"/>
    </row>
    <row r="20" spans="1:13" s="808" customFormat="1" ht="19.5" customHeight="1">
      <c r="A20" s="3577" t="s">
        <v>2954</v>
      </c>
      <c r="B20" s="3572" t="s">
        <v>2955</v>
      </c>
      <c r="C20" s="3212" t="s">
        <v>2956</v>
      </c>
      <c r="D20" s="3213"/>
      <c r="E20" s="3214">
        <v>1</v>
      </c>
      <c r="F20" s="3215" t="s">
        <v>2957</v>
      </c>
      <c r="G20" s="807"/>
      <c r="H20" s="801"/>
      <c r="I20" s="801"/>
    </row>
    <row r="21" spans="1:13" s="808" customFormat="1" ht="19.5" customHeight="1">
      <c r="A21" s="3578"/>
      <c r="B21" s="3571"/>
      <c r="C21" s="805" t="s">
        <v>2958</v>
      </c>
      <c r="D21" s="806"/>
      <c r="E21" s="3216">
        <v>1</v>
      </c>
      <c r="F21" s="3215" t="s">
        <v>2959</v>
      </c>
      <c r="G21" s="807"/>
      <c r="H21" s="801"/>
      <c r="I21" s="801"/>
    </row>
    <row r="22" spans="1:13" s="808" customFormat="1" ht="19.5" customHeight="1">
      <c r="A22" s="3578"/>
      <c r="B22" s="3571"/>
      <c r="C22" s="805" t="s">
        <v>2960</v>
      </c>
      <c r="D22" s="806"/>
      <c r="E22" s="3216">
        <v>0.9</v>
      </c>
      <c r="F22" s="3215" t="s">
        <v>2961</v>
      </c>
      <c r="G22" s="807"/>
      <c r="H22" s="801"/>
      <c r="I22" s="801"/>
    </row>
    <row r="23" spans="1:13" s="808" customFormat="1" ht="19.5" customHeight="1">
      <c r="A23" s="3578"/>
      <c r="B23" s="3571"/>
      <c r="C23" s="805" t="s">
        <v>2962</v>
      </c>
      <c r="D23" s="806"/>
      <c r="E23" s="3216">
        <v>0.9</v>
      </c>
      <c r="F23" s="3215" t="s">
        <v>2963</v>
      </c>
      <c r="G23" s="807"/>
      <c r="H23" s="801"/>
      <c r="I23" s="801"/>
    </row>
    <row r="24" spans="1:13" s="808" customFormat="1" ht="19.5" customHeight="1">
      <c r="A24" s="3578"/>
      <c r="B24" s="3571"/>
      <c r="C24" s="805" t="s">
        <v>2964</v>
      </c>
      <c r="D24" s="806"/>
      <c r="E24" s="3216">
        <v>0.8</v>
      </c>
      <c r="F24" s="3215" t="s">
        <v>2965</v>
      </c>
      <c r="G24" s="807"/>
      <c r="H24" s="801"/>
      <c r="I24" s="801"/>
    </row>
    <row r="25" spans="1:13" s="808" customFormat="1" ht="19.5" customHeight="1" thickBot="1">
      <c r="A25" s="3579"/>
      <c r="B25" s="3573"/>
      <c r="C25" s="3217" t="s">
        <v>2966</v>
      </c>
      <c r="D25" s="3218"/>
      <c r="E25" s="3219">
        <v>0.8</v>
      </c>
      <c r="F25" s="3215" t="s">
        <v>2967</v>
      </c>
      <c r="G25" s="807"/>
      <c r="H25" s="801"/>
      <c r="I25" s="801"/>
    </row>
    <row r="26" spans="1:13" s="808" customFormat="1" ht="19.5" customHeight="1" thickBot="1">
      <c r="A26" s="3220" t="s">
        <v>2968</v>
      </c>
      <c r="B26" s="3221" t="s">
        <v>2955</v>
      </c>
      <c r="C26" s="3222" t="s">
        <v>2969</v>
      </c>
      <c r="D26" s="3223"/>
      <c r="E26" s="3224">
        <v>1</v>
      </c>
      <c r="F26" s="3215" t="s">
        <v>2970</v>
      </c>
      <c r="G26" s="807"/>
      <c r="H26" s="801"/>
      <c r="I26" s="801"/>
    </row>
    <row r="27" spans="1:13" s="808" customFormat="1" ht="19.5" customHeight="1">
      <c r="A27" s="3574" t="s">
        <v>2971</v>
      </c>
      <c r="B27" s="3572" t="s">
        <v>2971</v>
      </c>
      <c r="C27" s="3212" t="s">
        <v>2972</v>
      </c>
      <c r="D27" s="3213"/>
      <c r="E27" s="3214">
        <v>1</v>
      </c>
      <c r="F27" s="3215" t="s">
        <v>2973</v>
      </c>
      <c r="G27" s="807"/>
      <c r="H27" s="801"/>
      <c r="I27" s="801"/>
    </row>
    <row r="28" spans="1:13" s="808" customFormat="1" ht="19.5" customHeight="1">
      <c r="A28" s="3575"/>
      <c r="B28" s="3571"/>
      <c r="C28" s="805" t="s">
        <v>2974</v>
      </c>
      <c r="D28" s="806"/>
      <c r="E28" s="3216">
        <v>1</v>
      </c>
      <c r="F28" s="3215" t="s">
        <v>2975</v>
      </c>
      <c r="G28" s="807"/>
      <c r="H28" s="801"/>
      <c r="I28" s="801"/>
    </row>
    <row r="29" spans="1:13" s="808" customFormat="1" ht="19.5" customHeight="1">
      <c r="A29" s="3575"/>
      <c r="B29" s="3571"/>
      <c r="C29" s="805" t="s">
        <v>2976</v>
      </c>
      <c r="D29" s="806"/>
      <c r="E29" s="3216">
        <v>0.8</v>
      </c>
      <c r="F29" s="3215" t="s">
        <v>2977</v>
      </c>
      <c r="G29" s="807"/>
      <c r="H29" s="801"/>
      <c r="I29" s="801"/>
    </row>
    <row r="30" spans="1:13" s="808" customFormat="1" ht="19.5" customHeight="1">
      <c r="A30" s="3575"/>
      <c r="B30" s="3571"/>
      <c r="C30" s="805" t="s">
        <v>2978</v>
      </c>
      <c r="D30" s="806"/>
      <c r="E30" s="3216">
        <v>0.8</v>
      </c>
      <c r="F30" s="3215" t="s">
        <v>2979</v>
      </c>
      <c r="G30" s="807"/>
      <c r="H30" s="801"/>
      <c r="I30" s="801"/>
    </row>
    <row r="31" spans="1:13" s="808" customFormat="1" ht="19.5" customHeight="1">
      <c r="A31" s="3575"/>
      <c r="B31" s="3571"/>
      <c r="C31" s="805" t="s">
        <v>2980</v>
      </c>
      <c r="D31" s="806"/>
      <c r="E31" s="3216">
        <v>0.8</v>
      </c>
      <c r="F31" s="3215" t="s">
        <v>2981</v>
      </c>
      <c r="G31" s="807"/>
      <c r="H31" s="801"/>
      <c r="I31" s="801"/>
    </row>
    <row r="32" spans="1:13" s="808" customFormat="1" ht="19.5" customHeight="1">
      <c r="A32" s="3575"/>
      <c r="B32" s="3571"/>
      <c r="C32" s="805" t="s">
        <v>2982</v>
      </c>
      <c r="D32" s="806"/>
      <c r="E32" s="3216">
        <v>0.7</v>
      </c>
      <c r="F32" s="3215" t="s">
        <v>2983</v>
      </c>
      <c r="G32" s="807"/>
      <c r="H32" s="801"/>
      <c r="I32" s="801"/>
    </row>
    <row r="33" spans="1:9" s="808" customFormat="1" ht="19.5" customHeight="1">
      <c r="A33" s="3575"/>
      <c r="B33" s="3571"/>
      <c r="C33" s="805" t="s">
        <v>2984</v>
      </c>
      <c r="D33" s="806"/>
      <c r="E33" s="3216">
        <v>0.8</v>
      </c>
      <c r="F33" s="3215" t="s">
        <v>2985</v>
      </c>
      <c r="G33" s="807"/>
      <c r="H33" s="801"/>
      <c r="I33" s="801"/>
    </row>
    <row r="34" spans="1:9" s="808" customFormat="1" ht="19.5" customHeight="1">
      <c r="A34" s="3575"/>
      <c r="B34" s="3571"/>
      <c r="C34" s="805" t="s">
        <v>2986</v>
      </c>
      <c r="D34" s="806"/>
      <c r="E34" s="3216">
        <v>0.6</v>
      </c>
      <c r="F34" s="3215" t="s">
        <v>2987</v>
      </c>
      <c r="G34" s="807"/>
      <c r="H34" s="801"/>
      <c r="I34" s="801"/>
    </row>
    <row r="35" spans="1:9" s="808" customFormat="1" ht="19.5" customHeight="1">
      <c r="A35" s="3575"/>
      <c r="B35" s="3571"/>
      <c r="C35" s="805" t="s">
        <v>2988</v>
      </c>
      <c r="D35" s="806"/>
      <c r="E35" s="3216">
        <v>0.2</v>
      </c>
      <c r="F35" s="3215" t="s">
        <v>2989</v>
      </c>
      <c r="G35" s="807"/>
      <c r="H35" s="801"/>
      <c r="I35" s="801"/>
    </row>
    <row r="36" spans="1:9" s="808" customFormat="1" ht="19.5" customHeight="1">
      <c r="A36" s="3575"/>
      <c r="B36" s="3571"/>
      <c r="C36" s="805" t="s">
        <v>2990</v>
      </c>
      <c r="D36" s="806"/>
      <c r="E36" s="3216">
        <v>0.2</v>
      </c>
      <c r="F36" s="3215" t="s">
        <v>2991</v>
      </c>
      <c r="G36" s="807"/>
      <c r="H36" s="801"/>
      <c r="I36" s="801"/>
    </row>
    <row r="37" spans="1:9" s="808" customFormat="1" ht="19.5" customHeight="1">
      <c r="A37" s="3575"/>
      <c r="B37" s="3569" t="s">
        <v>2992</v>
      </c>
      <c r="C37" s="805" t="s">
        <v>2993</v>
      </c>
      <c r="D37" s="806"/>
      <c r="E37" s="3216">
        <v>0.6</v>
      </c>
      <c r="F37" s="3215" t="s">
        <v>2994</v>
      </c>
      <c r="G37" s="807"/>
      <c r="H37" s="801"/>
      <c r="I37" s="801"/>
    </row>
    <row r="38" spans="1:9" s="808" customFormat="1" ht="19.5" customHeight="1">
      <c r="A38" s="3575"/>
      <c r="B38" s="3571"/>
      <c r="C38" s="805" t="s">
        <v>2995</v>
      </c>
      <c r="D38" s="806"/>
      <c r="E38" s="3216">
        <v>0.6</v>
      </c>
      <c r="F38" s="3215" t="s">
        <v>2996</v>
      </c>
      <c r="G38" s="807"/>
      <c r="H38" s="801"/>
      <c r="I38" s="801"/>
    </row>
    <row r="39" spans="1:9" s="808" customFormat="1" ht="19.5" customHeight="1" thickBot="1">
      <c r="A39" s="3576"/>
      <c r="B39" s="3573"/>
      <c r="C39" s="3217" t="s">
        <v>2997</v>
      </c>
      <c r="D39" s="3218"/>
      <c r="E39" s="3219">
        <v>0.6</v>
      </c>
      <c r="F39" s="3215" t="s">
        <v>2998</v>
      </c>
      <c r="G39" s="807"/>
      <c r="H39" s="801"/>
      <c r="I39" s="801"/>
    </row>
    <row r="40" spans="1:9" s="808" customFormat="1" ht="19.5" customHeight="1" thickBot="1">
      <c r="A40" s="3220" t="s">
        <v>2999</v>
      </c>
      <c r="B40" s="3221" t="s">
        <v>2999</v>
      </c>
      <c r="C40" s="3222" t="s">
        <v>3000</v>
      </c>
      <c r="D40" s="3223"/>
      <c r="E40" s="3224">
        <v>1</v>
      </c>
      <c r="F40" s="3215" t="s">
        <v>3001</v>
      </c>
      <c r="G40" s="807"/>
      <c r="H40" s="801"/>
      <c r="I40" s="801"/>
    </row>
    <row r="41" spans="1:9" s="808" customFormat="1" ht="19.5" customHeight="1">
      <c r="A41" s="3577" t="s">
        <v>3002</v>
      </c>
      <c r="B41" s="3572" t="s">
        <v>3003</v>
      </c>
      <c r="C41" s="3212" t="s">
        <v>3004</v>
      </c>
      <c r="D41" s="3213"/>
      <c r="E41" s="3214">
        <v>1</v>
      </c>
      <c r="F41" s="3215" t="s">
        <v>3005</v>
      </c>
      <c r="G41" s="807"/>
      <c r="H41" s="801"/>
      <c r="I41" s="801"/>
    </row>
    <row r="42" spans="1:9" s="808" customFormat="1" ht="19.5" customHeight="1">
      <c r="A42" s="3578"/>
      <c r="B42" s="3571"/>
      <c r="C42" s="805" t="s">
        <v>3006</v>
      </c>
      <c r="D42" s="806"/>
      <c r="E42" s="3216">
        <v>1</v>
      </c>
      <c r="F42" s="3215" t="s">
        <v>3007</v>
      </c>
      <c r="G42" s="807"/>
      <c r="H42" s="801"/>
      <c r="I42" s="801"/>
    </row>
    <row r="43" spans="1:9" s="808" customFormat="1" ht="19.5" customHeight="1">
      <c r="A43" s="3578"/>
      <c r="B43" s="3570"/>
      <c r="C43" s="805" t="s">
        <v>3008</v>
      </c>
      <c r="D43" s="806"/>
      <c r="E43" s="3216">
        <v>1.5</v>
      </c>
      <c r="F43" s="3215" t="s">
        <v>3009</v>
      </c>
      <c r="G43" s="807"/>
      <c r="H43" s="801"/>
      <c r="I43" s="801"/>
    </row>
    <row r="44" spans="1:9" s="808" customFormat="1" ht="19.5" customHeight="1">
      <c r="A44" s="3578"/>
      <c r="B44" s="3225" t="s">
        <v>2971</v>
      </c>
      <c r="C44" s="805" t="s">
        <v>3010</v>
      </c>
      <c r="D44" s="806"/>
      <c r="E44" s="3216">
        <v>2</v>
      </c>
      <c r="F44" s="3215" t="s">
        <v>3011</v>
      </c>
      <c r="G44" s="807"/>
      <c r="H44" s="801"/>
      <c r="I44" s="801"/>
    </row>
    <row r="45" spans="1:9" s="808" customFormat="1" ht="19.5" customHeight="1">
      <c r="A45" s="3578"/>
      <c r="B45" s="3569" t="s">
        <v>3012</v>
      </c>
      <c r="C45" s="805" t="s">
        <v>3013</v>
      </c>
      <c r="D45" s="806"/>
      <c r="E45" s="3216">
        <v>1</v>
      </c>
      <c r="F45" s="3215" t="s">
        <v>3014</v>
      </c>
      <c r="G45" s="807"/>
      <c r="H45" s="801"/>
      <c r="I45" s="801"/>
    </row>
    <row r="46" spans="1:9" s="808" customFormat="1" ht="19.5" customHeight="1">
      <c r="A46" s="3578"/>
      <c r="B46" s="3571"/>
      <c r="C46" s="805" t="s">
        <v>3015</v>
      </c>
      <c r="D46" s="806"/>
      <c r="E46" s="3216">
        <v>1</v>
      </c>
      <c r="F46" s="3215" t="s">
        <v>3016</v>
      </c>
      <c r="G46" s="807"/>
      <c r="H46" s="801"/>
      <c r="I46" s="801"/>
    </row>
    <row r="47" spans="1:9" s="808" customFormat="1" ht="19.5" customHeight="1">
      <c r="A47" s="3578"/>
      <c r="B47" s="3571"/>
      <c r="C47" s="805" t="s">
        <v>3017</v>
      </c>
      <c r="D47" s="806"/>
      <c r="E47" s="3216">
        <v>1</v>
      </c>
      <c r="F47" s="3215" t="s">
        <v>3018</v>
      </c>
      <c r="G47" s="807"/>
      <c r="H47" s="801"/>
      <c r="I47" s="801"/>
    </row>
    <row r="48" spans="1:9" s="808" customFormat="1" ht="19.5" customHeight="1">
      <c r="A48" s="3578"/>
      <c r="B48" s="3571"/>
      <c r="C48" s="805" t="s">
        <v>3019</v>
      </c>
      <c r="D48" s="806"/>
      <c r="E48" s="3216">
        <v>1</v>
      </c>
      <c r="F48" s="3215" t="s">
        <v>3020</v>
      </c>
      <c r="G48" s="807"/>
      <c r="H48" s="801"/>
      <c r="I48" s="801"/>
    </row>
    <row r="49" spans="1:9" s="808" customFormat="1" ht="19.5" customHeight="1">
      <c r="A49" s="3578"/>
      <c r="B49" s="3571"/>
      <c r="C49" s="805" t="s">
        <v>3021</v>
      </c>
      <c r="D49" s="806"/>
      <c r="E49" s="3216">
        <v>1</v>
      </c>
      <c r="F49" s="3215" t="s">
        <v>3022</v>
      </c>
      <c r="G49" s="807"/>
      <c r="H49" s="801"/>
      <c r="I49" s="801"/>
    </row>
    <row r="50" spans="1:9" s="808" customFormat="1" ht="19.5" customHeight="1">
      <c r="A50" s="3578"/>
      <c r="B50" s="3571"/>
      <c r="C50" s="805" t="s">
        <v>3023</v>
      </c>
      <c r="D50" s="806"/>
      <c r="E50" s="3216">
        <v>1</v>
      </c>
      <c r="F50" s="3215" t="s">
        <v>3024</v>
      </c>
      <c r="G50" s="807"/>
      <c r="H50" s="801"/>
      <c r="I50" s="801"/>
    </row>
    <row r="51" spans="1:9" s="808" customFormat="1" ht="19.5" customHeight="1" thickBot="1">
      <c r="A51" s="3579"/>
      <c r="B51" s="3573"/>
      <c r="C51" s="3217" t="s">
        <v>3025</v>
      </c>
      <c r="D51" s="3218"/>
      <c r="E51" s="3219">
        <v>1</v>
      </c>
      <c r="F51" s="3215"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5">
        <v>1</v>
      </c>
      <c r="B73" s="3569" t="s">
        <v>3028</v>
      </c>
      <c r="C73" s="3205" t="s">
        <v>3029</v>
      </c>
      <c r="D73" s="3205" t="s">
        <v>3030</v>
      </c>
      <c r="E73" s="3226">
        <v>0.2</v>
      </c>
      <c r="F73" s="3225">
        <v>25</v>
      </c>
    </row>
    <row r="74" spans="1:7" s="801" customFormat="1" ht="24">
      <c r="A74" s="3225">
        <v>2</v>
      </c>
      <c r="B74" s="3571"/>
      <c r="C74" s="3205" t="s">
        <v>3031</v>
      </c>
      <c r="D74" s="3205" t="s">
        <v>3032</v>
      </c>
      <c r="E74" s="3226">
        <v>0.2</v>
      </c>
      <c r="F74" s="3225">
        <v>25</v>
      </c>
    </row>
    <row r="75" spans="1:7" s="801" customFormat="1" ht="24">
      <c r="A75" s="3225">
        <v>3</v>
      </c>
      <c r="B75" s="3571"/>
      <c r="C75" s="3205" t="s">
        <v>3033</v>
      </c>
      <c r="D75" s="3205" t="s">
        <v>3034</v>
      </c>
      <c r="E75" s="3226">
        <v>0.2</v>
      </c>
      <c r="F75" s="3225">
        <v>25</v>
      </c>
    </row>
    <row r="76" spans="1:7" s="801" customFormat="1" ht="13.5">
      <c r="A76" s="3225">
        <v>4</v>
      </c>
      <c r="B76" s="3571"/>
      <c r="C76" s="3205" t="s">
        <v>3035</v>
      </c>
      <c r="D76" s="3205" t="s">
        <v>3036</v>
      </c>
      <c r="E76" s="3226">
        <v>0.15</v>
      </c>
      <c r="F76" s="3225">
        <v>20</v>
      </c>
    </row>
    <row r="77" spans="1:7" s="801" customFormat="1" ht="24">
      <c r="A77" s="3225">
        <v>5</v>
      </c>
      <c r="B77" s="3571"/>
      <c r="C77" s="3205" t="s">
        <v>3037</v>
      </c>
      <c r="D77" s="3205" t="s">
        <v>3038</v>
      </c>
      <c r="E77" s="3226">
        <v>0.15</v>
      </c>
      <c r="F77" s="3225">
        <v>20</v>
      </c>
    </row>
    <row r="78" spans="1:7" s="801" customFormat="1" ht="24">
      <c r="A78" s="3225">
        <v>6</v>
      </c>
      <c r="B78" s="3571"/>
      <c r="C78" s="3205" t="s">
        <v>3039</v>
      </c>
      <c r="D78" s="3205" t="s">
        <v>3040</v>
      </c>
      <c r="E78" s="3226">
        <v>0.15</v>
      </c>
      <c r="F78" s="3225">
        <v>20</v>
      </c>
    </row>
    <row r="79" spans="1:7" s="801" customFormat="1" ht="24">
      <c r="A79" s="3225">
        <v>7</v>
      </c>
      <c r="B79" s="3571"/>
      <c r="C79" s="3205" t="s">
        <v>3041</v>
      </c>
      <c r="D79" s="3205" t="s">
        <v>3042</v>
      </c>
      <c r="E79" s="3226">
        <v>0.15</v>
      </c>
      <c r="F79" s="3225">
        <v>20</v>
      </c>
    </row>
    <row r="80" spans="1:7" s="801" customFormat="1" ht="24">
      <c r="A80" s="3225">
        <v>8</v>
      </c>
      <c r="B80" s="3571"/>
      <c r="C80" s="3205" t="s">
        <v>3043</v>
      </c>
      <c r="D80" s="3205" t="s">
        <v>3044</v>
      </c>
      <c r="E80" s="3226">
        <v>0.1</v>
      </c>
      <c r="F80" s="3225">
        <v>15</v>
      </c>
    </row>
    <row r="81" spans="1:6" s="801" customFormat="1" ht="24">
      <c r="A81" s="3225">
        <v>9</v>
      </c>
      <c r="B81" s="3571"/>
      <c r="C81" s="3205" t="s">
        <v>3045</v>
      </c>
      <c r="D81" s="3205" t="s">
        <v>3046</v>
      </c>
      <c r="E81" s="3226">
        <v>0.1</v>
      </c>
      <c r="F81" s="3225">
        <v>15</v>
      </c>
    </row>
    <row r="82" spans="1:6" s="801" customFormat="1" ht="24">
      <c r="A82" s="3225">
        <v>10</v>
      </c>
      <c r="B82" s="3571"/>
      <c r="C82" s="3205" t="s">
        <v>3047</v>
      </c>
      <c r="D82" s="3205" t="s">
        <v>3048</v>
      </c>
      <c r="E82" s="3226">
        <v>0.1</v>
      </c>
      <c r="F82" s="3225">
        <v>15</v>
      </c>
    </row>
    <row r="83" spans="1:6" s="801" customFormat="1" ht="24">
      <c r="A83" s="3225">
        <v>11</v>
      </c>
      <c r="B83" s="3571"/>
      <c r="C83" s="3205" t="s">
        <v>3049</v>
      </c>
      <c r="D83" s="3205" t="s">
        <v>3050</v>
      </c>
      <c r="E83" s="3226">
        <v>0.1</v>
      </c>
      <c r="F83" s="3225">
        <v>15</v>
      </c>
    </row>
    <row r="84" spans="1:6" s="801" customFormat="1" ht="24">
      <c r="A84" s="3225">
        <v>12</v>
      </c>
      <c r="B84" s="3571"/>
      <c r="C84" s="3205" t="s">
        <v>3051</v>
      </c>
      <c r="D84" s="3205" t="s">
        <v>3052</v>
      </c>
      <c r="E84" s="3226">
        <v>0.1</v>
      </c>
      <c r="F84" s="3225">
        <v>15</v>
      </c>
    </row>
    <row r="85" spans="1:6" s="801" customFormat="1" ht="13.5">
      <c r="A85" s="3225">
        <v>13</v>
      </c>
      <c r="B85" s="3571"/>
      <c r="C85" s="3205" t="s">
        <v>3053</v>
      </c>
      <c r="D85" s="3205" t="s">
        <v>3054</v>
      </c>
      <c r="E85" s="3226">
        <v>0.1</v>
      </c>
      <c r="F85" s="3225">
        <v>15</v>
      </c>
    </row>
    <row r="86" spans="1:6" s="801" customFormat="1" ht="13.5">
      <c r="A86" s="3225">
        <v>14</v>
      </c>
      <c r="B86" s="3571"/>
      <c r="C86" s="3205" t="s">
        <v>3055</v>
      </c>
      <c r="D86" s="3205" t="s">
        <v>3056</v>
      </c>
      <c r="E86" s="3226">
        <v>0.1</v>
      </c>
      <c r="F86" s="3225">
        <v>15</v>
      </c>
    </row>
    <row r="87" spans="1:6" s="801" customFormat="1" ht="13.5">
      <c r="A87" s="3225">
        <v>15</v>
      </c>
      <c r="B87" s="3571"/>
      <c r="C87" s="3205" t="s">
        <v>3057</v>
      </c>
      <c r="D87" s="3205" t="s">
        <v>3058</v>
      </c>
      <c r="E87" s="3226">
        <v>0.1</v>
      </c>
      <c r="F87" s="3225">
        <v>15</v>
      </c>
    </row>
    <row r="88" spans="1:6" s="801" customFormat="1" ht="24">
      <c r="A88" s="3225">
        <v>16</v>
      </c>
      <c r="B88" s="3571"/>
      <c r="C88" s="3205" t="s">
        <v>3059</v>
      </c>
      <c r="D88" s="3205" t="s">
        <v>3060</v>
      </c>
      <c r="E88" s="3226">
        <v>0.1</v>
      </c>
      <c r="F88" s="3225">
        <v>15</v>
      </c>
    </row>
    <row r="89" spans="1:6" s="801" customFormat="1" ht="24">
      <c r="A89" s="3225">
        <v>17</v>
      </c>
      <c r="B89" s="3570"/>
      <c r="C89" s="3205" t="s">
        <v>3061</v>
      </c>
      <c r="D89" s="3205" t="s">
        <v>3062</v>
      </c>
      <c r="E89" s="3226">
        <v>0.1</v>
      </c>
      <c r="F89" s="3225">
        <v>15</v>
      </c>
    </row>
    <row r="90" spans="1:6" s="801" customFormat="1" ht="13.5">
      <c r="A90" s="3225">
        <v>18</v>
      </c>
      <c r="B90" s="3569" t="s">
        <v>3063</v>
      </c>
      <c r="C90" s="3205" t="s">
        <v>3064</v>
      </c>
      <c r="D90" s="3205" t="s">
        <v>3065</v>
      </c>
      <c r="E90" s="3226">
        <v>0.2</v>
      </c>
      <c r="F90" s="3225">
        <v>25</v>
      </c>
    </row>
    <row r="91" spans="1:6" s="801" customFormat="1" ht="24">
      <c r="A91" s="3225">
        <v>19</v>
      </c>
      <c r="B91" s="3571"/>
      <c r="C91" s="3205" t="s">
        <v>3066</v>
      </c>
      <c r="D91" s="3205" t="s">
        <v>3067</v>
      </c>
      <c r="E91" s="3226">
        <v>0.2</v>
      </c>
      <c r="F91" s="3225">
        <v>25</v>
      </c>
    </row>
    <row r="92" spans="1:6" s="801" customFormat="1" ht="13.5">
      <c r="A92" s="3225">
        <v>20</v>
      </c>
      <c r="B92" s="3571"/>
      <c r="C92" s="3205" t="s">
        <v>3068</v>
      </c>
      <c r="D92" s="3205" t="s">
        <v>3069</v>
      </c>
      <c r="E92" s="3226">
        <v>0.15</v>
      </c>
      <c r="F92" s="3225">
        <v>20</v>
      </c>
    </row>
    <row r="93" spans="1:6" s="801" customFormat="1" ht="24">
      <c r="A93" s="3225">
        <v>21</v>
      </c>
      <c r="B93" s="3571"/>
      <c r="C93" s="3205" t="s">
        <v>3070</v>
      </c>
      <c r="D93" s="3205" t="s">
        <v>3071</v>
      </c>
      <c r="E93" s="3226">
        <v>0.15</v>
      </c>
      <c r="F93" s="3225">
        <v>20</v>
      </c>
    </row>
    <row r="94" spans="1:6" s="801" customFormat="1" ht="24">
      <c r="A94" s="3225">
        <v>22</v>
      </c>
      <c r="B94" s="3571"/>
      <c r="C94" s="3205" t="s">
        <v>3072</v>
      </c>
      <c r="D94" s="3205" t="s">
        <v>3073</v>
      </c>
      <c r="E94" s="3226">
        <v>0.15</v>
      </c>
      <c r="F94" s="3225">
        <v>20</v>
      </c>
    </row>
    <row r="95" spans="1:6" s="801" customFormat="1" ht="36">
      <c r="A95" s="3225">
        <v>23</v>
      </c>
      <c r="B95" s="3571"/>
      <c r="C95" s="3205" t="s">
        <v>3074</v>
      </c>
      <c r="D95" s="3205" t="s">
        <v>3075</v>
      </c>
      <c r="E95" s="3226">
        <v>0.15</v>
      </c>
      <c r="F95" s="3225">
        <v>20</v>
      </c>
    </row>
    <row r="96" spans="1:6" s="801" customFormat="1" ht="13.5">
      <c r="A96" s="3225">
        <v>24</v>
      </c>
      <c r="B96" s="3571"/>
      <c r="C96" s="3205" t="s">
        <v>3076</v>
      </c>
      <c r="D96" s="3205" t="s">
        <v>3077</v>
      </c>
      <c r="E96" s="3226">
        <v>0.1</v>
      </c>
      <c r="F96" s="3225">
        <v>15</v>
      </c>
    </row>
    <row r="97" spans="1:6" s="801" customFormat="1" ht="24">
      <c r="A97" s="3225">
        <v>25</v>
      </c>
      <c r="B97" s="3571"/>
      <c r="C97" s="3205" t="s">
        <v>3078</v>
      </c>
      <c r="D97" s="3205" t="s">
        <v>3079</v>
      </c>
      <c r="E97" s="3226">
        <v>0.1</v>
      </c>
      <c r="F97" s="3225">
        <v>15</v>
      </c>
    </row>
    <row r="98" spans="1:6" s="801" customFormat="1" ht="24">
      <c r="A98" s="3225">
        <v>26</v>
      </c>
      <c r="B98" s="3571"/>
      <c r="C98" s="3205" t="s">
        <v>3080</v>
      </c>
      <c r="D98" s="3205" t="s">
        <v>3081</v>
      </c>
      <c r="E98" s="3226">
        <v>0.1</v>
      </c>
      <c r="F98" s="3225">
        <v>15</v>
      </c>
    </row>
    <row r="99" spans="1:6" s="801" customFormat="1" ht="24">
      <c r="A99" s="3225">
        <v>27</v>
      </c>
      <c r="B99" s="3571"/>
      <c r="C99" s="3205" t="s">
        <v>3082</v>
      </c>
      <c r="D99" s="3205" t="s">
        <v>3083</v>
      </c>
      <c r="E99" s="3226">
        <v>0.1</v>
      </c>
      <c r="F99" s="3225">
        <v>15</v>
      </c>
    </row>
    <row r="100" spans="1:6" s="801" customFormat="1" ht="24">
      <c r="A100" s="3225">
        <v>28</v>
      </c>
      <c r="B100" s="3571"/>
      <c r="C100" s="3205" t="s">
        <v>3084</v>
      </c>
      <c r="D100" s="3205" t="s">
        <v>3085</v>
      </c>
      <c r="E100" s="3226">
        <v>0.1</v>
      </c>
      <c r="F100" s="3225">
        <v>15</v>
      </c>
    </row>
    <row r="101" spans="1:6" s="801" customFormat="1" ht="24">
      <c r="A101" s="3225">
        <v>29</v>
      </c>
      <c r="B101" s="3571"/>
      <c r="C101" s="3205" t="s">
        <v>3086</v>
      </c>
      <c r="D101" s="3205" t="s">
        <v>3087</v>
      </c>
      <c r="E101" s="3226">
        <v>0.1</v>
      </c>
      <c r="F101" s="3225">
        <v>15</v>
      </c>
    </row>
    <row r="102" spans="1:6" s="801" customFormat="1" ht="24">
      <c r="A102" s="3225">
        <v>30</v>
      </c>
      <c r="B102" s="3571"/>
      <c r="C102" s="3205" t="s">
        <v>3088</v>
      </c>
      <c r="D102" s="3205" t="s">
        <v>3089</v>
      </c>
      <c r="E102" s="3226">
        <v>0.1</v>
      </c>
      <c r="F102" s="3225">
        <v>15</v>
      </c>
    </row>
    <row r="103" spans="1:6" s="801" customFormat="1" ht="24">
      <c r="A103" s="3225">
        <v>31</v>
      </c>
      <c r="B103" s="3571"/>
      <c r="C103" s="3205" t="s">
        <v>3090</v>
      </c>
      <c r="D103" s="3205" t="s">
        <v>3091</v>
      </c>
      <c r="E103" s="3226">
        <v>0.1</v>
      </c>
      <c r="F103" s="3225">
        <v>15</v>
      </c>
    </row>
    <row r="104" spans="1:6" s="801" customFormat="1" ht="24">
      <c r="A104" s="3225">
        <v>32</v>
      </c>
      <c r="B104" s="3571"/>
      <c r="C104" s="3205" t="s">
        <v>3092</v>
      </c>
      <c r="D104" s="3205" t="s">
        <v>3093</v>
      </c>
      <c r="E104" s="3226">
        <v>0.1</v>
      </c>
      <c r="F104" s="3225">
        <v>15</v>
      </c>
    </row>
    <row r="105" spans="1:6" s="801" customFormat="1" ht="24">
      <c r="A105" s="3225">
        <v>33</v>
      </c>
      <c r="B105" s="3571"/>
      <c r="C105" s="3205" t="s">
        <v>3094</v>
      </c>
      <c r="D105" s="3205" t="s">
        <v>3095</v>
      </c>
      <c r="E105" s="3226">
        <v>0.1</v>
      </c>
      <c r="F105" s="3225">
        <v>15</v>
      </c>
    </row>
    <row r="106" spans="1:6" s="801" customFormat="1" ht="24">
      <c r="A106" s="3225">
        <v>34</v>
      </c>
      <c r="B106" s="3570"/>
      <c r="C106" s="3205" t="s">
        <v>3096</v>
      </c>
      <c r="D106" s="3205" t="s">
        <v>3097</v>
      </c>
      <c r="E106" s="3226">
        <v>0.1</v>
      </c>
      <c r="F106" s="3225">
        <v>15</v>
      </c>
    </row>
    <row r="107" spans="1:6" s="801" customFormat="1" ht="24">
      <c r="A107" s="3225">
        <v>35</v>
      </c>
      <c r="B107" s="3569" t="s">
        <v>3098</v>
      </c>
      <c r="C107" s="3225" t="s">
        <v>3099</v>
      </c>
      <c r="D107" s="3205" t="s">
        <v>3100</v>
      </c>
      <c r="E107" s="3226">
        <v>0.15</v>
      </c>
      <c r="F107" s="3225">
        <v>20</v>
      </c>
    </row>
    <row r="108" spans="1:6" s="801" customFormat="1" ht="24">
      <c r="A108" s="3225">
        <v>36</v>
      </c>
      <c r="B108" s="3571"/>
      <c r="C108" s="3225" t="s">
        <v>3101</v>
      </c>
      <c r="D108" s="3205" t="s">
        <v>3102</v>
      </c>
      <c r="E108" s="3226">
        <v>0.15</v>
      </c>
      <c r="F108" s="3225">
        <v>20</v>
      </c>
    </row>
    <row r="109" spans="1:6" s="801" customFormat="1" ht="24">
      <c r="A109" s="3225">
        <v>37</v>
      </c>
      <c r="B109" s="3571"/>
      <c r="C109" s="3225" t="s">
        <v>3103</v>
      </c>
      <c r="D109" s="3205" t="s">
        <v>3104</v>
      </c>
      <c r="E109" s="3226">
        <v>0.15</v>
      </c>
      <c r="F109" s="3225">
        <v>20</v>
      </c>
    </row>
    <row r="110" spans="1:6" s="801" customFormat="1" ht="13.5">
      <c r="A110" s="3225">
        <v>38</v>
      </c>
      <c r="B110" s="3571"/>
      <c r="C110" s="3225" t="s">
        <v>3105</v>
      </c>
      <c r="D110" s="3205" t="s">
        <v>3106</v>
      </c>
      <c r="E110" s="3226">
        <v>0.1</v>
      </c>
      <c r="F110" s="3225">
        <v>15</v>
      </c>
    </row>
    <row r="111" spans="1:6" s="801" customFormat="1" ht="24">
      <c r="A111" s="3225">
        <v>39</v>
      </c>
      <c r="B111" s="3571"/>
      <c r="C111" s="3225" t="s">
        <v>3107</v>
      </c>
      <c r="D111" s="3205" t="s">
        <v>3108</v>
      </c>
      <c r="E111" s="3226">
        <v>0.1</v>
      </c>
      <c r="F111" s="3225">
        <v>15</v>
      </c>
    </row>
    <row r="112" spans="1:6" s="801" customFormat="1" ht="24">
      <c r="A112" s="3225">
        <v>40</v>
      </c>
      <c r="B112" s="3570"/>
      <c r="C112" s="3225" t="s">
        <v>3109</v>
      </c>
      <c r="D112" s="3205" t="s">
        <v>3110</v>
      </c>
      <c r="E112" s="3226">
        <v>0.1</v>
      </c>
      <c r="F112" s="3225">
        <v>15</v>
      </c>
    </row>
    <row r="113" spans="1:6" s="801" customFormat="1" ht="24">
      <c r="A113" s="3225">
        <v>41</v>
      </c>
      <c r="B113" s="3568" t="s">
        <v>3111</v>
      </c>
      <c r="C113" s="3225" t="s">
        <v>3112</v>
      </c>
      <c r="D113" s="3205" t="s">
        <v>3113</v>
      </c>
      <c r="E113" s="3226">
        <v>0.1</v>
      </c>
      <c r="F113" s="3225">
        <v>15</v>
      </c>
    </row>
    <row r="114" spans="1:6" s="801" customFormat="1" ht="13.5">
      <c r="A114" s="3225">
        <v>42</v>
      </c>
      <c r="B114" s="3568"/>
      <c r="C114" s="3225" t="s">
        <v>3114</v>
      </c>
      <c r="D114" s="3205" t="s">
        <v>3115</v>
      </c>
      <c r="E114" s="3226">
        <v>0.1</v>
      </c>
      <c r="F114" s="3225">
        <v>15</v>
      </c>
    </row>
    <row r="115" spans="1:6" s="801" customFormat="1" ht="24">
      <c r="A115" s="3225">
        <v>43</v>
      </c>
      <c r="B115" s="3568"/>
      <c r="C115" s="3225" t="s">
        <v>3116</v>
      </c>
      <c r="D115" s="3205" t="s">
        <v>3117</v>
      </c>
      <c r="E115" s="3226">
        <v>0.1</v>
      </c>
      <c r="F115" s="3225">
        <v>15</v>
      </c>
    </row>
    <row r="116" spans="1:6" s="801" customFormat="1" ht="24">
      <c r="A116" s="3225">
        <v>44</v>
      </c>
      <c r="B116" s="3569" t="s">
        <v>3118</v>
      </c>
      <c r="C116" s="3225" t="s">
        <v>3119</v>
      </c>
      <c r="D116" s="3205" t="s">
        <v>3120</v>
      </c>
      <c r="E116" s="3226">
        <v>0.1</v>
      </c>
      <c r="F116" s="3225">
        <v>15</v>
      </c>
    </row>
    <row r="117" spans="1:6" s="801" customFormat="1" ht="24">
      <c r="A117" s="3225">
        <v>45</v>
      </c>
      <c r="B117" s="3570"/>
      <c r="C117" s="3205" t="s">
        <v>3121</v>
      </c>
      <c r="D117" s="3205" t="s">
        <v>3122</v>
      </c>
      <c r="E117" s="3226">
        <v>0.1</v>
      </c>
      <c r="F117" s="3225">
        <v>15</v>
      </c>
    </row>
    <row r="118" spans="1:6" s="801" customFormat="1" ht="24">
      <c r="A118" s="3225">
        <v>46</v>
      </c>
      <c r="B118" s="3569" t="s">
        <v>3123</v>
      </c>
      <c r="C118" s="3225" t="s">
        <v>3124</v>
      </c>
      <c r="D118" s="3205" t="s">
        <v>3125</v>
      </c>
      <c r="E118" s="3226">
        <v>0.1</v>
      </c>
      <c r="F118" s="3225">
        <v>15</v>
      </c>
    </row>
    <row r="119" spans="1:6" s="801" customFormat="1" ht="24">
      <c r="A119" s="3225">
        <v>47</v>
      </c>
      <c r="B119" s="3570"/>
      <c r="C119" s="3225" t="s">
        <v>3126</v>
      </c>
      <c r="D119" s="3205" t="s">
        <v>3127</v>
      </c>
      <c r="E119" s="3226">
        <v>0.1</v>
      </c>
      <c r="F119" s="3225">
        <v>15</v>
      </c>
    </row>
    <row r="120" spans="1:6" s="801" customFormat="1" ht="24">
      <c r="A120" s="3225">
        <v>48</v>
      </c>
      <c r="B120" s="3569" t="s">
        <v>3128</v>
      </c>
      <c r="C120" s="3225" t="s">
        <v>3129</v>
      </c>
      <c r="D120" s="3205" t="s">
        <v>3130</v>
      </c>
      <c r="E120" s="3226">
        <v>0.1</v>
      </c>
      <c r="F120" s="3225">
        <v>15</v>
      </c>
    </row>
    <row r="121" spans="1:6" s="801" customFormat="1" ht="13.5">
      <c r="A121" s="3225">
        <v>49</v>
      </c>
      <c r="B121" s="3570"/>
      <c r="C121" s="3225" t="s">
        <v>3131</v>
      </c>
      <c r="D121" s="3205" t="s">
        <v>3132</v>
      </c>
      <c r="E121" s="3226">
        <v>0.1</v>
      </c>
      <c r="F121" s="3225">
        <v>15</v>
      </c>
    </row>
    <row r="122" spans="1:6" s="801" customFormat="1" ht="24">
      <c r="A122" s="3225">
        <v>50</v>
      </c>
      <c r="B122" s="3568" t="s">
        <v>3133</v>
      </c>
      <c r="C122" s="3225" t="s">
        <v>3134</v>
      </c>
      <c r="D122" s="3205" t="s">
        <v>3135</v>
      </c>
      <c r="E122" s="3226">
        <v>0.1</v>
      </c>
      <c r="F122" s="3225">
        <v>15</v>
      </c>
    </row>
    <row r="123" spans="1:6" s="801" customFormat="1" ht="24">
      <c r="A123" s="3225">
        <v>51</v>
      </c>
      <c r="B123" s="3568"/>
      <c r="C123" s="3225" t="s">
        <v>3136</v>
      </c>
      <c r="D123" s="3205" t="s">
        <v>3137</v>
      </c>
      <c r="E123" s="3226">
        <v>0.1</v>
      </c>
      <c r="F123" s="3225">
        <v>15</v>
      </c>
    </row>
    <row r="124" spans="1:6" s="801" customFormat="1" ht="24">
      <c r="A124" s="3225">
        <v>52</v>
      </c>
      <c r="B124" s="3568" t="s">
        <v>3138</v>
      </c>
      <c r="C124" s="3225" t="s">
        <v>3139</v>
      </c>
      <c r="D124" s="3205" t="s">
        <v>3140</v>
      </c>
      <c r="E124" s="3226">
        <v>0.1</v>
      </c>
      <c r="F124" s="3225">
        <v>15</v>
      </c>
    </row>
    <row r="125" spans="1:6" s="801" customFormat="1" ht="24">
      <c r="A125" s="3225">
        <v>53</v>
      </c>
      <c r="B125" s="3568"/>
      <c r="C125" s="3225" t="s">
        <v>3141</v>
      </c>
      <c r="D125" s="3205" t="s">
        <v>3142</v>
      </c>
      <c r="E125" s="3226">
        <v>0.1</v>
      </c>
      <c r="F125" s="3225">
        <v>15</v>
      </c>
    </row>
    <row r="126" spans="1:6" ht="24">
      <c r="A126" s="3225">
        <v>54</v>
      </c>
      <c r="B126" s="3225" t="s">
        <v>3143</v>
      </c>
      <c r="C126" s="3225" t="s">
        <v>3144</v>
      </c>
      <c r="D126" s="3205" t="s">
        <v>3145</v>
      </c>
      <c r="E126" s="3226">
        <v>0.1</v>
      </c>
      <c r="F126" s="3225">
        <v>15</v>
      </c>
    </row>
    <row r="127" spans="1:6" ht="13.5">
      <c r="A127" s="3225">
        <v>55</v>
      </c>
      <c r="B127" s="3568" t="s">
        <v>3146</v>
      </c>
      <c r="C127" s="3225" t="s">
        <v>3147</v>
      </c>
      <c r="D127" s="3205" t="s">
        <v>3148</v>
      </c>
      <c r="E127" s="3226">
        <v>0.1</v>
      </c>
      <c r="F127" s="3225">
        <v>15</v>
      </c>
    </row>
    <row r="128" spans="1:6" ht="13.5">
      <c r="A128" s="3225">
        <v>56</v>
      </c>
      <c r="B128" s="3568"/>
      <c r="C128" s="3225" t="s">
        <v>3149</v>
      </c>
      <c r="D128" s="3205" t="s">
        <v>3150</v>
      </c>
      <c r="E128" s="3226">
        <v>0.1</v>
      </c>
      <c r="F128" s="3225">
        <v>15</v>
      </c>
    </row>
    <row r="129" spans="1:6" ht="24">
      <c r="A129" s="3225">
        <v>57</v>
      </c>
      <c r="B129" s="3568"/>
      <c r="C129" s="3225" t="s">
        <v>3151</v>
      </c>
      <c r="D129" s="3205" t="s">
        <v>3152</v>
      </c>
      <c r="E129" s="3226">
        <v>0.1</v>
      </c>
      <c r="F129" s="3225">
        <v>15</v>
      </c>
    </row>
    <row r="130" spans="1:6" ht="24">
      <c r="A130" s="3225">
        <v>58</v>
      </c>
      <c r="B130" s="3568" t="s">
        <v>3153</v>
      </c>
      <c r="C130" s="3225" t="s">
        <v>3154</v>
      </c>
      <c r="D130" s="3205" t="s">
        <v>3155</v>
      </c>
      <c r="E130" s="3226">
        <v>0.1</v>
      </c>
      <c r="F130" s="3225">
        <v>15</v>
      </c>
    </row>
    <row r="131" spans="1:6" ht="24">
      <c r="A131" s="3225">
        <v>59</v>
      </c>
      <c r="B131" s="3568"/>
      <c r="C131" s="3225" t="s">
        <v>3156</v>
      </c>
      <c r="D131" s="3205" t="s">
        <v>3157</v>
      </c>
      <c r="E131" s="3226">
        <v>0.1</v>
      </c>
      <c r="F131" s="3225">
        <v>15</v>
      </c>
    </row>
    <row r="132" spans="1:6" ht="24">
      <c r="A132" s="3225">
        <v>60</v>
      </c>
      <c r="B132" s="3569" t="s">
        <v>3158</v>
      </c>
      <c r="C132" s="3225" t="s">
        <v>3159</v>
      </c>
      <c r="D132" s="3205" t="s">
        <v>3160</v>
      </c>
      <c r="E132" s="3226">
        <v>0.1</v>
      </c>
      <c r="F132" s="3225">
        <v>15</v>
      </c>
    </row>
    <row r="133" spans="1:6" ht="24">
      <c r="A133" s="3225">
        <v>61</v>
      </c>
      <c r="B133" s="3570"/>
      <c r="C133" s="3225" t="s">
        <v>3161</v>
      </c>
      <c r="D133" s="3205" t="s">
        <v>3162</v>
      </c>
      <c r="E133" s="3226">
        <v>0.1</v>
      </c>
      <c r="F133" s="3225">
        <v>15</v>
      </c>
    </row>
    <row r="134" spans="1:6" ht="24">
      <c r="A134" s="3225">
        <v>62</v>
      </c>
      <c r="B134" s="3225" t="s">
        <v>3163</v>
      </c>
      <c r="C134" s="3225" t="s">
        <v>3164</v>
      </c>
      <c r="D134" s="3205" t="s">
        <v>3165</v>
      </c>
      <c r="E134" s="3226">
        <v>0.1</v>
      </c>
      <c r="F134" s="3225">
        <v>15</v>
      </c>
    </row>
    <row r="135" spans="1:6" ht="24">
      <c r="A135" s="3225">
        <v>63</v>
      </c>
      <c r="B135" s="3568" t="s">
        <v>3166</v>
      </c>
      <c r="C135" s="3225" t="s">
        <v>3167</v>
      </c>
      <c r="D135" s="3205" t="s">
        <v>3168</v>
      </c>
      <c r="E135" s="3226">
        <v>0.1</v>
      </c>
      <c r="F135" s="3225">
        <v>15</v>
      </c>
    </row>
    <row r="136" spans="1:6" ht="13.5">
      <c r="A136" s="3225">
        <v>64</v>
      </c>
      <c r="B136" s="3568"/>
      <c r="C136" s="3225" t="s">
        <v>3169</v>
      </c>
      <c r="D136" s="3205" t="s">
        <v>3170</v>
      </c>
      <c r="E136" s="3226">
        <v>0.1</v>
      </c>
      <c r="F136" s="3225">
        <v>15</v>
      </c>
    </row>
    <row r="137" spans="1:6" ht="24">
      <c r="A137" s="3225">
        <v>65</v>
      </c>
      <c r="B137" s="3225" t="s">
        <v>3171</v>
      </c>
      <c r="C137" s="3225" t="s">
        <v>3172</v>
      </c>
      <c r="D137" s="3205" t="s">
        <v>3173</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85" t="s">
        <v>877</v>
      </c>
      <c r="C1" s="3585"/>
      <c r="D1" s="3585"/>
      <c r="E1" s="3585"/>
      <c r="F1" s="3585"/>
      <c r="G1" s="3584" t="s">
        <v>878</v>
      </c>
      <c r="H1" s="3584"/>
      <c r="I1" s="3584"/>
      <c r="J1" s="3584"/>
      <c r="K1" s="3584"/>
      <c r="L1" s="3584"/>
      <c r="N1" s="3584" t="s">
        <v>879</v>
      </c>
      <c r="O1" s="3584"/>
      <c r="P1" s="3584"/>
      <c r="Q1" s="3584"/>
      <c r="S1" s="3584" t="s">
        <v>880</v>
      </c>
      <c r="T1" s="3584"/>
      <c r="U1" s="3584"/>
      <c r="V1" s="3584"/>
      <c r="X1" s="3583" t="s">
        <v>881</v>
      </c>
      <c r="Y1" s="3584"/>
      <c r="Z1" s="3584"/>
      <c r="AA1" s="3584"/>
      <c r="AB1" s="3584"/>
      <c r="AD1" s="3583" t="s">
        <v>882</v>
      </c>
      <c r="AE1" s="3584"/>
      <c r="AF1" s="3584"/>
      <c r="AG1" s="3584"/>
      <c r="AH1" s="3584"/>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81">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81"/>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81"/>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90"/>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586">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81"/>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81"/>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90"/>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86">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81"/>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81"/>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82"/>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80">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81"/>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81"/>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82"/>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80">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81"/>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81"/>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82"/>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87">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88"/>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88"/>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89"/>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80">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81"/>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81"/>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82"/>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80">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81">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81">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82">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80">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81">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81">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82">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80">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81">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81">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82">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80">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81">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81">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82">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80">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81">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81">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82">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80">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81">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81">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82">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80">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81">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81">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82">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80">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81">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81">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82">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80">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81">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81">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82">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80">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81">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81">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82">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70598</v>
      </c>
      <c r="C2" s="2" t="s">
        <v>133</v>
      </c>
      <c r="D2" s="205"/>
      <c r="E2" s="205"/>
      <c r="F2" s="205"/>
      <c r="G2" s="205"/>
    </row>
    <row r="3" spans="1:7" s="206" customFormat="1" ht="18" customHeight="1" thickBot="1">
      <c r="A3" s="209" t="s">
        <v>85</v>
      </c>
      <c r="B3" s="210">
        <f ca="1">ROUND(B2*10000/'数据-汇总表'!E3,0)</f>
        <v>9859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1432</v>
      </c>
      <c r="D10" s="935">
        <f>'数据-汇总表'!E6</f>
        <v>71609.739999999991</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1432</v>
      </c>
      <c r="D19" s="939">
        <f>'数据-汇总表'!E3</f>
        <v>71609.739999999991</v>
      </c>
      <c r="E19" s="217">
        <f>'数据-取费表'!B31</f>
        <v>200</v>
      </c>
      <c r="F19" s="237"/>
      <c r="G19" s="1" t="s">
        <v>861</v>
      </c>
    </row>
    <row r="20" spans="1:7" s="220" customFormat="1" ht="13.5" customHeight="1">
      <c r="A20" s="866" t="s">
        <v>844</v>
      </c>
      <c r="B20" s="216" t="s">
        <v>104</v>
      </c>
      <c r="C20" s="238">
        <f>ROUND((C5+C19)*F20,0)</f>
        <v>441</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2411</v>
      </c>
      <c r="D22" s="241">
        <f ca="1">C26</f>
        <v>1.1000000000000001E-3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2233</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155</v>
      </c>
      <c r="D24" s="244"/>
      <c r="E24" s="244"/>
      <c r="F24" s="245"/>
      <c r="G24" s="246" t="s">
        <v>109</v>
      </c>
    </row>
    <row r="25" spans="1:7" s="220" customFormat="1" ht="24">
      <c r="A25" s="869" t="s">
        <v>612</v>
      </c>
      <c r="B25" s="221" t="s">
        <v>845</v>
      </c>
      <c r="C25" s="1218">
        <f ca="1">ROUND(IF('数据-取费表'!B22&lt;=1,C20*F22*'数据-取费表'!B23/2,C20*(POWER((1+F22),'数据-取费表'!B23/2)-1)),0)</f>
        <v>23</v>
      </c>
      <c r="D25" s="244"/>
      <c r="E25" s="247"/>
      <c r="F25" s="245"/>
      <c r="G25" s="248" t="s">
        <v>110</v>
      </c>
    </row>
    <row r="26" spans="1:7" s="220" customFormat="1">
      <c r="A26" s="869" t="s">
        <v>614</v>
      </c>
      <c r="B26" s="221" t="s">
        <v>847</v>
      </c>
      <c r="C26" s="244">
        <f ca="1">ROUND(IF('数据-取费表'!B22&lt;=1,F21*F22*'数据-取费表'!B23/2,F21*(POWER((1+F22),'数据-取费表'!B23/2)-1)),4)</f>
        <v>1.1000000000000001E-3</v>
      </c>
      <c r="D26" s="244"/>
      <c r="E26" s="247"/>
      <c r="F26" s="245"/>
      <c r="G26" s="249"/>
    </row>
    <row r="27" spans="1:7" s="220" customFormat="1" ht="24.75">
      <c r="A27" s="866" t="s">
        <v>606</v>
      </c>
      <c r="B27" s="250" t="s">
        <v>112</v>
      </c>
      <c r="C27" s="251">
        <f>C28</f>
        <v>3372</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3372</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30607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31035</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28328</v>
      </c>
      <c r="D34" s="223"/>
      <c r="E34" s="226"/>
      <c r="F34" s="263">
        <f>IF('数据-取费表'!B24=0,1,'数据-取费表'!N16)</f>
        <v>1</v>
      </c>
      <c r="G34" s="225" t="s">
        <v>116</v>
      </c>
    </row>
    <row r="35" spans="1:7" ht="13.5" customHeight="1">
      <c r="A35" s="869" t="s">
        <v>615</v>
      </c>
      <c r="B35" s="221" t="s">
        <v>60</v>
      </c>
      <c r="C35" s="226">
        <f>ROUND(C34*F35,0)</f>
        <v>850</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1432</v>
      </c>
      <c r="D37" s="223">
        <f>'数据-汇总表'!E3</f>
        <v>71609.739999999991</v>
      </c>
      <c r="E37" s="255">
        <f>'数据-取费表'!B35</f>
        <v>200</v>
      </c>
      <c r="F37" s="265"/>
      <c r="G37" s="267" t="s">
        <v>119</v>
      </c>
    </row>
    <row r="38" spans="1:7" ht="13.5" customHeight="1">
      <c r="A38" s="869" t="s">
        <v>618</v>
      </c>
      <c r="B38" s="221" t="s">
        <v>63</v>
      </c>
      <c r="C38" s="226">
        <f>ROUND(C34*F38,0)</f>
        <v>425</v>
      </c>
      <c r="D38" s="226"/>
      <c r="E38" s="226"/>
      <c r="F38" s="265">
        <f>'数据-取费表'!B36</f>
        <v>1.4999999999999999E-2</v>
      </c>
      <c r="G38" s="225" t="s">
        <v>117</v>
      </c>
    </row>
    <row r="39" spans="1:7" s="220" customFormat="1" ht="13.5" customHeight="1">
      <c r="A39" s="866" t="s">
        <v>602</v>
      </c>
      <c r="B39" s="216" t="s">
        <v>104</v>
      </c>
      <c r="C39" s="238">
        <f>ROUND(C33*F20,0)</f>
        <v>621</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1671</v>
      </c>
      <c r="D41" s="241">
        <f ca="1">C44</f>
        <v>1.1000000000000001E-3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1638</v>
      </c>
      <c r="D42" s="244"/>
      <c r="E42" s="244"/>
      <c r="F42" s="245"/>
      <c r="G42" s="3443" t="s">
        <v>121</v>
      </c>
    </row>
    <row r="43" spans="1:7" ht="13.5" customHeight="1">
      <c r="A43" s="869" t="s">
        <v>611</v>
      </c>
      <c r="B43" s="221" t="s">
        <v>851</v>
      </c>
      <c r="C43" s="244">
        <f ca="1">ROUND(IF('数据-取费表'!B22&lt;=1,C39*F22*'数据-取费表'!B21/2,C39*(POWER((1+F22),'数据-取费表'!B21/2)-1)),0)</f>
        <v>33</v>
      </c>
      <c r="D43" s="244"/>
      <c r="E43" s="244"/>
      <c r="F43" s="245"/>
      <c r="G43" s="3444"/>
    </row>
    <row r="44" spans="1:7" ht="13.5" customHeight="1">
      <c r="A44" s="869" t="s">
        <v>612</v>
      </c>
      <c r="B44" s="221" t="s">
        <v>853</v>
      </c>
      <c r="C44" s="244">
        <f ca="1">ROUND(IF('数据-取费表'!B22&lt;=1,C40*F22*'数据-取费表'!B21/2,C40*(POWER((1+F22),'数据-取费表'!B21/2)-1)),4)</f>
        <v>1.1000000000000001E-3</v>
      </c>
      <c r="D44" s="244"/>
      <c r="E44" s="244"/>
      <c r="F44" s="245"/>
      <c r="G44" s="3445"/>
    </row>
    <row r="45" spans="1:7" s="220" customFormat="1" ht="13.5" customHeight="1">
      <c r="A45" s="866" t="s">
        <v>605</v>
      </c>
      <c r="B45" s="250" t="s">
        <v>112</v>
      </c>
      <c r="C45" s="251">
        <f>C46</f>
        <v>4748</v>
      </c>
      <c r="D45" s="241">
        <f>C47</f>
        <v>3.0000000000000001E-3</v>
      </c>
      <c r="E45" s="242" t="s">
        <v>129</v>
      </c>
      <c r="F45" s="252"/>
      <c r="G45" s="253" t="s">
        <v>859</v>
      </c>
    </row>
    <row r="46" spans="1:7" s="220" customFormat="1" ht="13.5" customHeight="1">
      <c r="A46" s="869" t="s">
        <v>613</v>
      </c>
      <c r="B46" s="254" t="s">
        <v>852</v>
      </c>
      <c r="C46" s="255">
        <f>ROUND((C33+C39)*F27,0)</f>
        <v>4748</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41228</v>
      </c>
      <c r="D49" s="238"/>
      <c r="E49" s="238"/>
      <c r="F49" s="270"/>
      <c r="G49" s="240" t="s">
        <v>860</v>
      </c>
    </row>
    <row r="50" spans="1:7" s="264" customFormat="1" ht="24">
      <c r="A50" s="866" t="s">
        <v>608</v>
      </c>
      <c r="B50" s="216" t="s">
        <v>124</v>
      </c>
      <c r="C50" s="238"/>
      <c r="D50" s="238"/>
      <c r="E50" s="238"/>
      <c r="F50" s="270">
        <f>IF('数据-取费表'!B24=0,'数据-取费表'!N16,1)</f>
        <v>0.97</v>
      </c>
      <c r="G50" s="253" t="s">
        <v>125</v>
      </c>
    </row>
    <row r="51" spans="1:7" ht="16.5" customHeight="1">
      <c r="A51" s="866" t="s">
        <v>609</v>
      </c>
      <c r="B51" s="216" t="s">
        <v>132</v>
      </c>
      <c r="C51" s="238">
        <f ca="1">ROUND(C49*F50,0)</f>
        <v>39991</v>
      </c>
      <c r="D51" s="238"/>
      <c r="E51" s="238"/>
      <c r="F51" s="270"/>
      <c r="G51" s="240" t="s">
        <v>64</v>
      </c>
    </row>
    <row r="52" spans="1:7" s="214" customFormat="1" ht="16.5" thickBot="1">
      <c r="A52" s="271" t="s">
        <v>65</v>
      </c>
      <c r="B52" s="272"/>
      <c r="C52" s="273">
        <f ca="1">C31+C51</f>
        <v>70598</v>
      </c>
      <c r="D52" s="272"/>
      <c r="E52" s="272"/>
      <c r="F52" s="272"/>
      <c r="G52" s="274"/>
    </row>
    <row r="55" spans="1:7" ht="15">
      <c r="B55" s="276" t="s">
        <v>66</v>
      </c>
      <c r="C55" s="277"/>
    </row>
    <row r="56" spans="1:7">
      <c r="B56" s="279" t="s">
        <v>67</v>
      </c>
      <c r="C56" s="280">
        <f ca="1">ROUND(C51/C52,3)</f>
        <v>0.56599999999999995</v>
      </c>
    </row>
    <row r="57" spans="1:7">
      <c r="B57" s="279" t="s">
        <v>68</v>
      </c>
      <c r="C57" s="281">
        <f ca="1">1-C56</f>
        <v>0.43400000000000005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7" t="s">
        <v>156</v>
      </c>
      <c r="B1" s="3597"/>
      <c r="C1" s="3597"/>
      <c r="D1" s="3597"/>
      <c r="E1" s="3597"/>
      <c r="F1" s="359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8" t="s">
        <v>169</v>
      </c>
      <c r="B2" s="3598"/>
      <c r="C2" s="3598"/>
      <c r="D2" s="3598"/>
      <c r="E2" s="3598"/>
      <c r="F2" s="359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0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7" t="s">
        <v>658</v>
      </c>
      <c r="B1" s="359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M9" sqref="M9"/>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44769</v>
      </c>
      <c r="D1" s="1423" t="s">
        <v>1028</v>
      </c>
      <c r="E1" s="1418">
        <f>'数据-取费表'!B22</f>
        <v>2.5</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44701</v>
      </c>
      <c r="D13" s="3002">
        <v>3.7</v>
      </c>
      <c r="E13" s="3002">
        <f>D13</f>
        <v>3.7</v>
      </c>
      <c r="F13" s="3002">
        <f>D13</f>
        <v>3.7</v>
      </c>
      <c r="G13" s="3002">
        <f>D13</f>
        <v>3.7</v>
      </c>
      <c r="H13" s="3002">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8">
        <v>44581</v>
      </c>
      <c r="D14" s="2997">
        <v>3.7</v>
      </c>
      <c r="E14" s="2997">
        <f>D14</f>
        <v>3.7</v>
      </c>
      <c r="F14" s="2997">
        <f>D14</f>
        <v>3.7</v>
      </c>
      <c r="G14" s="2997">
        <f>D14</f>
        <v>3.7</v>
      </c>
      <c r="H14" s="2997">
        <v>4.5999999999999996</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8">
        <v>44550</v>
      </c>
      <c r="D15" s="2997">
        <v>3.8</v>
      </c>
      <c r="E15" s="2997">
        <f>D15</f>
        <v>3.8</v>
      </c>
      <c r="F15" s="2997">
        <f>D15</f>
        <v>3.8</v>
      </c>
      <c r="G15" s="2997">
        <f>D15</f>
        <v>3.8</v>
      </c>
      <c r="H15" s="2997">
        <v>4.6500000000000004</v>
      </c>
      <c r="I15" s="2997"/>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43941</v>
      </c>
      <c r="D16" s="2997">
        <v>3.85</v>
      </c>
      <c r="E16" s="2997">
        <v>3.85</v>
      </c>
      <c r="F16" s="2997">
        <v>3.85</v>
      </c>
      <c r="G16" s="2997">
        <v>3.85</v>
      </c>
      <c r="H16" s="2997">
        <v>4.6500000000000004</v>
      </c>
      <c r="I16" s="2997"/>
      <c r="J16" s="299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43881</v>
      </c>
      <c r="D17" s="2997">
        <v>4.05</v>
      </c>
      <c r="E17" s="2997">
        <v>4.05</v>
      </c>
      <c r="F17" s="2997">
        <v>4.05</v>
      </c>
      <c r="G17" s="2997">
        <v>4.05</v>
      </c>
      <c r="H17" s="2997">
        <v>4.75</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43789</v>
      </c>
      <c r="D18" s="2997">
        <v>4.1500000000000004</v>
      </c>
      <c r="E18" s="2997">
        <v>4.1500000000000004</v>
      </c>
      <c r="F18" s="2997">
        <v>4.1500000000000004</v>
      </c>
      <c r="G18" s="2997">
        <v>4.1500000000000004</v>
      </c>
      <c r="H18" s="2997">
        <v>4.8</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7"/>
      <c r="C19" s="2998">
        <v>43728</v>
      </c>
      <c r="D19" s="2997">
        <v>4.2</v>
      </c>
      <c r="E19" s="2997">
        <v>4.2</v>
      </c>
      <c r="F19" s="2997">
        <v>4.2</v>
      </c>
      <c r="G19" s="2997">
        <v>4.2</v>
      </c>
      <c r="H19" s="2997">
        <v>4.8499999999999996</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6" t="s">
        <v>2814</v>
      </c>
      <c r="C20" s="2999">
        <v>43697</v>
      </c>
      <c r="D20" s="3000">
        <v>4.25</v>
      </c>
      <c r="E20" s="3000">
        <v>4.25</v>
      </c>
      <c r="F20" s="3000">
        <v>4.25</v>
      </c>
      <c r="G20" s="3000">
        <v>4.25</v>
      </c>
      <c r="H20" s="3000">
        <v>4.8499999999999996</v>
      </c>
      <c r="I20" s="3000"/>
      <c r="J20" s="3000"/>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3"/>
      <c r="B21" s="3004"/>
      <c r="C21" s="3005">
        <v>42301</v>
      </c>
      <c r="D21" s="3006">
        <v>4.3499999999999996</v>
      </c>
      <c r="E21" s="3006">
        <v>4.3499999999999996</v>
      </c>
      <c r="F21" s="3006">
        <v>4.75</v>
      </c>
      <c r="G21" s="3006">
        <v>4.75</v>
      </c>
      <c r="H21" s="3006">
        <v>4.9000000000000004</v>
      </c>
      <c r="I21" s="3006"/>
      <c r="J21" s="3006"/>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74" t="str">
        <f>IF(项目基本情况!B9="房地产市场价值","估价结果一览表","结果表-2")</f>
        <v>结果表-2</v>
      </c>
      <c r="B1" s="3274"/>
      <c r="C1" s="3274"/>
      <c r="D1" s="3274"/>
      <c r="E1" s="3274"/>
      <c r="F1" s="3274"/>
      <c r="G1" s="3274"/>
      <c r="H1" s="3274"/>
      <c r="I1" s="3274"/>
    </row>
    <row r="2" spans="1:9" ht="30" customHeight="1" thickTop="1">
      <c r="A2" s="3275" t="s">
        <v>1365</v>
      </c>
      <c r="B2" s="3275" t="s">
        <v>1366</v>
      </c>
      <c r="C2" s="3275" t="s">
        <v>1367</v>
      </c>
      <c r="D2" s="3275" t="str">
        <f>结果表!D116</f>
        <v>出让国有建设用地使用权价值</v>
      </c>
      <c r="E2" s="3275"/>
      <c r="F2" s="3275" t="str">
        <f>结果表!F116</f>
        <v>在建建筑物价值</v>
      </c>
      <c r="G2" s="3275"/>
      <c r="H2" s="3275" t="str">
        <f>IF(项目基本情况!B9="房地产市场价值","房地产市场价值","房地产价值")</f>
        <v>房地产价值</v>
      </c>
      <c r="I2" s="3275"/>
    </row>
    <row r="3" spans="1:9" ht="15">
      <c r="A3" s="3269"/>
      <c r="B3" s="3269"/>
      <c r="C3" s="3269"/>
      <c r="D3" s="944" t="s">
        <v>1362</v>
      </c>
      <c r="E3" s="944" t="s">
        <v>1368</v>
      </c>
      <c r="F3" s="944" t="s">
        <v>1362</v>
      </c>
      <c r="G3" s="944" t="s">
        <v>1363</v>
      </c>
      <c r="H3" s="944" t="s">
        <v>1362</v>
      </c>
      <c r="I3" s="944" t="s">
        <v>1363</v>
      </c>
    </row>
    <row r="4" spans="1:9" ht="15">
      <c r="A4" s="1641" t="str">
        <f>项目基本情况!S2</f>
        <v>北京市房地产</v>
      </c>
      <c r="B4" s="944">
        <f>项目基本情况!C17</f>
        <v>71609.739999999991</v>
      </c>
      <c r="C4" s="944">
        <f>项目基本情况!C18</f>
        <v>0</v>
      </c>
      <c r="D4" s="944" t="e">
        <f ca="1">结果表!D118</f>
        <v>#REF!</v>
      </c>
      <c r="E4" s="944" t="e">
        <f ca="1">结果表!E118</f>
        <v>#REF!</v>
      </c>
      <c r="F4" s="944" t="e">
        <f ca="1">结果表!F118</f>
        <v>#REF!</v>
      </c>
      <c r="G4" s="944" t="e">
        <f ca="1">结果表!G118</f>
        <v>#REF!</v>
      </c>
      <c r="H4" s="944" t="e">
        <f ca="1">结果表!H118</f>
        <v>#REF!</v>
      </c>
      <c r="I4" s="944" t="e">
        <f ca="1">结果表!I118</f>
        <v>#REF!</v>
      </c>
    </row>
    <row r="5" spans="1:9" ht="30" customHeight="1">
      <c r="A5" s="3269" t="s">
        <v>1364</v>
      </c>
      <c r="B5" s="3269"/>
      <c r="C5" s="3269"/>
      <c r="D5" s="3270" t="e">
        <f ca="1">结果表!D119</f>
        <v>#REF!</v>
      </c>
      <c r="E5" s="3270"/>
      <c r="F5" s="3270" t="e">
        <f ca="1">结果表!F119</f>
        <v>#REF!</v>
      </c>
      <c r="G5" s="3270"/>
      <c r="H5" s="3270" t="e">
        <f ca="1">结果表!H119</f>
        <v>#REF!</v>
      </c>
      <c r="I5" s="3270"/>
    </row>
    <row r="6" spans="1:9" ht="15.75">
      <c r="A6" s="3268" t="str">
        <f>结果表!A120</f>
        <v>估价师知悉的法定优先受偿款</v>
      </c>
      <c r="B6" s="3268"/>
      <c r="C6" s="3268"/>
      <c r="D6" s="3268">
        <f>结果表!D120</f>
        <v>0</v>
      </c>
      <c r="E6" s="3268"/>
      <c r="F6" s="3268"/>
      <c r="G6" s="3268"/>
      <c r="H6" s="3268"/>
      <c r="I6" s="3268"/>
    </row>
    <row r="7" spans="1:9" ht="15">
      <c r="A7" s="3269" t="s">
        <v>1364</v>
      </c>
      <c r="B7" s="3269"/>
      <c r="C7" s="3269"/>
      <c r="D7" s="3271" t="str">
        <f>结果表!D121</f>
        <v>零元整</v>
      </c>
      <c r="E7" s="3272"/>
      <c r="F7" s="3272"/>
      <c r="G7" s="3272"/>
      <c r="H7" s="3272"/>
      <c r="I7" s="3273"/>
    </row>
    <row r="8" spans="1:9" ht="15.75">
      <c r="A8" s="3268" t="str">
        <f>结果表!A122</f>
        <v>房地产抵押价值</v>
      </c>
      <c r="B8" s="3268"/>
      <c r="C8" s="3268"/>
      <c r="D8" s="3268" t="e">
        <f ca="1">结果表!D122</f>
        <v>#REF!</v>
      </c>
      <c r="E8" s="3268"/>
      <c r="F8" s="3268"/>
      <c r="G8" s="3268"/>
      <c r="H8" s="3268"/>
      <c r="I8" s="3268"/>
    </row>
    <row r="9" spans="1:9" ht="15">
      <c r="A9" s="3269" t="s">
        <v>1364</v>
      </c>
      <c r="B9" s="3269"/>
      <c r="C9" s="3269"/>
      <c r="D9" s="3270" t="e">
        <f ca="1">结果表!D123</f>
        <v>#REF!</v>
      </c>
      <c r="E9" s="3270"/>
      <c r="F9" s="3270"/>
      <c r="G9" s="3270"/>
      <c r="H9" s="3270"/>
      <c r="I9" s="3270"/>
    </row>
    <row r="10" spans="1:9" ht="15.75">
      <c r="A10" s="3268" t="str">
        <f>结果表!A124</f>
        <v/>
      </c>
      <c r="B10" s="3268"/>
      <c r="C10" s="3268"/>
      <c r="D10" s="3268" t="str">
        <f>结果表!D124</f>
        <v>——</v>
      </c>
      <c r="E10" s="3268"/>
      <c r="F10" s="3268"/>
      <c r="G10" s="3268"/>
      <c r="H10" s="3268"/>
      <c r="I10" s="3268"/>
    </row>
    <row r="11" spans="1:9" ht="15">
      <c r="A11" s="3269" t="s">
        <v>1364</v>
      </c>
      <c r="B11" s="3269"/>
      <c r="C11" s="3269"/>
      <c r="D11" s="3270" t="e">
        <f>结果表!D125</f>
        <v>#VALUE!</v>
      </c>
      <c r="E11" s="3270"/>
      <c r="F11" s="3270"/>
      <c r="G11" s="3270"/>
      <c r="H11" s="3270"/>
      <c r="I11" s="3270"/>
    </row>
    <row r="12" spans="1:9" ht="15.75">
      <c r="A12" s="3268" t="str">
        <f>结果表!A126</f>
        <v/>
      </c>
      <c r="B12" s="3268"/>
      <c r="C12" s="3268"/>
      <c r="D12" s="3268" t="str">
        <f>结果表!D126</f>
        <v>——</v>
      </c>
      <c r="E12" s="3268"/>
      <c r="F12" s="3268"/>
      <c r="G12" s="3268"/>
      <c r="H12" s="3268"/>
      <c r="I12" s="3268"/>
    </row>
    <row r="13" spans="1:9" ht="15.75" thickBot="1">
      <c r="A13" s="3265" t="s">
        <v>1364</v>
      </c>
      <c r="B13" s="3265"/>
      <c r="C13" s="3265"/>
      <c r="D13" s="3266" t="e">
        <f>结果表!D127</f>
        <v>#VALUE!</v>
      </c>
      <c r="E13" s="3266"/>
      <c r="F13" s="3266"/>
      <c r="G13" s="3266"/>
      <c r="H13" s="3266"/>
      <c r="I13" s="3266"/>
    </row>
    <row r="14" spans="1:9" ht="15" thickTop="1">
      <c r="A14" s="3267" t="s">
        <v>1369</v>
      </c>
      <c r="B14" s="3267"/>
      <c r="C14" s="3267"/>
      <c r="D14" s="3267"/>
      <c r="E14" s="3267"/>
      <c r="F14" s="3267"/>
      <c r="G14" s="3267"/>
      <c r="H14" s="3267"/>
      <c r="I14" s="3267"/>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82" t="s">
        <v>1386</v>
      </c>
      <c r="B1" s="3282"/>
      <c r="C1" s="3282"/>
      <c r="D1" s="3282"/>
    </row>
    <row r="2" spans="1:4" ht="18">
      <c r="A2" s="3283" t="s">
        <v>1370</v>
      </c>
      <c r="B2" s="3283"/>
      <c r="C2" s="3283"/>
      <c r="D2" s="3283"/>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83" t="s">
        <v>1376</v>
      </c>
      <c r="B6" s="3283"/>
      <c r="C6" s="3283"/>
      <c r="D6" s="3283"/>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84" t="s">
        <v>1379</v>
      </c>
      <c r="B11" s="3276"/>
      <c r="C11" s="3276"/>
      <c r="D11" s="3276"/>
    </row>
    <row r="12" spans="1:4" ht="15.75">
      <c r="A12" s="32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1"/>
      <c r="C12" s="3281"/>
      <c r="D12" s="3281"/>
    </row>
    <row r="13" spans="1:4" ht="30" customHeight="1">
      <c r="A13" s="32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1"/>
      <c r="C13" s="3281"/>
      <c r="D13" s="3281"/>
    </row>
    <row r="14" spans="1:4" ht="15.75" customHeight="1">
      <c r="A14" s="3276" t="str">
        <f>IF(项目基本情况!B8="抵押","4.本次评估估价师所知悉的法定优先受偿款情况说明如下：","——")</f>
        <v>4.本次评估估价师所知悉的法定优先受偿款情况说明如下：</v>
      </c>
      <c r="B14" s="3281"/>
      <c r="C14" s="3281"/>
      <c r="D14" s="3281"/>
    </row>
    <row r="15" spans="1:4" ht="42" customHeight="1">
      <c r="A15" s="32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6"/>
      <c r="C15" s="3276"/>
      <c r="D15" s="3276"/>
    </row>
    <row r="16" spans="1:4" ht="30" customHeight="1">
      <c r="A16" s="3278" t="s">
        <v>1380</v>
      </c>
      <c r="B16" s="3278"/>
      <c r="C16" s="3278"/>
      <c r="D16" s="3278"/>
    </row>
    <row r="17" spans="1:4" ht="144" customHeight="1">
      <c r="A17" s="3278" t="s">
        <v>1381</v>
      </c>
      <c r="B17" s="3278"/>
      <c r="C17" s="3278"/>
      <c r="D17" s="3278"/>
    </row>
    <row r="18" spans="1:4" ht="15.75" customHeight="1">
      <c r="A18" s="3276" t="str">
        <f>IF(项目基本情况!B8="抵押",结果表!K120,"——")</f>
        <v>故，本次评估不存在估价师知悉的法定优先受偿款</v>
      </c>
      <c r="B18" s="3276"/>
      <c r="C18" s="3276"/>
      <c r="D18" s="3276"/>
    </row>
    <row r="19" spans="1:4" ht="46.5" customHeight="1">
      <c r="A19" s="32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6"/>
      <c r="C19" s="3276"/>
      <c r="D19" s="3276"/>
    </row>
    <row r="20" spans="1:4" ht="57.75" customHeight="1">
      <c r="A20" s="32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6"/>
      <c r="C20" s="3276"/>
      <c r="D20" s="3276"/>
    </row>
    <row r="21" spans="1:4" ht="57.75" customHeight="1">
      <c r="A21" s="32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9"/>
      <c r="C21" s="3279"/>
      <c r="D21" s="3279"/>
    </row>
    <row r="22" spans="1:4" ht="18.75" customHeight="1">
      <c r="A22" s="3280" t="s">
        <v>1382</v>
      </c>
      <c r="B22" s="3280"/>
      <c r="C22" s="3280"/>
      <c r="D22" s="3280"/>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77">
        <v>42551</v>
      </c>
      <c r="D31" s="32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90" t="s">
        <v>1393</v>
      </c>
      <c r="B15" s="3285" t="s">
        <v>136</v>
      </c>
      <c r="C15" s="3286"/>
    </row>
    <row r="16" spans="1:7" ht="13.5">
      <c r="A16" s="3291"/>
      <c r="B16" s="3285" t="s">
        <v>69</v>
      </c>
      <c r="C16" s="3286"/>
    </row>
    <row r="17" spans="1:3" ht="13.5">
      <c r="A17" s="3291"/>
      <c r="B17" s="3288" t="s">
        <v>1394</v>
      </c>
      <c r="C17" s="1668" t="s">
        <v>1393</v>
      </c>
    </row>
    <row r="18" spans="1:3" ht="13.5">
      <c r="A18" s="3291"/>
      <c r="B18" s="3288"/>
      <c r="C18" s="1668" t="s">
        <v>1395</v>
      </c>
    </row>
    <row r="19" spans="1:3" ht="13.5">
      <c r="A19" s="3291"/>
      <c r="B19" s="3288"/>
      <c r="C19" s="1668" t="s">
        <v>1396</v>
      </c>
    </row>
    <row r="20" spans="1:3" ht="13.5">
      <c r="A20" s="3292"/>
      <c r="B20" s="3287" t="s">
        <v>1397</v>
      </c>
      <c r="C20" s="3286"/>
    </row>
    <row r="21" spans="1:3" ht="13.5">
      <c r="A21" s="1669" t="s">
        <v>1398</v>
      </c>
      <c r="B21" s="1670"/>
      <c r="C21" s="1671"/>
    </row>
    <row r="22" spans="1:3" ht="13.5">
      <c r="A22" s="3289" t="s">
        <v>1399</v>
      </c>
      <c r="B22" s="3287" t="s">
        <v>1400</v>
      </c>
      <c r="C22" s="3286"/>
    </row>
    <row r="23" spans="1:3" ht="13.5">
      <c r="A23" s="3289"/>
      <c r="B23" s="3287" t="s">
        <v>1401</v>
      </c>
      <c r="C23" s="3286"/>
    </row>
    <row r="24" spans="1:3" ht="13.5">
      <c r="A24" s="3289"/>
      <c r="B24" s="3287" t="s">
        <v>1402</v>
      </c>
      <c r="C24" s="3286"/>
    </row>
    <row r="25" spans="1:3" ht="13.5">
      <c r="A25" s="3289"/>
      <c r="B25" s="3288" t="s">
        <v>1403</v>
      </c>
      <c r="C25" s="1668" t="s">
        <v>1404</v>
      </c>
    </row>
    <row r="26" spans="1:3" ht="13.5">
      <c r="A26" s="3289"/>
      <c r="B26" s="3288"/>
      <c r="C26" s="1668" t="s">
        <v>1405</v>
      </c>
    </row>
    <row r="27" spans="1:3" ht="13.5">
      <c r="A27" s="3289"/>
      <c r="B27" s="3288"/>
      <c r="C27" s="1668" t="s">
        <v>1406</v>
      </c>
    </row>
    <row r="28" spans="1:3" ht="13.5">
      <c r="A28" s="3289"/>
      <c r="B28" s="3288"/>
      <c r="C28" s="1668" t="s">
        <v>1407</v>
      </c>
    </row>
    <row r="29" spans="1:3" ht="13.5">
      <c r="A29" s="3289"/>
      <c r="B29" s="3288"/>
      <c r="C29" s="1668" t="s">
        <v>1408</v>
      </c>
    </row>
    <row r="30" spans="1:3" ht="13.5">
      <c r="A30" s="3289"/>
      <c r="B30" s="3288"/>
      <c r="C30" s="1668" t="s">
        <v>1409</v>
      </c>
    </row>
    <row r="31" spans="1:3" ht="13.5">
      <c r="A31" s="3289"/>
      <c r="B31" s="3288"/>
      <c r="C31" s="1668" t="s">
        <v>1410</v>
      </c>
    </row>
    <row r="32" spans="1:3" ht="13.5">
      <c r="A32" s="3289"/>
      <c r="B32" s="3288"/>
      <c r="C32" s="1668" t="s">
        <v>1411</v>
      </c>
    </row>
    <row r="33" spans="1:3" ht="13.5">
      <c r="A33" s="3289"/>
      <c r="B33" s="3288"/>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2639</v>
      </c>
      <c r="B2" s="2512">
        <f ca="1">TODAY()</f>
        <v>44769</v>
      </c>
      <c r="C2" s="2513" t="s">
        <v>2640</v>
      </c>
      <c r="D2" s="2513"/>
      <c r="E2" s="2513"/>
      <c r="F2" s="2509"/>
      <c r="G2" s="2509"/>
      <c r="H2" s="2509"/>
    </row>
    <row r="3" spans="1:8" ht="24" customHeight="1">
      <c r="A3" s="2514" t="s">
        <v>2641</v>
      </c>
      <c r="B3" s="2515" t="s">
        <v>2642</v>
      </c>
      <c r="C3" s="2515" t="s">
        <v>2643</v>
      </c>
      <c r="D3" s="2516" t="s">
        <v>2644</v>
      </c>
      <c r="E3" s="2517" t="s">
        <v>2645</v>
      </c>
      <c r="F3" s="1425" t="s">
        <v>2646</v>
      </c>
      <c r="G3" s="2515" t="s">
        <v>2643</v>
      </c>
      <c r="H3" s="2516" t="s">
        <v>2647</v>
      </c>
    </row>
    <row r="4" spans="1:8" ht="24" customHeight="1">
      <c r="A4" s="1425" t="s">
        <v>2648</v>
      </c>
      <c r="B4" s="1425">
        <f ca="1">IF(C4&lt;B2,"已过期",1119970066)</f>
        <v>1119970066</v>
      </c>
      <c r="C4" s="2518">
        <v>44876</v>
      </c>
      <c r="D4" s="2519" t="str">
        <f ca="1">A4&amp;"（注册号："&amp;B4&amp;"）"</f>
        <v>梁津（注册号：1119970066）</v>
      </c>
      <c r="E4" s="2520" t="s">
        <v>2648</v>
      </c>
      <c r="F4" s="1425">
        <f ca="1">IF(G4&lt;B2,"已过期",96010014)</f>
        <v>96010014</v>
      </c>
      <c r="G4" s="2521">
        <v>47118</v>
      </c>
      <c r="H4" s="2522" t="str">
        <f ca="1">E4&amp;"（注册号："&amp;F4&amp;"）"</f>
        <v>梁津（注册号：96010014）</v>
      </c>
    </row>
    <row r="5" spans="1:8" ht="24" customHeight="1">
      <c r="A5" s="1425" t="s">
        <v>2649</v>
      </c>
      <c r="B5" s="1425">
        <f ca="1">IF(C5&lt;B2,"已过期",1119970111)</f>
        <v>1119970111</v>
      </c>
      <c r="C5" s="2518">
        <v>44876</v>
      </c>
      <c r="D5" s="2519" t="str">
        <f t="shared" ref="D5:D15" ca="1" si="0">A5&amp;"（注册号："&amp;B5&amp;"）"</f>
        <v>叶凌（注册号：1119970111）</v>
      </c>
      <c r="E5" s="2520" t="s">
        <v>2649</v>
      </c>
      <c r="F5" s="1425">
        <f ca="1">IF(G5&lt;B2,"已过期",94010078)</f>
        <v>94010078</v>
      </c>
      <c r="G5" s="2521">
        <v>46387</v>
      </c>
      <c r="H5" s="2522" t="str">
        <f t="shared" ref="H5:H16" ca="1" si="1">E5&amp;"（注册号："&amp;F5&amp;"）"</f>
        <v>叶凌（注册号：94010078）</v>
      </c>
    </row>
    <row r="6" spans="1:8" ht="24" customHeight="1">
      <c r="A6" s="1425" t="s">
        <v>2650</v>
      </c>
      <c r="B6" s="1425">
        <f ca="1">IF(C6&lt;B2,"已过期",1120050019)</f>
        <v>1120050019</v>
      </c>
      <c r="C6" s="2518">
        <v>45410</v>
      </c>
      <c r="D6" s="2519" t="str">
        <f t="shared" ca="1" si="0"/>
        <v>王鹏（注册号：1120050019）</v>
      </c>
      <c r="E6" s="2520" t="s">
        <v>2650</v>
      </c>
      <c r="F6" s="1425">
        <f ca="1">IF(G6&lt;B2,"已过期",2002110030)</f>
        <v>2002110030</v>
      </c>
      <c r="G6" s="2521">
        <v>46387</v>
      </c>
      <c r="H6" s="2522" t="str">
        <f t="shared" ca="1" si="1"/>
        <v>王鹏（注册号：2002110030）</v>
      </c>
    </row>
    <row r="7" spans="1:8" ht="24" customHeight="1">
      <c r="A7" s="1425" t="s">
        <v>2651</v>
      </c>
      <c r="B7" s="1425">
        <f ca="1">IF(C7&lt;B2,"已过期",1120000080)</f>
        <v>1120000080</v>
      </c>
      <c r="C7" s="2518">
        <v>44876</v>
      </c>
      <c r="D7" s="2519" t="str">
        <f t="shared" ca="1" si="0"/>
        <v>欧红伟（注册号：1120000080）</v>
      </c>
      <c r="E7" s="2520" t="s">
        <v>2651</v>
      </c>
      <c r="F7" s="1425">
        <f ca="1">IF(G7&lt;B2,"已过期",2000110082)</f>
        <v>2000110082</v>
      </c>
      <c r="G7" s="2521">
        <v>46387</v>
      </c>
      <c r="H7" s="2522" t="str">
        <f t="shared" ca="1" si="1"/>
        <v>欧红伟（注册号：2000110082）</v>
      </c>
    </row>
    <row r="8" spans="1:8" ht="24" customHeight="1">
      <c r="A8" s="1425" t="s">
        <v>2652</v>
      </c>
      <c r="B8" s="1425">
        <f ca="1">IF(C8&lt;B2,"已过期",1419970001)</f>
        <v>1419970001</v>
      </c>
      <c r="C8" s="2518">
        <v>44899</v>
      </c>
      <c r="D8" s="2519" t="str">
        <f t="shared" ca="1" si="0"/>
        <v>吴薇（注册号：1419970001）</v>
      </c>
      <c r="E8" s="2520" t="s">
        <v>2652</v>
      </c>
      <c r="F8" s="1425">
        <f ca="1">IF(G8&lt;B2,"已过期",2002110125)</f>
        <v>2002110125</v>
      </c>
      <c r="G8" s="2521">
        <v>47118</v>
      </c>
      <c r="H8" s="2522" t="str">
        <f t="shared" ca="1" si="1"/>
        <v>吴薇（注册号：2002110125）</v>
      </c>
    </row>
    <row r="9" spans="1:8" ht="24" customHeight="1">
      <c r="A9" s="1425" t="s">
        <v>2653</v>
      </c>
      <c r="B9" s="1425">
        <f ca="1">IF(C9&lt;B2,"已过期",1120060040)</f>
        <v>1120060040</v>
      </c>
      <c r="C9" s="2523">
        <v>45592</v>
      </c>
      <c r="D9" s="2519" t="str">
        <f t="shared" ca="1" si="0"/>
        <v>陈颖（注册号：1120060040）</v>
      </c>
      <c r="E9" s="2520" t="s">
        <v>2653</v>
      </c>
      <c r="F9" s="1425">
        <f ca="1">IF(G9&lt;B2,"已过期",2004110096)</f>
        <v>2004110096</v>
      </c>
      <c r="G9" s="2521">
        <v>47118</v>
      </c>
      <c r="H9" s="2522" t="str">
        <f t="shared" ca="1" si="1"/>
        <v>陈颖（注册号：2004110096）</v>
      </c>
    </row>
    <row r="10" spans="1:8" ht="24" customHeight="1">
      <c r="A10" s="1425" t="s">
        <v>2654</v>
      </c>
      <c r="B10" s="1425" t="str">
        <f ca="1">IF(C10&lt;B2,"已过期",1120100036)</f>
        <v>已过期</v>
      </c>
      <c r="C10" s="2523">
        <v>44675</v>
      </c>
      <c r="D10" s="2519" t="str">
        <f t="shared" ca="1" si="0"/>
        <v>崔锴（注册号：已过期）</v>
      </c>
      <c r="E10" s="2520" t="s">
        <v>2654</v>
      </c>
      <c r="F10" s="1425">
        <f ca="1">IF(G10&lt;B2,"已过期",2010110070)</f>
        <v>2010110070</v>
      </c>
      <c r="G10" s="2521">
        <v>47907</v>
      </c>
      <c r="H10" s="2522" t="str">
        <f t="shared" ca="1" si="1"/>
        <v>崔锴（注册号：2010110070）</v>
      </c>
    </row>
    <row r="11" spans="1:8" ht="24" customHeight="1">
      <c r="A11" s="1425" t="s">
        <v>2655</v>
      </c>
      <c r="B11" s="1425">
        <f ca="1">IF(C11&lt;B2,"已过期",1120070131)</f>
        <v>1120070131</v>
      </c>
      <c r="C11" s="2518">
        <v>44849</v>
      </c>
      <c r="D11" s="2519" t="str">
        <f t="shared" ca="1" si="0"/>
        <v>郑燚（注册号：1120070131）</v>
      </c>
      <c r="E11" s="2520" t="s">
        <v>2655</v>
      </c>
      <c r="F11" s="1425">
        <f ca="1">IF(G11&lt;B2,"已过期",2014110011)</f>
        <v>2014110011</v>
      </c>
      <c r="G11" s="2521">
        <v>49302</v>
      </c>
      <c r="H11" s="2522" t="str">
        <f t="shared" ca="1" si="1"/>
        <v>郑燚（注册号：2014110011）</v>
      </c>
    </row>
    <row r="12" spans="1:8" ht="24" customHeight="1">
      <c r="A12" s="1425" t="s">
        <v>2656</v>
      </c>
      <c r="B12" s="1425">
        <f ca="1">IF(C12&lt;B2,"已过期",1120040230)</f>
        <v>1120040230</v>
      </c>
      <c r="C12" s="2523">
        <v>44864</v>
      </c>
      <c r="D12" s="2519" t="str">
        <f t="shared" ca="1" si="0"/>
        <v>苏海（注册号：1120040230）</v>
      </c>
      <c r="E12" s="2520" t="s">
        <v>2656</v>
      </c>
      <c r="F12" s="1425">
        <f ca="1">IF(G12&lt;B2,"已过期",98030020)</f>
        <v>98030020</v>
      </c>
      <c r="G12" s="2521">
        <v>47118</v>
      </c>
      <c r="H12" s="2522" t="str">
        <f t="shared" ca="1" si="1"/>
        <v>苏海（注册号：98030020）</v>
      </c>
    </row>
    <row r="13" spans="1:8" ht="24" customHeight="1">
      <c r="A13" s="1425" t="s">
        <v>2657</v>
      </c>
      <c r="B13" s="1425" t="str">
        <f ca="1">IF(C13&lt;B2,"已过期",1120020033)</f>
        <v>已过期</v>
      </c>
      <c r="C13" s="2518">
        <v>44339</v>
      </c>
      <c r="D13" s="2519" t="str">
        <f t="shared" ca="1" si="0"/>
        <v>刘敬东（注册号：已过期）</v>
      </c>
      <c r="E13" s="2520" t="s">
        <v>2657</v>
      </c>
      <c r="F13" s="1425">
        <f ca="1">IF(G13&lt;B2,"已过期",2000110137)</f>
        <v>2000110137</v>
      </c>
      <c r="G13" s="2521">
        <v>46387</v>
      </c>
      <c r="H13" s="2522" t="str">
        <f t="shared" ca="1" si="1"/>
        <v>刘敬东（注册号：2000110137）</v>
      </c>
    </row>
    <row r="14" spans="1:8" ht="24" customHeight="1">
      <c r="A14" s="1425" t="s">
        <v>2658</v>
      </c>
      <c r="B14" s="1425">
        <f ca="1">IF(C14&lt;B2,"已过期",1119980106)</f>
        <v>1119980106</v>
      </c>
      <c r="C14" s="2523">
        <v>44969</v>
      </c>
      <c r="D14" s="2519" t="str">
        <f t="shared" ca="1" si="0"/>
        <v>刘俊财（注册号：1119980106）</v>
      </c>
      <c r="E14" s="2520" t="s">
        <v>2658</v>
      </c>
      <c r="F14" s="1425">
        <f ca="1">IF(G14&lt;B2,"已过期",96010063)</f>
        <v>96010063</v>
      </c>
      <c r="G14" s="2521">
        <v>47483</v>
      </c>
      <c r="H14" s="2522" t="str">
        <f t="shared" ca="1" si="1"/>
        <v>刘俊财（注册号：96010063）</v>
      </c>
    </row>
    <row r="15" spans="1:8" ht="24" customHeight="1">
      <c r="A15" s="1425" t="s">
        <v>2942</v>
      </c>
      <c r="B15" s="1425">
        <v>1120210056</v>
      </c>
      <c r="C15" s="2523">
        <v>45410</v>
      </c>
      <c r="D15" s="2519" t="str">
        <f t="shared" si="0"/>
        <v>宁小鳗（注册号：1120210056）</v>
      </c>
      <c r="E15" s="2520" t="s">
        <v>2659</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293" t="s">
        <v>2660</v>
      </c>
      <c r="B17" s="3293"/>
      <c r="C17" s="3293"/>
      <c r="D17" s="3293"/>
      <c r="E17" s="3293"/>
      <c r="F17" s="3293"/>
      <c r="G17" s="3293"/>
      <c r="H17" s="3293"/>
    </row>
    <row r="18" spans="1:8" ht="24" customHeight="1">
      <c r="A18" s="3294" t="s">
        <v>2661</v>
      </c>
      <c r="B18" s="3294"/>
      <c r="C18" s="3294"/>
      <c r="D18" s="2516"/>
      <c r="E18" s="3295" t="s">
        <v>2662</v>
      </c>
      <c r="F18" s="3294"/>
      <c r="G18" s="3294"/>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60" priority="53">
      <formula>AND($C4-TODAY()&lt;30,TODAY()&lt;$C4)</formula>
    </cfRule>
  </conditionalFormatting>
  <conditionalFormatting sqref="C20:D20">
    <cfRule type="expression" dxfId="259" priority="52">
      <formula>AND($C20-TODAY()&lt;30,TODAY()&lt;$C20)</formula>
    </cfRule>
  </conditionalFormatting>
  <conditionalFormatting sqref="C20:D20 G4 C4:D5 C13:D13">
    <cfRule type="cellIs" dxfId="258" priority="54" stopIfTrue="1" operator="lessThan">
      <formula>$B$2</formula>
    </cfRule>
  </conditionalFormatting>
  <conditionalFormatting sqref="G5 G7 G9">
    <cfRule type="cellIs" dxfId="257" priority="51" stopIfTrue="1" operator="lessThan">
      <formula>$B$2</formula>
    </cfRule>
  </conditionalFormatting>
  <conditionalFormatting sqref="C6:D6 D14 D16">
    <cfRule type="expression" dxfId="256" priority="49">
      <formula>AND($C6-TODAY()&lt;30,TODAY()&lt;$C6)</formula>
    </cfRule>
  </conditionalFormatting>
  <conditionalFormatting sqref="G6 G8 G10 C6:D6 D7:D12 D14 D16">
    <cfRule type="cellIs" dxfId="255" priority="50" stopIfTrue="1" operator="lessThan">
      <formula>$B$2</formula>
    </cfRule>
  </conditionalFormatting>
  <conditionalFormatting sqref="D12">
    <cfRule type="expression" dxfId="254" priority="47">
      <formula>AND($C12-TODAY()&lt;30,TODAY()&lt;$C12)</formula>
    </cfRule>
  </conditionalFormatting>
  <conditionalFormatting sqref="D12">
    <cfRule type="cellIs" dxfId="253" priority="48" stopIfTrue="1" operator="lessThan">
      <formula>$B$2</formula>
    </cfRule>
  </conditionalFormatting>
  <conditionalFormatting sqref="C13:D13">
    <cfRule type="expression" dxfId="252" priority="45">
      <formula>AND($C13-TODAY()&lt;30,TODAY()&lt;$C13)</formula>
    </cfRule>
  </conditionalFormatting>
  <conditionalFormatting sqref="C13:D13">
    <cfRule type="cellIs" dxfId="251" priority="46" stopIfTrue="1" operator="lessThan">
      <formula>$B$2</formula>
    </cfRule>
  </conditionalFormatting>
  <conditionalFormatting sqref="D14">
    <cfRule type="expression" dxfId="250" priority="43">
      <formula>AND($C14-TODAY()&lt;30,TODAY()&lt;$C14)</formula>
    </cfRule>
  </conditionalFormatting>
  <conditionalFormatting sqref="D14">
    <cfRule type="cellIs" dxfId="249" priority="44" stopIfTrue="1" operator="lessThan">
      <formula>$B$2</formula>
    </cfRule>
  </conditionalFormatting>
  <conditionalFormatting sqref="G13">
    <cfRule type="cellIs" dxfId="248" priority="42" stopIfTrue="1" operator="lessThan">
      <formula>$B$2</formula>
    </cfRule>
  </conditionalFormatting>
  <conditionalFormatting sqref="B4:B11 F4:F11 B13 F13:F14">
    <cfRule type="cellIs" dxfId="247" priority="41" stopIfTrue="1" operator="equal">
      <formula>"已过期"</formula>
    </cfRule>
  </conditionalFormatting>
  <conditionalFormatting sqref="C7">
    <cfRule type="cellIs" dxfId="246" priority="38" stopIfTrue="1" operator="lessThan">
      <formula>$B$2</formula>
    </cfRule>
  </conditionalFormatting>
  <conditionalFormatting sqref="C7">
    <cfRule type="expression" dxfId="245" priority="37">
      <formula>AND($C7-TODAY()&lt;30,TODAY()&lt;$C7)</formula>
    </cfRule>
  </conditionalFormatting>
  <conditionalFormatting sqref="C8">
    <cfRule type="expression" dxfId="244" priority="35">
      <formula>AND($C8-TODAY()&lt;30,TODAY()&lt;$C8)</formula>
    </cfRule>
  </conditionalFormatting>
  <conditionalFormatting sqref="C8">
    <cfRule type="cellIs" dxfId="243" priority="36" stopIfTrue="1" operator="lessThan">
      <formula>$B$2</formula>
    </cfRule>
  </conditionalFormatting>
  <conditionalFormatting sqref="C11">
    <cfRule type="expression" dxfId="242" priority="33">
      <formula>AND($C11-TODAY()&lt;30,TODAY()&lt;$C11)</formula>
    </cfRule>
  </conditionalFormatting>
  <conditionalFormatting sqref="C11">
    <cfRule type="cellIs" dxfId="241" priority="34" stopIfTrue="1" operator="lessThan">
      <formula>$B$2</formula>
    </cfRule>
  </conditionalFormatting>
  <conditionalFormatting sqref="A16:C16">
    <cfRule type="cellIs" dxfId="240" priority="32" stopIfTrue="1" operator="equal">
      <formula>"已过期"</formula>
    </cfRule>
  </conditionalFormatting>
  <conditionalFormatting sqref="E16:G16">
    <cfRule type="cellIs" dxfId="239" priority="31" stopIfTrue="1" operator="equal">
      <formula>"已过期"</formula>
    </cfRule>
  </conditionalFormatting>
  <conditionalFormatting sqref="G11">
    <cfRule type="cellIs" dxfId="238" priority="30" stopIfTrue="1" operator="lessThan">
      <formula>$B$2</formula>
    </cfRule>
  </conditionalFormatting>
  <conditionalFormatting sqref="F12">
    <cfRule type="cellIs" dxfId="237" priority="29" stopIfTrue="1" operator="equal">
      <formula>"已过期"</formula>
    </cfRule>
  </conditionalFormatting>
  <conditionalFormatting sqref="G12">
    <cfRule type="cellIs" dxfId="236" priority="28" stopIfTrue="1" operator="lessThan">
      <formula>$B$2</formula>
    </cfRule>
  </conditionalFormatting>
  <conditionalFormatting sqref="C12">
    <cfRule type="cellIs" dxfId="235" priority="27" stopIfTrue="1" operator="lessThan">
      <formula>$B$2</formula>
    </cfRule>
  </conditionalFormatting>
  <conditionalFormatting sqref="C12">
    <cfRule type="expression" dxfId="234" priority="25">
      <formula>AND($C12-TODAY()&lt;30,TODAY()&lt;$C12)</formula>
    </cfRule>
  </conditionalFormatting>
  <conditionalFormatting sqref="C12">
    <cfRule type="cellIs" dxfId="233" priority="26" stopIfTrue="1" operator="lessThan">
      <formula>$B$2</formula>
    </cfRule>
  </conditionalFormatting>
  <conditionalFormatting sqref="B12">
    <cfRule type="cellIs" dxfId="232" priority="24" stopIfTrue="1" operator="equal">
      <formula>"已过期"</formula>
    </cfRule>
  </conditionalFormatting>
  <conditionalFormatting sqref="C9:C10">
    <cfRule type="expression" dxfId="231" priority="22">
      <formula>AND($C9-TODAY()&lt;30,TODAY()&lt;$C9)</formula>
    </cfRule>
  </conditionalFormatting>
  <conditionalFormatting sqref="C9:C10">
    <cfRule type="cellIs" dxfId="230" priority="23" stopIfTrue="1" operator="lessThan">
      <formula>$B$2</formula>
    </cfRule>
  </conditionalFormatting>
  <conditionalFormatting sqref="G21">
    <cfRule type="expression" dxfId="229" priority="20" stopIfTrue="1">
      <formula>AND(#REF!-TODAY()&lt;30,TODAY()&lt;#REF!)</formula>
    </cfRule>
  </conditionalFormatting>
  <conditionalFormatting sqref="G21">
    <cfRule type="cellIs" dxfId="228" priority="21" stopIfTrue="1" operator="lessThan">
      <formula>$B$2</formula>
    </cfRule>
  </conditionalFormatting>
  <conditionalFormatting sqref="C14">
    <cfRule type="expression" dxfId="227" priority="18">
      <formula>AND($C14-TODAY()&lt;30,TODAY()&lt;$C14)</formula>
    </cfRule>
  </conditionalFormatting>
  <conditionalFormatting sqref="C14">
    <cfRule type="cellIs" dxfId="226" priority="19" stopIfTrue="1" operator="lessThan">
      <formula>$B$2</formula>
    </cfRule>
  </conditionalFormatting>
  <conditionalFormatting sqref="C14">
    <cfRule type="expression" dxfId="225" priority="16">
      <formula>AND($C14-TODAY()&lt;30,TODAY()&lt;$C14)</formula>
    </cfRule>
  </conditionalFormatting>
  <conditionalFormatting sqref="C14">
    <cfRule type="cellIs" dxfId="224" priority="17" stopIfTrue="1" operator="lessThan">
      <formula>$B$2</formula>
    </cfRule>
  </conditionalFormatting>
  <conditionalFormatting sqref="B14">
    <cfRule type="cellIs" dxfId="223" priority="15" stopIfTrue="1" operator="equal">
      <formula>"已过期"</formula>
    </cfRule>
  </conditionalFormatting>
  <conditionalFormatting sqref="G14">
    <cfRule type="cellIs" dxfId="222" priority="14" stopIfTrue="1" operator="lessThan">
      <formula>$B$2</formula>
    </cfRule>
  </conditionalFormatting>
  <conditionalFormatting sqref="D15">
    <cfRule type="expression" dxfId="221" priority="12">
      <formula>AND($C15-TODAY()&lt;30,TODAY()&lt;$C15)</formula>
    </cfRule>
  </conditionalFormatting>
  <conditionalFormatting sqref="D15">
    <cfRule type="cellIs" dxfId="220" priority="13" stopIfTrue="1" operator="lessThan">
      <formula>$B$2</formula>
    </cfRule>
  </conditionalFormatting>
  <conditionalFormatting sqref="D15">
    <cfRule type="expression" dxfId="219" priority="10">
      <formula>AND($C15-TODAY()&lt;30,TODAY()&lt;$C15)</formula>
    </cfRule>
  </conditionalFormatting>
  <conditionalFormatting sqref="D15">
    <cfRule type="cellIs" dxfId="218" priority="11" stopIfTrue="1" operator="lessThan">
      <formula>$B$2</formula>
    </cfRule>
  </conditionalFormatting>
  <conditionalFormatting sqref="F15">
    <cfRule type="cellIs" dxfId="217" priority="9" stopIfTrue="1" operator="equal">
      <formula>"已过期"</formula>
    </cfRule>
  </conditionalFormatting>
  <conditionalFormatting sqref="C15">
    <cfRule type="expression" dxfId="216" priority="7">
      <formula>AND($C15-TODAY()&lt;30,TODAY()&lt;$C15)</formula>
    </cfRule>
  </conditionalFormatting>
  <conditionalFormatting sqref="C15">
    <cfRule type="cellIs" dxfId="215" priority="8" stopIfTrue="1" operator="lessThan">
      <formula>$B$2</formula>
    </cfRule>
  </conditionalFormatting>
  <conditionalFormatting sqref="C15">
    <cfRule type="expression" dxfId="214" priority="5">
      <formula>AND($C15-TODAY()&lt;30,TODAY()&lt;$C15)</formula>
    </cfRule>
  </conditionalFormatting>
  <conditionalFormatting sqref="C15">
    <cfRule type="cellIs" dxfId="213" priority="6" stopIfTrue="1" operator="lessThan">
      <formula>$B$2</formula>
    </cfRule>
  </conditionalFormatting>
  <conditionalFormatting sqref="B15">
    <cfRule type="cellIs" dxfId="212" priority="4" stopIfTrue="1" operator="equal">
      <formula>"已过期"</formula>
    </cfRule>
  </conditionalFormatting>
  <conditionalFormatting sqref="G15">
    <cfRule type="cellIs" dxfId="211" priority="3" stopIfTrue="1" operator="lessThan">
      <formula>$B$2</formula>
    </cfRule>
  </conditionalFormatting>
  <conditionalFormatting sqref="G20">
    <cfRule type="expression" dxfId="210" priority="1" stopIfTrue="1">
      <formula>AND(#REF!-TODAY()&lt;30,TODAY()&lt;#REF!)</formula>
    </cfRule>
  </conditionalFormatting>
  <conditionalFormatting sqref="G20">
    <cfRule type="cellIs" dxfId="20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比较法-商业</vt:lpstr>
      <vt:lpstr>收益法</vt:lpstr>
      <vt:lpstr>成本法</vt:lpstr>
      <vt:lpstr>成本法 (元)</vt:lpstr>
      <vt:lpstr>假设开发法</vt:lpstr>
      <vt:lpstr>典型户型修正</vt:lpstr>
      <vt:lpstr>收益法 (元)</vt:lpstr>
      <vt:lpstr>收益法-酒店模型</vt:lpstr>
      <vt:lpstr>收益法（汇总）</vt:lpstr>
      <vt:lpstr>比较法-住宅</vt:lpstr>
      <vt:lpstr>结果表(办公)</vt:lpstr>
      <vt:lpstr>比较法-办公</vt:lpstr>
      <vt:lpstr>收益法(办公)</vt:lpstr>
      <vt:lpstr>比较法-工业</vt:lpstr>
      <vt:lpstr>结果表(车位)</vt:lpstr>
      <vt:lpstr>比较法-车位</vt:lpstr>
      <vt:lpstr>收益法(车位)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'结果表(办公)'!Print_Area</vt:lpstr>
      <vt:lpstr>'结果表(车位)'!Print_Area</vt:lpstr>
      <vt:lpstr>收益法!Print_Area</vt:lpstr>
      <vt:lpstr>'收益法 (元)'!Print_Area</vt:lpstr>
      <vt:lpstr>'收益法(办公)'!Print_Area</vt:lpstr>
      <vt:lpstr>'收益法(车位)'!Print_Area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2022-07-27T06:53:44Z</dcterms:modified>
</cp:coreProperties>
</file>