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D:\1.报告们\2.咨询报告\德州5\上林世家20102013\"/>
    </mc:Choice>
  </mc:AlternateContent>
  <bookViews>
    <workbookView xWindow="0" yWindow="0" windowWidth="15240" windowHeight="111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案例" sheetId="84"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s>
  <definedNames>
    <definedName name="_xlnm._FilterDatabase" localSheetId="39" hidden="1">案例!$A$1:$U$31</definedName>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F128" i="21" l="1"/>
  <c r="E128" i="21"/>
  <c r="D128" i="21"/>
  <c r="N18" i="1"/>
  <c r="I6" i="21" l="1"/>
  <c r="G6" i="21"/>
  <c r="E6" i="21"/>
  <c r="K59" i="21"/>
  <c r="J59" i="21"/>
  <c r="H59" i="21"/>
  <c r="G59" i="21"/>
  <c r="E59" i="21"/>
  <c r="D59" i="21"/>
  <c r="I47" i="21"/>
  <c r="G47" i="21"/>
  <c r="E47" i="21"/>
  <c r="I7" i="21"/>
  <c r="G7" i="21"/>
  <c r="E7" i="21"/>
  <c r="I5" i="21"/>
  <c r="G5" i="21"/>
  <c r="E5" i="21"/>
  <c r="D5" i="9" l="1"/>
  <c r="D126" i="21"/>
  <c r="C126" i="21"/>
  <c r="I37" i="21"/>
  <c r="G37" i="21"/>
  <c r="F19" i="6" l="1"/>
  <c r="B14" i="74" l="1"/>
  <c r="C33" i="2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29" i="79"/>
  <c r="AA29" i="79"/>
  <c r="Z29" i="79"/>
  <c r="N29" i="79"/>
  <c r="M29" i="79"/>
  <c r="L29" i="79"/>
  <c r="I29" i="79"/>
  <c r="G26" i="79"/>
  <c r="F26" i="79"/>
  <c r="I26" i="79" s="1"/>
  <c r="E26" i="79"/>
  <c r="AC19" i="79"/>
  <c r="AB19" i="79"/>
  <c r="AA19" i="79"/>
  <c r="AD19" i="79" s="1"/>
  <c r="Z19" i="79"/>
  <c r="Y19" i="79"/>
  <c r="W19" i="79"/>
  <c r="O19" i="79"/>
  <c r="N19" i="79"/>
  <c r="M19" i="79"/>
  <c r="P19" i="79" s="1"/>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S15" i="79"/>
  <c r="R13" i="79"/>
  <c r="S14" i="79"/>
  <c r="T15" i="79"/>
  <c r="W15" i="79" s="1"/>
  <c r="AA26" i="79"/>
  <c r="AD26" i="79" s="1"/>
  <c r="AD37" i="79"/>
  <c r="V17" i="79"/>
  <c r="M26" i="79"/>
  <c r="P26" i="79" s="1"/>
  <c r="Z3" i="79"/>
  <c r="V13" i="79"/>
  <c r="U17" i="79"/>
  <c r="S28" i="79"/>
  <c r="T30" i="79"/>
  <c r="W30" i="79" s="1"/>
  <c r="U36" i="79"/>
  <c r="S38" i="79"/>
  <c r="U40" i="79"/>
  <c r="AD41" i="79"/>
  <c r="R17" i="79"/>
  <c r="S17" i="79"/>
  <c r="N26"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W29" i="79" s="1"/>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B15" i="72" s="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E80" i="71"/>
  <c r="U80" i="71" s="1"/>
  <c r="C80" i="71"/>
  <c r="C79" i="71" s="1"/>
  <c r="T80" i="71"/>
  <c r="B80" i="71"/>
  <c r="Q79" i="71"/>
  <c r="P79" i="71"/>
  <c r="O79" i="71"/>
  <c r="N79" i="71"/>
  <c r="Q78" i="71"/>
  <c r="P78" i="71"/>
  <c r="O78" i="71"/>
  <c r="N78" i="71"/>
  <c r="Q77" i="71"/>
  <c r="P77" i="71"/>
  <c r="O77" i="71"/>
  <c r="N77" i="71"/>
  <c r="D77" i="71"/>
  <c r="Q76" i="71"/>
  <c r="P76" i="71"/>
  <c r="O76" i="71"/>
  <c r="N76" i="71"/>
  <c r="F76" i="71"/>
  <c r="V76" i="71" s="1"/>
  <c r="E76" i="71"/>
  <c r="U76" i="71" s="1"/>
  <c r="C76" i="7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s="1"/>
  <c r="D61" i="71"/>
  <c r="Q60" i="71"/>
  <c r="P60" i="71"/>
  <c r="O60" i="71"/>
  <c r="N60" i="71"/>
  <c r="Q59" i="71"/>
  <c r="P59" i="71"/>
  <c r="O59" i="71"/>
  <c r="N59" i="71"/>
  <c r="Q58" i="71"/>
  <c r="P58" i="71"/>
  <c r="O58" i="71"/>
  <c r="N58" i="71"/>
  <c r="Q57" i="71"/>
  <c r="F58" i="71" s="1"/>
  <c r="F59" i="71" s="1"/>
  <c r="F60" i="7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X38" i="71" s="1"/>
  <c r="Q37" i="71"/>
  <c r="P37" i="71"/>
  <c r="O37" i="71"/>
  <c r="N37" i="71"/>
  <c r="B38" i="71" s="1"/>
  <c r="B39" i="71" s="1"/>
  <c r="B40" i="71" s="1"/>
  <c r="S40" i="71" s="1"/>
  <c r="D37" i="71"/>
  <c r="Q36" i="71"/>
  <c r="P36" i="71"/>
  <c r="O36" i="71"/>
  <c r="N36" i="71"/>
  <c r="Q35" i="71"/>
  <c r="P35" i="71"/>
  <c r="O35" i="71"/>
  <c r="N35" i="71"/>
  <c r="Q34" i="71"/>
  <c r="P34" i="71"/>
  <c r="O34" i="71"/>
  <c r="N34" i="71"/>
  <c r="Q33" i="71"/>
  <c r="F34" i="71" s="1"/>
  <c r="P33" i="71"/>
  <c r="E34" i="71" s="1"/>
  <c r="E35" i="71" s="1"/>
  <c r="E36" i="71" s="1"/>
  <c r="U36" i="71" s="1"/>
  <c r="O33" i="71"/>
  <c r="N33" i="71"/>
  <c r="D33" i="71"/>
  <c r="Q32" i="71"/>
  <c r="P32" i="71"/>
  <c r="O32" i="71"/>
  <c r="N32" i="71"/>
  <c r="Q31" i="71"/>
  <c r="P31" i="71"/>
  <c r="O31" i="71"/>
  <c r="N31" i="71"/>
  <c r="Q30" i="71"/>
  <c r="P30" i="71"/>
  <c r="O30" i="71"/>
  <c r="N30" i="71"/>
  <c r="Q29" i="71"/>
  <c r="F30" i="71" s="1"/>
  <c r="P29" i="71"/>
  <c r="E30" i="71" s="1"/>
  <c r="E31" i="71" s="1"/>
  <c r="E32" i="71" s="1"/>
  <c r="U32" i="71" s="1"/>
  <c r="O29" i="71"/>
  <c r="C30" i="71" s="1"/>
  <c r="C31" i="71" s="1"/>
  <c r="N29" i="71"/>
  <c r="D29" i="71"/>
  <c r="O28" i="71"/>
  <c r="N28" i="71"/>
  <c r="B28" i="71" s="1"/>
  <c r="B30" i="71"/>
  <c r="B31" i="71" s="1"/>
  <c r="B32" i="71" s="1"/>
  <c r="S32" i="71" s="1"/>
  <c r="B34" i="71"/>
  <c r="E38" i="71"/>
  <c r="C38" i="71"/>
  <c r="C28" i="71"/>
  <c r="T28" i="71" s="1"/>
  <c r="P28" i="71"/>
  <c r="E28" i="71" s="1"/>
  <c r="E63" i="71"/>
  <c r="E64" i="71" s="1"/>
  <c r="U64" i="71" s="1"/>
  <c r="Q28" i="71"/>
  <c r="C59" i="71"/>
  <c r="D59" i="71" s="1"/>
  <c r="D68" i="71"/>
  <c r="Q68" i="71"/>
  <c r="C71" i="71"/>
  <c r="C70" i="71" s="1"/>
  <c r="D70" i="71" s="1"/>
  <c r="E71" i="71"/>
  <c r="E70" i="71" s="1"/>
  <c r="D72" i="71"/>
  <c r="E75" i="71"/>
  <c r="E74" i="71" s="1"/>
  <c r="E79" i="71"/>
  <c r="E78" i="71" s="1"/>
  <c r="D80" i="71"/>
  <c r="C83" i="71"/>
  <c r="C87" i="71"/>
  <c r="D71" i="71"/>
  <c r="C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H21" i="33"/>
  <c r="F21" i="33"/>
  <c r="S21" i="33" s="1"/>
  <c r="E83" i="21"/>
  <c r="F83" i="21" s="1"/>
  <c r="H1" i="69"/>
  <c r="AC25" i="40"/>
  <c r="U29" i="39"/>
  <c r="S21" i="37"/>
  <c r="J21" i="37"/>
  <c r="G84" i="34"/>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3" s="1"/>
  <c r="E15" i="4"/>
  <c r="F8" i="1" s="1"/>
  <c r="G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L34" i="3" s="1"/>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L169" i="3" s="1"/>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G256" i="3" s="1"/>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L242" i="3" s="1"/>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A331" i="3" s="1"/>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G452" i="3" s="1"/>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L427" i="3" s="1"/>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G584" i="3" s="1"/>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U31" i="35" s="1"/>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E113" i="33" s="1"/>
  <c r="F113" i="33" s="1"/>
  <c r="F37" i="33"/>
  <c r="D111" i="33"/>
  <c r="E111" i="33"/>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M78" i="39"/>
  <c r="L78" i="39"/>
  <c r="K78" i="39"/>
  <c r="J78" i="39"/>
  <c r="I78" i="39"/>
  <c r="H78" i="39"/>
  <c r="G78" i="39"/>
  <c r="F78" i="39"/>
  <c r="E78" i="39"/>
  <c r="D78" i="39"/>
  <c r="C78" i="39"/>
  <c r="P48" i="39"/>
  <c r="P47" i="39"/>
  <c r="V46" i="39"/>
  <c r="T46" i="39"/>
  <c r="R46" i="39"/>
  <c r="P46" i="39"/>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AA25" i="37" s="1"/>
  <c r="H25" i="37"/>
  <c r="U25" i="37" s="1"/>
  <c r="B110" i="37"/>
  <c r="J39" i="37" s="1"/>
  <c r="AC39" i="37" s="1"/>
  <c r="B108" i="37"/>
  <c r="C23" i="37"/>
  <c r="C19" i="37"/>
  <c r="C17" i="37"/>
  <c r="C15" i="37"/>
  <c r="B112" i="37"/>
  <c r="D107" i="37"/>
  <c r="E107" i="37" s="1"/>
  <c r="F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c r="J31" i="37"/>
  <c r="AC31" i="37" s="1"/>
  <c r="Q30" i="37"/>
  <c r="Z30" i="37"/>
  <c r="J30" i="37"/>
  <c r="AC30" i="37" s="1"/>
  <c r="H30" i="37"/>
  <c r="F30" i="37"/>
  <c r="AA30" i="37" s="1"/>
  <c r="Q29" i="37"/>
  <c r="Z29" i="37"/>
  <c r="H29" i="37"/>
  <c r="AB29" i="37" s="1"/>
  <c r="Q28" i="37"/>
  <c r="Z28" i="37"/>
  <c r="Q27" i="37"/>
  <c r="Z27" i="37" s="1"/>
  <c r="Q26" i="37"/>
  <c r="Z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c r="G64" i="36" s="1"/>
  <c r="J16" i="36"/>
  <c r="W16" i="36" s="1"/>
  <c r="D62" i="36"/>
  <c r="E62" i="36"/>
  <c r="F62" i="36" s="1"/>
  <c r="G62" i="36" s="1"/>
  <c r="B59" i="36"/>
  <c r="B57" i="36"/>
  <c r="J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F23" i="36"/>
  <c r="AA23" i="36" s="1"/>
  <c r="Q22" i="36"/>
  <c r="Z22" i="36"/>
  <c r="J22" i="36"/>
  <c r="AC22" i="36" s="1"/>
  <c r="Q20" i="36"/>
  <c r="Z20" i="36" s="1"/>
  <c r="Q16" i="36"/>
  <c r="Z16" i="36" s="1"/>
  <c r="Q14" i="36"/>
  <c r="Z14" i="36"/>
  <c r="Q13" i="36"/>
  <c r="Z13" i="36" s="1"/>
  <c r="Q12" i="36"/>
  <c r="Z12" i="36" s="1"/>
  <c r="H12" i="36"/>
  <c r="U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B77" i="35"/>
  <c r="B75" i="35"/>
  <c r="J24" i="35" s="1"/>
  <c r="AC24" i="35"/>
  <c r="B73" i="35"/>
  <c r="B57" i="35"/>
  <c r="B61" i="35"/>
  <c r="F13" i="35" s="1"/>
  <c r="B59" i="35"/>
  <c r="B131" i="34"/>
  <c r="B129" i="34"/>
  <c r="B127" i="34"/>
  <c r="J45" i="34" s="1"/>
  <c r="B99" i="34"/>
  <c r="B97" i="34"/>
  <c r="B95" i="34"/>
  <c r="B93" i="34"/>
  <c r="B75" i="34"/>
  <c r="J14" i="34" s="1"/>
  <c r="W14" i="34" s="1"/>
  <c r="B73" i="34"/>
  <c r="B71" i="34"/>
  <c r="B130" i="33"/>
  <c r="H46" i="33" s="1"/>
  <c r="B128" i="33"/>
  <c r="J45" i="33" s="1"/>
  <c r="W45" i="33" s="1"/>
  <c r="B126" i="33"/>
  <c r="B98" i="33"/>
  <c r="B96" i="33"/>
  <c r="J30" i="33" s="1"/>
  <c r="B94" i="33"/>
  <c r="F29" i="33" s="1"/>
  <c r="S29" i="33" s="1"/>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8" i="34"/>
  <c r="AC8" i="34" s="1"/>
  <c r="H8" i="34"/>
  <c r="U8" i="34" s="1"/>
  <c r="F8" i="34"/>
  <c r="D121" i="33"/>
  <c r="E121" i="33" s="1"/>
  <c r="F109" i="33"/>
  <c r="E109" i="33"/>
  <c r="D109" i="33"/>
  <c r="C109" i="33"/>
  <c r="D91" i="33"/>
  <c r="E91" i="33" s="1"/>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s="1"/>
  <c r="J42" i="33"/>
  <c r="AC42" i="33" s="1"/>
  <c r="Q41" i="33"/>
  <c r="Z41" i="33" s="1"/>
  <c r="Q40" i="33"/>
  <c r="Z40" i="33"/>
  <c r="J40" i="33"/>
  <c r="AC40" i="33" s="1"/>
  <c r="H40" i="33"/>
  <c r="AB40" i="33" s="1"/>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B75" i="43"/>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D119" i="21"/>
  <c r="E119" i="21" s="1"/>
  <c r="F119" i="21" s="1"/>
  <c r="G119" i="21" s="1"/>
  <c r="H119" i="21" s="1"/>
  <c r="I119" i="21" s="1"/>
  <c r="J119" i="21" s="1"/>
  <c r="K119" i="21" s="1"/>
  <c r="L119" i="21" s="1"/>
  <c r="M119" i="21" s="1"/>
  <c r="F40" i="21"/>
  <c r="D117" i="21"/>
  <c r="E117" i="21" s="1"/>
  <c r="F117" i="21" s="1"/>
  <c r="G117" i="21" s="1"/>
  <c r="D115" i="21"/>
  <c r="E115" i="21"/>
  <c r="F115" i="21" s="1"/>
  <c r="G115" i="21" s="1"/>
  <c r="H115" i="21" s="1"/>
  <c r="I115" i="21" s="1"/>
  <c r="J115" i="21" s="1"/>
  <c r="K115" i="21" s="1"/>
  <c r="L115" i="21" s="1"/>
  <c r="M115" i="21" s="1"/>
  <c r="D113" i="21"/>
  <c r="E113" i="21" s="1"/>
  <c r="F113" i="2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s="1"/>
  <c r="G81" i="21" s="1"/>
  <c r="D77" i="21"/>
  <c r="E77" i="21" s="1"/>
  <c r="B130" i="21"/>
  <c r="B128" i="21"/>
  <c r="B126" i="21"/>
  <c r="B98" i="21"/>
  <c r="F31" i="21" s="1"/>
  <c r="B96" i="21"/>
  <c r="B94" i="21"/>
  <c r="J29" i="21"/>
  <c r="AC29" i="21" s="1"/>
  <c r="B92" i="21"/>
  <c r="J28" i="21" s="1"/>
  <c r="B90" i="21"/>
  <c r="J27" i="21"/>
  <c r="W27" i="21" s="1"/>
  <c r="B74" i="2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c r="Q41" i="21"/>
  <c r="Z41" i="21" s="1"/>
  <c r="Q42" i="21"/>
  <c r="Z42" i="21" s="1"/>
  <c r="J43" i="21"/>
  <c r="AC43" i="21" s="1"/>
  <c r="Q43" i="21"/>
  <c r="Z43" i="21" s="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U34" i="21" s="1"/>
  <c r="F43" i="21"/>
  <c r="S43" i="21" s="1"/>
  <c r="H38" i="21"/>
  <c r="AB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s="1"/>
  <c r="AB41" i="21"/>
  <c r="S41" i="21"/>
  <c r="AA41" i="21"/>
  <c r="F45" i="39"/>
  <c r="S45" i="39" s="1"/>
  <c r="J45" i="39"/>
  <c r="W45" i="39" s="1"/>
  <c r="F35" i="39"/>
  <c r="AA35" i="39" s="1"/>
  <c r="W25" i="37"/>
  <c r="W31" i="37"/>
  <c r="F103" i="37"/>
  <c r="G103" i="37" s="1"/>
  <c r="H103" i="37" s="1"/>
  <c r="I103" i="37" s="1"/>
  <c r="J103" i="37" s="1"/>
  <c r="K103" i="37" s="1"/>
  <c r="L103" i="37" s="1"/>
  <c r="M103" i="37" s="1"/>
  <c r="F39" i="37"/>
  <c r="S39" i="37" s="1"/>
  <c r="F29" i="36"/>
  <c r="AA29" i="36" s="1"/>
  <c r="F16" i="36"/>
  <c r="AA16" i="36" s="1"/>
  <c r="W28" i="36"/>
  <c r="U31" i="36"/>
  <c r="H22" i="35"/>
  <c r="AB22" i="35"/>
  <c r="AC27" i="35"/>
  <c r="W28" i="35"/>
  <c r="W22" i="35"/>
  <c r="S31" i="35"/>
  <c r="F36" i="34"/>
  <c r="J35" i="34"/>
  <c r="H39" i="33"/>
  <c r="AB39" i="33"/>
  <c r="F26" i="33"/>
  <c r="S40" i="33"/>
  <c r="W33" i="33"/>
  <c r="H39" i="37"/>
  <c r="AB39" i="37" s="1"/>
  <c r="S27" i="35"/>
  <c r="F11" i="40"/>
  <c r="AA11" i="40"/>
  <c r="H11" i="40"/>
  <c r="AB11" i="40" s="1"/>
  <c r="AA9" i="40"/>
  <c r="U9" i="40"/>
  <c r="W31" i="40"/>
  <c r="U34" i="40"/>
  <c r="F42" i="39"/>
  <c r="AA42" i="39" s="1"/>
  <c r="F41" i="39"/>
  <c r="S41" i="39" s="1"/>
  <c r="H40" i="39"/>
  <c r="AB40" i="39" s="1"/>
  <c r="H39" i="39"/>
  <c r="U39" i="39" s="1"/>
  <c r="S38" i="39"/>
  <c r="H34"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G100" i="39" s="1"/>
  <c r="H27" i="39"/>
  <c r="U27" i="39" s="1"/>
  <c r="J19" i="39"/>
  <c r="AC19" i="39" s="1"/>
  <c r="J17" i="39"/>
  <c r="J27" i="39"/>
  <c r="AC27" i="39" s="1"/>
  <c r="F27" i="39"/>
  <c r="F11" i="21"/>
  <c r="S11" i="21" s="1"/>
  <c r="C25" i="39"/>
  <c r="H11" i="39"/>
  <c r="H32" i="33"/>
  <c r="H11" i="21"/>
  <c r="U11" i="21" s="1"/>
  <c r="J11" i="21"/>
  <c r="W11" i="21" s="1"/>
  <c r="H37" i="40"/>
  <c r="U37" i="40" s="1"/>
  <c r="H36" i="40"/>
  <c r="AB36" i="40" s="1"/>
  <c r="F35" i="40"/>
  <c r="AA35" i="40" s="1"/>
  <c r="H23" i="40"/>
  <c r="AB23" i="40" s="1"/>
  <c r="H17" i="40"/>
  <c r="U17" i="40" s="1"/>
  <c r="J15" i="40"/>
  <c r="W15" i="40" s="1"/>
  <c r="J11" i="40"/>
  <c r="W11" i="40"/>
  <c r="AB8" i="39"/>
  <c r="AB12" i="36"/>
  <c r="J34" i="36"/>
  <c r="W34" i="36" s="1"/>
  <c r="U30" i="36"/>
  <c r="J30" i="35"/>
  <c r="W30" i="35" s="1"/>
  <c r="H30" i="35"/>
  <c r="AB30" i="35" s="1"/>
  <c r="F22" i="35"/>
  <c r="AA22" i="35" s="1"/>
  <c r="H10" i="35"/>
  <c r="U10" i="35" s="1"/>
  <c r="W30" i="36"/>
  <c r="H16" i="36"/>
  <c r="AB16" i="36" s="1"/>
  <c r="J29" i="36"/>
  <c r="AC29" i="36" s="1"/>
  <c r="F12" i="36"/>
  <c r="S12" i="36" s="1"/>
  <c r="F24" i="36"/>
  <c r="AA24" i="36" s="1"/>
  <c r="F34" i="36"/>
  <c r="S34" i="36" s="1"/>
  <c r="F14" i="35"/>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5" i="34"/>
  <c r="S25" i="34" s="1"/>
  <c r="H23" i="34"/>
  <c r="U23" i="34" s="1"/>
  <c r="J23" i="34"/>
  <c r="F19" i="34"/>
  <c r="H17" i="34"/>
  <c r="F15" i="34"/>
  <c r="AA15" i="34" s="1"/>
  <c r="J15" i="34"/>
  <c r="H15" i="34"/>
  <c r="AB15" i="34" s="1"/>
  <c r="W8" i="34"/>
  <c r="F41" i="33"/>
  <c r="S41" i="33" s="1"/>
  <c r="S38" i="33"/>
  <c r="F32" i="33"/>
  <c r="AA32" i="33" s="1"/>
  <c r="J19" i="33"/>
  <c r="AC19" i="33" s="1"/>
  <c r="J15" i="33"/>
  <c r="AC15" i="33" s="1"/>
  <c r="F11" i="33"/>
  <c r="AA11" i="33" s="1"/>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G113" i="33"/>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J44" i="34"/>
  <c r="F44" i="34"/>
  <c r="S44" i="34" s="1"/>
  <c r="AA44" i="34"/>
  <c r="J10" i="35"/>
  <c r="AC10" i="35" s="1"/>
  <c r="J14" i="21"/>
  <c r="W14" i="21"/>
  <c r="F14" i="21"/>
  <c r="S14" i="21" s="1"/>
  <c r="H14" i="21"/>
  <c r="U14" i="21" s="1"/>
  <c r="H28" i="21"/>
  <c r="AB28" i="21" s="1"/>
  <c r="F28" i="21"/>
  <c r="AA28" i="21"/>
  <c r="H30" i="21"/>
  <c r="U30" i="21" s="1"/>
  <c r="F30" i="21"/>
  <c r="S30" i="21" s="1"/>
  <c r="J30" i="21"/>
  <c r="AC30" i="21" s="1"/>
  <c r="J44" i="21"/>
  <c r="AC44" i="21" s="1"/>
  <c r="H44" i="21"/>
  <c r="U44" i="21" s="1"/>
  <c r="F44" i="21"/>
  <c r="AA44" i="21" s="1"/>
  <c r="H26" i="33"/>
  <c r="AB26" i="33" s="1"/>
  <c r="U26" i="33"/>
  <c r="H28" i="33"/>
  <c r="U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S31" i="21"/>
  <c r="F27" i="33"/>
  <c r="AA27" i="33" s="1"/>
  <c r="J13" i="33"/>
  <c r="H13" i="33"/>
  <c r="U13" i="33" s="1"/>
  <c r="F13" i="33"/>
  <c r="S13" i="33" s="1"/>
  <c r="J29" i="33"/>
  <c r="H29" i="33"/>
  <c r="U29" i="33" s="1"/>
  <c r="J31" i="33"/>
  <c r="W31" i="33"/>
  <c r="H31" i="33"/>
  <c r="F31" i="33"/>
  <c r="F14" i="34"/>
  <c r="H14" i="34"/>
  <c r="H30" i="34"/>
  <c r="F30" i="34"/>
  <c r="S30" i="34" s="1"/>
  <c r="J30" i="34"/>
  <c r="H32" i="34"/>
  <c r="H46" i="34"/>
  <c r="U46" i="34" s="1"/>
  <c r="F46" i="34"/>
  <c r="J46" i="34"/>
  <c r="H11" i="35"/>
  <c r="AB11" i="35" s="1"/>
  <c r="J11" i="35"/>
  <c r="W11" i="35" s="1"/>
  <c r="AC11" i="35"/>
  <c r="F11" i="35"/>
  <c r="S11" i="35" s="1"/>
  <c r="J26" i="36"/>
  <c r="W26" i="36" s="1"/>
  <c r="H28" i="36"/>
  <c r="U28" i="36" s="1"/>
  <c r="H32" i="36"/>
  <c r="AB32" i="36" s="1"/>
  <c r="J32" i="36"/>
  <c r="W32" i="36" s="1"/>
  <c r="H11" i="36"/>
  <c r="U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H14" i="33"/>
  <c r="U14" i="33" s="1"/>
  <c r="F14" i="33"/>
  <c r="AA14" i="33" s="1"/>
  <c r="J14" i="33"/>
  <c r="H30" i="33"/>
  <c r="AB30" i="33"/>
  <c r="F30" i="33"/>
  <c r="H44" i="33"/>
  <c r="J44" i="33"/>
  <c r="W44" i="33" s="1"/>
  <c r="AC44" i="33"/>
  <c r="F44" i="33"/>
  <c r="S44" i="33" s="1"/>
  <c r="J46" i="33"/>
  <c r="AC46" i="33" s="1"/>
  <c r="F46" i="33"/>
  <c r="AA46" i="33" s="1"/>
  <c r="AB46" i="33"/>
  <c r="H13" i="34"/>
  <c r="U13" i="34" s="1"/>
  <c r="J13" i="34"/>
  <c r="W13" i="34" s="1"/>
  <c r="F13" i="34"/>
  <c r="AA13" i="34" s="1"/>
  <c r="J29" i="34"/>
  <c r="F29" i="34"/>
  <c r="S29" i="34" s="1"/>
  <c r="H29" i="34"/>
  <c r="AB29" i="34" s="1"/>
  <c r="J31" i="34"/>
  <c r="AC31" i="34" s="1"/>
  <c r="H31" i="34"/>
  <c r="F31" i="34"/>
  <c r="S31" i="34" s="1"/>
  <c r="H45" i="34"/>
  <c r="U45" i="34" s="1"/>
  <c r="W45" i="34"/>
  <c r="F45" i="34"/>
  <c r="S45" i="34" s="1"/>
  <c r="H47" i="34"/>
  <c r="U47" i="34" s="1"/>
  <c r="F47" i="34"/>
  <c r="S47" i="34" s="1"/>
  <c r="J47" i="34"/>
  <c r="AC47" i="34" s="1"/>
  <c r="J13" i="35"/>
  <c r="AC13" i="35" s="1"/>
  <c r="H13" i="35"/>
  <c r="U13" i="35" s="1"/>
  <c r="J25" i="35"/>
  <c r="W25" i="35"/>
  <c r="F25" i="35"/>
  <c r="S25" i="35" s="1"/>
  <c r="H25" i="35"/>
  <c r="AB25" i="35" s="1"/>
  <c r="F35" i="35"/>
  <c r="AA35" i="35" s="1"/>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AA38" i="37" s="1"/>
  <c r="J14" i="39"/>
  <c r="AC14" i="39" s="1"/>
  <c r="F14" i="39"/>
  <c r="H14" i="39"/>
  <c r="AB14" i="39" s="1"/>
  <c r="H12" i="40"/>
  <c r="AB12" i="40" s="1"/>
  <c r="H30" i="40"/>
  <c r="AB30" i="40" s="1"/>
  <c r="F33" i="40"/>
  <c r="AA33" i="40" s="1"/>
  <c r="H33" i="40"/>
  <c r="AB33" i="40" s="1"/>
  <c r="J35" i="40"/>
  <c r="AC35" i="40" s="1"/>
  <c r="J37" i="40"/>
  <c r="AC37" i="40"/>
  <c r="F13" i="40"/>
  <c r="AA13" i="40" s="1"/>
  <c r="F14" i="37"/>
  <c r="F13" i="39"/>
  <c r="J13" i="39"/>
  <c r="W13" i="39" s="1"/>
  <c r="H13" i="39"/>
  <c r="H14" i="40"/>
  <c r="AB14" i="40"/>
  <c r="J14" i="40"/>
  <c r="W14" i="40" s="1"/>
  <c r="F14" i="40"/>
  <c r="J27" i="37"/>
  <c r="AC27" i="37"/>
  <c r="AA44" i="33"/>
  <c r="U46" i="33"/>
  <c r="J36" i="37"/>
  <c r="AC36" i="37" s="1"/>
  <c r="J10" i="36"/>
  <c r="AC10" i="36" s="1"/>
  <c r="AB46" i="34"/>
  <c r="BA585" i="3"/>
  <c r="F17" i="21"/>
  <c r="AA17" i="21" s="1"/>
  <c r="H17" i="21"/>
  <c r="AB17" i="21" s="1"/>
  <c r="F15" i="21"/>
  <c r="S15" i="21" s="1"/>
  <c r="J41" i="39"/>
  <c r="W41" i="39" s="1"/>
  <c r="S35" i="39"/>
  <c r="G544" i="3"/>
  <c r="G540" i="3"/>
  <c r="G536" i="3"/>
  <c r="G535" i="3"/>
  <c r="G531" i="3"/>
  <c r="G528" i="3"/>
  <c r="G527" i="3"/>
  <c r="G518" i="3"/>
  <c r="G514" i="3"/>
  <c r="G508" i="3"/>
  <c r="G504" i="3"/>
  <c r="G500" i="3"/>
  <c r="G580" i="3"/>
  <c r="G576" i="3"/>
  <c r="G564" i="3"/>
  <c r="G560" i="3"/>
  <c r="G554" i="3"/>
  <c r="G550" i="3"/>
  <c r="BL584" i="3"/>
  <c r="BL564" i="3"/>
  <c r="BL560" i="3"/>
  <c r="AZ560" i="3" s="1"/>
  <c r="BL538" i="3"/>
  <c r="BL534" i="3"/>
  <c r="BL516" i="3"/>
  <c r="BL512" i="3"/>
  <c r="BL494" i="3"/>
  <c r="BL578" i="3"/>
  <c r="BL562" i="3"/>
  <c r="BL556" i="3"/>
  <c r="BL536" i="3"/>
  <c r="G533" i="3"/>
  <c r="G529" i="3"/>
  <c r="BL518" i="3"/>
  <c r="BL500" i="3"/>
  <c r="BL496" i="3"/>
  <c r="G493" i="3"/>
  <c r="BA580" i="3"/>
  <c r="BA578" i="3"/>
  <c r="BA570" i="3"/>
  <c r="BA566" i="3"/>
  <c r="BA564" i="3"/>
  <c r="AZ564" i="3" s="1"/>
  <c r="BA562" i="3"/>
  <c r="BA560" i="3"/>
  <c r="BA558" i="3"/>
  <c r="BA556" i="3"/>
  <c r="BA554" i="3"/>
  <c r="BA544" i="3"/>
  <c r="BA540" i="3"/>
  <c r="BA532" i="3"/>
  <c r="BA526" i="3"/>
  <c r="BA524" i="3"/>
  <c r="BA516" i="3"/>
  <c r="BA512" i="3"/>
  <c r="AZ512" i="3" s="1"/>
  <c r="BA508" i="3"/>
  <c r="BA506" i="3"/>
  <c r="BA500" i="3"/>
  <c r="BA498" i="3"/>
  <c r="BA583" i="3"/>
  <c r="BA573" i="3"/>
  <c r="BA565" i="3"/>
  <c r="BA563" i="3"/>
  <c r="BA561" i="3"/>
  <c r="BA559" i="3"/>
  <c r="BA555" i="3"/>
  <c r="BA553" i="3"/>
  <c r="BA539" i="3"/>
  <c r="BA531" i="3"/>
  <c r="BA529" i="3"/>
  <c r="BA519" i="3"/>
  <c r="BA517" i="3"/>
  <c r="BA507" i="3"/>
  <c r="BA503" i="3"/>
  <c r="BA495" i="3"/>
  <c r="BA493" i="3"/>
  <c r="G579" i="3"/>
  <c r="G577" i="3"/>
  <c r="G575" i="3"/>
  <c r="G571" i="3"/>
  <c r="G569" i="3"/>
  <c r="G567" i="3"/>
  <c r="G565" i="3"/>
  <c r="G563" i="3"/>
  <c r="G561" i="3"/>
  <c r="BL558" i="3"/>
  <c r="BA557" i="3"/>
  <c r="AC557" i="3"/>
  <c r="G557" i="3" s="1"/>
  <c r="BQ557" i="3"/>
  <c r="BL557" i="3" s="1"/>
  <c r="BQ583" i="3"/>
  <c r="BQ581" i="3"/>
  <c r="BL581" i="3" s="1"/>
  <c r="BQ579" i="3"/>
  <c r="BQ577" i="3"/>
  <c r="BQ575" i="3"/>
  <c r="BL575" i="3" s="1"/>
  <c r="BQ573" i="3"/>
  <c r="BQ571" i="3"/>
  <c r="BQ569" i="3"/>
  <c r="BL569" i="3" s="1"/>
  <c r="BQ567" i="3"/>
  <c r="BQ565" i="3"/>
  <c r="BL565" i="3" s="1"/>
  <c r="AZ565" i="3"/>
  <c r="BQ563" i="3"/>
  <c r="BL563" i="3" s="1"/>
  <c r="AZ563" i="3" s="1"/>
  <c r="BQ561" i="3"/>
  <c r="BL561" i="3"/>
  <c r="BQ559" i="3"/>
  <c r="BL559" i="3" s="1"/>
  <c r="AZ559" i="3" s="1"/>
  <c r="G559" i="3"/>
  <c r="G555" i="3"/>
  <c r="G553" i="3"/>
  <c r="G545" i="3"/>
  <c r="G543" i="3"/>
  <c r="G537" i="3"/>
  <c r="BQ555" i="3"/>
  <c r="BQ553" i="3"/>
  <c r="BQ551" i="3"/>
  <c r="BQ549" i="3"/>
  <c r="BQ547" i="3"/>
  <c r="BL547" i="3" s="1"/>
  <c r="BQ545" i="3"/>
  <c r="BQ543" i="3"/>
  <c r="BQ541" i="3"/>
  <c r="BQ539" i="3"/>
  <c r="BQ537" i="3"/>
  <c r="BQ535" i="3"/>
  <c r="BQ533" i="3"/>
  <c r="BQ531" i="3"/>
  <c r="BQ529" i="3"/>
  <c r="BQ527" i="3"/>
  <c r="BQ525" i="3"/>
  <c r="BL525" i="3" s="1"/>
  <c r="BQ523" i="3"/>
  <c r="BL523" i="3" s="1"/>
  <c r="AC521" i="3"/>
  <c r="G521" i="3" s="1"/>
  <c r="BQ521" i="3"/>
  <c r="BL520" i="3"/>
  <c r="G519" i="3"/>
  <c r="G515" i="3"/>
  <c r="G513" i="3"/>
  <c r="BQ519" i="3"/>
  <c r="BQ517" i="3"/>
  <c r="BL517" i="3" s="1"/>
  <c r="BQ515" i="3"/>
  <c r="BQ513" i="3"/>
  <c r="BL513" i="3" s="1"/>
  <c r="BQ511" i="3"/>
  <c r="BL511" i="3" s="1"/>
  <c r="AC509" i="3"/>
  <c r="BQ509" i="3"/>
  <c r="BL509" i="3" s="1"/>
  <c r="G507" i="3"/>
  <c r="G505" i="3"/>
  <c r="G503" i="3"/>
  <c r="G501" i="3"/>
  <c r="G499" i="3"/>
  <c r="G497" i="3"/>
  <c r="G495" i="3"/>
  <c r="BQ507" i="3"/>
  <c r="BQ505" i="3"/>
  <c r="BL505" i="3" s="1"/>
  <c r="BQ503" i="3"/>
  <c r="BL503" i="3" s="1"/>
  <c r="BQ501" i="3"/>
  <c r="BL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J25" i="21"/>
  <c r="AC25" i="21" s="1"/>
  <c r="E125" i="33"/>
  <c r="F125" i="33" s="1"/>
  <c r="G125" i="33" s="1"/>
  <c r="H43" i="33"/>
  <c r="H17" i="37"/>
  <c r="U17" i="37" s="1"/>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U14" i="40"/>
  <c r="U39" i="37"/>
  <c r="U26" i="37"/>
  <c r="W47" i="34"/>
  <c r="AC31" i="33"/>
  <c r="AC45" i="33"/>
  <c r="U11" i="33"/>
  <c r="U19" i="21"/>
  <c r="F43" i="33"/>
  <c r="AA43" i="33" s="1"/>
  <c r="W15" i="34"/>
  <c r="AC15" i="34"/>
  <c r="W16" i="35"/>
  <c r="G107" i="37"/>
  <c r="H107" i="37" s="1"/>
  <c r="I107" i="37" s="1"/>
  <c r="J107" i="37" s="1"/>
  <c r="K107" i="37" s="1"/>
  <c r="L107" i="37" s="1"/>
  <c r="M107" i="37"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J42" i="39"/>
  <c r="AC42" i="39" s="1"/>
  <c r="H21" i="40"/>
  <c r="AB21" i="40" s="1"/>
  <c r="AC12" i="37"/>
  <c r="H31" i="37"/>
  <c r="U31" i="37" s="1"/>
  <c r="J15" i="37"/>
  <c r="W15" i="37"/>
  <c r="AT6" i="3"/>
  <c r="H19" i="40"/>
  <c r="U19" i="40" s="1"/>
  <c r="F88" i="40"/>
  <c r="G88" i="40" s="1"/>
  <c r="F19" i="40"/>
  <c r="S19" i="40" s="1"/>
  <c r="W23" i="39"/>
  <c r="U45" i="39"/>
  <c r="AB45" i="39"/>
  <c r="H37" i="39"/>
  <c r="AB37" i="39" s="1"/>
  <c r="H25" i="39"/>
  <c r="AB25" i="39" s="1"/>
  <c r="J25" i="39"/>
  <c r="W25" i="39" s="1"/>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6"/>
  <c r="C46" i="36" s="1"/>
  <c r="D46" i="36" s="1"/>
  <c r="E46" i="36" s="1"/>
  <c r="F46" i="36" s="1"/>
  <c r="G46" i="36" s="1"/>
  <c r="H46" i="36" s="1"/>
  <c r="I46" i="36" s="1"/>
  <c r="J11" i="39"/>
  <c r="W11" i="39" s="1"/>
  <c r="F11" i="39"/>
  <c r="S11" i="39" s="1"/>
  <c r="AA11" i="39"/>
  <c r="G4" i="4"/>
  <c r="I4" i="4"/>
  <c r="F61" i="43"/>
  <c r="H64" i="43" s="1"/>
  <c r="BL549" i="3"/>
  <c r="G524" i="3"/>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BA341" i="3"/>
  <c r="BL341" i="3"/>
  <c r="BA343" i="3"/>
  <c r="BA345" i="3"/>
  <c r="BL355" i="3"/>
  <c r="G356" i="3"/>
  <c r="BL357" i="3"/>
  <c r="BA359" i="3"/>
  <c r="AZ359" i="3" s="1"/>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AZ105" i="3"/>
  <c r="AZ120" i="3"/>
  <c r="AZ128" i="3"/>
  <c r="G534" i="3"/>
  <c r="G530" i="3"/>
  <c r="G516" i="3"/>
  <c r="G512" i="3"/>
  <c r="G506" i="3"/>
  <c r="G498" i="3"/>
  <c r="G494" i="3"/>
  <c r="G16" i="3"/>
  <c r="G15" i="3"/>
  <c r="BA304" i="3"/>
  <c r="BA305" i="3"/>
  <c r="BL305" i="3"/>
  <c r="G306" i="3"/>
  <c r="G309" i="3"/>
  <c r="BL310" i="3"/>
  <c r="BA312" i="3"/>
  <c r="BA313" i="3"/>
  <c r="AZ313" i="3" s="1"/>
  <c r="BL313" i="3"/>
  <c r="G314" i="3"/>
  <c r="G317" i="3"/>
  <c r="BL318" i="3"/>
  <c r="BA320" i="3"/>
  <c r="AZ320" i="3" s="1"/>
  <c r="BA321" i="3"/>
  <c r="BL321" i="3"/>
  <c r="G322" i="3"/>
  <c r="G325" i="3"/>
  <c r="BL326" i="3"/>
  <c r="BA328" i="3"/>
  <c r="BA329" i="3"/>
  <c r="BL329" i="3"/>
  <c r="G330" i="3"/>
  <c r="G333" i="3"/>
  <c r="BL334" i="3"/>
  <c r="BA336" i="3"/>
  <c r="BA337" i="3"/>
  <c r="BL337" i="3"/>
  <c r="G338" i="3"/>
  <c r="G341" i="3"/>
  <c r="BA342" i="3"/>
  <c r="BL342" i="3"/>
  <c r="BA344" i="3"/>
  <c r="BL344" i="3"/>
  <c r="AZ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AZ389" i="3" s="1"/>
  <c r="BA390" i="3"/>
  <c r="BL390" i="3"/>
  <c r="G391" i="3"/>
  <c r="G394" i="3"/>
  <c r="AZ500" i="3"/>
  <c r="BA16" i="3"/>
  <c r="BL303" i="3"/>
  <c r="G304" i="3"/>
  <c r="BA306" i="3"/>
  <c r="BL307" i="3"/>
  <c r="G308" i="3"/>
  <c r="BA310" i="3"/>
  <c r="AZ310" i="3" s="1"/>
  <c r="BL311" i="3"/>
  <c r="AZ311" i="3" s="1"/>
  <c r="G312" i="3"/>
  <c r="BA314" i="3"/>
  <c r="BL315" i="3"/>
  <c r="AZ315" i="3"/>
  <c r="G316" i="3"/>
  <c r="BA318" i="3"/>
  <c r="BL319" i="3"/>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G342" i="3"/>
  <c r="BL345" i="3"/>
  <c r="G346" i="3"/>
  <c r="BL349" i="3"/>
  <c r="BL352" i="3"/>
  <c r="G353" i="3"/>
  <c r="BA357" i="3"/>
  <c r="AZ357" i="3" s="1"/>
  <c r="BL358" i="3"/>
  <c r="G359" i="3"/>
  <c r="BA361" i="3"/>
  <c r="AZ361" i="3" s="1"/>
  <c r="BL362" i="3"/>
  <c r="G363" i="3"/>
  <c r="BA365" i="3"/>
  <c r="BL366" i="3"/>
  <c r="G367" i="3"/>
  <c r="BA369" i="3"/>
  <c r="BL370" i="3"/>
  <c r="G371" i="3"/>
  <c r="BA373" i="3"/>
  <c r="BL374" i="3"/>
  <c r="G375" i="3"/>
  <c r="BA377" i="3"/>
  <c r="AZ377" i="3" s="1"/>
  <c r="AZ237" i="3"/>
  <c r="AZ265" i="3"/>
  <c r="BA379" i="3"/>
  <c r="AZ379" i="3" s="1"/>
  <c r="BL380" i="3"/>
  <c r="G381" i="3"/>
  <c r="BA383" i="3"/>
  <c r="AZ383" i="3" s="1"/>
  <c r="BL384" i="3"/>
  <c r="G385" i="3"/>
  <c r="BA387" i="3"/>
  <c r="AZ387" i="3" s="1"/>
  <c r="BL388" i="3"/>
  <c r="G389" i="3"/>
  <c r="BA391" i="3"/>
  <c r="BL392" i="3"/>
  <c r="G393" i="3"/>
  <c r="BJ5" i="3"/>
  <c r="BH5" i="3"/>
  <c r="BF5" i="3"/>
  <c r="AZ341" i="3"/>
  <c r="G548" i="3"/>
  <c r="G538" i="3"/>
  <c r="G520" i="3"/>
  <c r="G502" i="3"/>
  <c r="BP5" i="3"/>
  <c r="BK5" i="3"/>
  <c r="BI5" i="3"/>
  <c r="BG5" i="3"/>
  <c r="BC5" i="3"/>
  <c r="G17" i="3"/>
  <c r="BA17" i="3"/>
  <c r="AZ356" i="3"/>
  <c r="BA15" i="3"/>
  <c r="BR5" i="3"/>
  <c r="G509" i="3"/>
  <c r="U36" i="40"/>
  <c r="F83" i="43"/>
  <c r="H85" i="43" s="1"/>
  <c r="F50" i="43"/>
  <c r="H54" i="43" s="1"/>
  <c r="F72" i="43"/>
  <c r="H75" i="43" s="1"/>
  <c r="U17" i="39"/>
  <c r="G10" i="1"/>
  <c r="AC11" i="39"/>
  <c r="W37" i="37"/>
  <c r="W44" i="34"/>
  <c r="AC44" i="34"/>
  <c r="S15" i="37"/>
  <c r="U13" i="37"/>
  <c r="U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110" i="3"/>
  <c r="F23" i="39"/>
  <c r="AA23" i="39" s="1"/>
  <c r="H27" i="36"/>
  <c r="U27" i="36" s="1"/>
  <c r="F27" i="36"/>
  <c r="AA27" i="36" s="1"/>
  <c r="H33" i="34"/>
  <c r="U33" i="34" s="1"/>
  <c r="F32" i="37"/>
  <c r="S32" i="37" s="1"/>
  <c r="F20" i="36"/>
  <c r="AA20" i="36" s="1"/>
  <c r="J33" i="34"/>
  <c r="AC33" i="34" s="1"/>
  <c r="H23" i="39"/>
  <c r="U23" i="39" s="1"/>
  <c r="D48" i="9"/>
  <c r="M52" i="9" s="1"/>
  <c r="K9" i="1"/>
  <c r="M9" i="1" s="1"/>
  <c r="K6" i="1"/>
  <c r="AP6" i="1" s="1"/>
  <c r="AC26" i="33"/>
  <c r="W26" i="33"/>
  <c r="W27" i="34"/>
  <c r="AC27" i="34"/>
  <c r="AB34" i="36"/>
  <c r="U34" i="36"/>
  <c r="AB33" i="36"/>
  <c r="U33" i="36"/>
  <c r="W12" i="33"/>
  <c r="AC12" i="33"/>
  <c r="AA32" i="36"/>
  <c r="S32" i="36"/>
  <c r="BL14" i="3"/>
  <c r="U30" i="33"/>
  <c r="AC13" i="34"/>
  <c r="AA47" i="34"/>
  <c r="W28" i="37"/>
  <c r="S19" i="39"/>
  <c r="F12" i="33"/>
  <c r="AA12" i="33" s="1"/>
  <c r="H12" i="39"/>
  <c r="AB12" i="39" s="1"/>
  <c r="F39" i="40"/>
  <c r="BA14" i="3"/>
  <c r="B12" i="1"/>
  <c r="E12" i="1" s="1"/>
  <c r="B10" i="1"/>
  <c r="E10" i="1" s="1"/>
  <c r="K12" i="1"/>
  <c r="M12" i="1" s="1"/>
  <c r="S13" i="1"/>
  <c r="AR13" i="1" s="1"/>
  <c r="R13" i="1"/>
  <c r="J51" i="67"/>
  <c r="AC34" i="33"/>
  <c r="AB37" i="40"/>
  <c r="S35" i="40"/>
  <c r="U35" i="40"/>
  <c r="AC36" i="40"/>
  <c r="AA32" i="40"/>
  <c r="S17" i="40"/>
  <c r="S23" i="40"/>
  <c r="AC17" i="40"/>
  <c r="AC15" i="40"/>
  <c r="AB27" i="40"/>
  <c r="S30" i="40"/>
  <c r="S28" i="40"/>
  <c r="AA27" i="40"/>
  <c r="U21" i="40"/>
  <c r="U37" i="39"/>
  <c r="U35" i="39"/>
  <c r="F32" i="39"/>
  <c r="S32" i="39" s="1"/>
  <c r="F106" i="39"/>
  <c r="G106" i="39" s="1"/>
  <c r="H106" i="39" s="1"/>
  <c r="I106" i="39" s="1"/>
  <c r="J106" i="39" s="1"/>
  <c r="K106" i="39" s="1"/>
  <c r="L106" i="39" s="1"/>
  <c r="M106" i="39" s="1"/>
  <c r="U25" i="39"/>
  <c r="AB27" i="39"/>
  <c r="J21" i="39"/>
  <c r="W21" i="39" s="1"/>
  <c r="F21" i="39"/>
  <c r="S21" i="39" s="1"/>
  <c r="G94" i="39"/>
  <c r="H21" i="39"/>
  <c r="AB21" i="39" s="1"/>
  <c r="W19" i="39"/>
  <c r="U19" i="39"/>
  <c r="S17" i="39"/>
  <c r="S15" i="39"/>
  <c r="S9" i="39"/>
  <c r="AC13" i="39"/>
  <c r="U12" i="39"/>
  <c r="S23" i="36"/>
  <c r="U13" i="36"/>
  <c r="U26" i="36"/>
  <c r="AA26" i="36"/>
  <c r="AA34" i="36"/>
  <c r="AC26" i="36"/>
  <c r="W14" i="36"/>
  <c r="U22" i="36"/>
  <c r="S16" i="36"/>
  <c r="AA25" i="36"/>
  <c r="S24" i="36"/>
  <c r="AB20" i="36"/>
  <c r="U16" i="36"/>
  <c r="S14" i="36"/>
  <c r="W24" i="35"/>
  <c r="AB13" i="35"/>
  <c r="U29" i="35"/>
  <c r="U28" i="35"/>
  <c r="AB27" i="35"/>
  <c r="U32" i="35"/>
  <c r="AA33" i="35"/>
  <c r="AC30" i="35"/>
  <c r="S32" i="35"/>
  <c r="AA36" i="35"/>
  <c r="S28" i="35"/>
  <c r="AB16" i="35"/>
  <c r="U22" i="35"/>
  <c r="AC20" i="35"/>
  <c r="S22" i="35"/>
  <c r="U14" i="35"/>
  <c r="AA11" i="35"/>
  <c r="AC9" i="35"/>
  <c r="W9" i="35"/>
  <c r="W13" i="35"/>
  <c r="F9" i="35"/>
  <c r="S9" i="35" s="1"/>
  <c r="H9" i="35"/>
  <c r="U9" i="35" s="1"/>
  <c r="AB40" i="37"/>
  <c r="S25" i="37"/>
  <c r="W27" i="37"/>
  <c r="AC29" i="37"/>
  <c r="U29" i="37"/>
  <c r="AB31" i="37"/>
  <c r="W30" i="37"/>
  <c r="S36" i="37"/>
  <c r="U32" i="37"/>
  <c r="W38" i="37"/>
  <c r="AC35" i="37"/>
  <c r="W39" i="37"/>
  <c r="S30" i="37"/>
  <c r="S37" i="37"/>
  <c r="AC15" i="37"/>
  <c r="J17" i="37"/>
  <c r="W17" i="37" s="1"/>
  <c r="G73" i="37"/>
  <c r="F17" i="37"/>
  <c r="AA17" i="37" s="1"/>
  <c r="AB17" i="37"/>
  <c r="F75" i="37"/>
  <c r="G75" i="37" s="1"/>
  <c r="F19" i="37"/>
  <c r="S19" i="37" s="1"/>
  <c r="F79" i="37"/>
  <c r="G79" i="37" s="1"/>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32" i="33" s="1"/>
  <c r="S46" i="33"/>
  <c r="W43" i="33"/>
  <c r="F91" i="33"/>
  <c r="H27" i="33"/>
  <c r="F87" i="33"/>
  <c r="G87" i="33" s="1"/>
  <c r="H87" i="33" s="1"/>
  <c r="I87" i="33" s="1"/>
  <c r="J87" i="33" s="1"/>
  <c r="K87" i="33" s="1"/>
  <c r="L87" i="33" s="1"/>
  <c r="M87" i="33" s="1"/>
  <c r="H25" i="33"/>
  <c r="F25" i="33"/>
  <c r="S25" i="33" s="1"/>
  <c r="J23" i="33"/>
  <c r="AC23" i="33" s="1"/>
  <c r="H23" i="33"/>
  <c r="U23" i="33" s="1"/>
  <c r="F81" i="33"/>
  <c r="G81" i="33" s="1"/>
  <c r="F19" i="33"/>
  <c r="S19" i="33" s="1"/>
  <c r="W19" i="33"/>
  <c r="J17" i="33"/>
  <c r="W17" i="33" s="1"/>
  <c r="F79" i="33"/>
  <c r="G79" i="33" s="1"/>
  <c r="S15" i="33"/>
  <c r="W15" i="33"/>
  <c r="J10" i="33"/>
  <c r="W10" i="33" s="1"/>
  <c r="H10" i="33"/>
  <c r="U10" i="33" s="1"/>
  <c r="AC11" i="33"/>
  <c r="AB14" i="33"/>
  <c r="W43" i="21"/>
  <c r="W41" i="21"/>
  <c r="J15" i="21"/>
  <c r="AC15" i="21" s="1"/>
  <c r="W15" i="21"/>
  <c r="F77" i="21"/>
  <c r="G77" i="21"/>
  <c r="F23" i="21"/>
  <c r="AA23" i="21" s="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U15" i="40"/>
  <c r="AB17" i="40"/>
  <c r="U8" i="40"/>
  <c r="S8" i="40"/>
  <c r="AA39" i="39"/>
  <c r="AC41" i="39"/>
  <c r="U42" i="39"/>
  <c r="U41" i="39"/>
  <c r="AC25" i="39"/>
  <c r="U13" i="39"/>
  <c r="AB13" i="39"/>
  <c r="AA13" i="39"/>
  <c r="S13" i="39"/>
  <c r="S14" i="39"/>
  <c r="AA14" i="39"/>
  <c r="AB11" i="39"/>
  <c r="U11" i="39"/>
  <c r="AA27" i="39"/>
  <c r="S27" i="39"/>
  <c r="W17" i="39"/>
  <c r="AC17" i="39"/>
  <c r="AA45" i="39"/>
  <c r="AB39" i="39"/>
  <c r="W34" i="39"/>
  <c r="U38" i="39"/>
  <c r="S8" i="39"/>
  <c r="AC25" i="36"/>
  <c r="U32" i="36"/>
  <c r="W29" i="36"/>
  <c r="AC20" i="36"/>
  <c r="U25" i="36"/>
  <c r="AB28" i="36"/>
  <c r="AA13" i="36"/>
  <c r="W22" i="36"/>
  <c r="AB20" i="35"/>
  <c r="AC25" i="35"/>
  <c r="U25" i="35"/>
  <c r="U24" i="35"/>
  <c r="S35" i="35"/>
  <c r="AA16" i="35"/>
  <c r="AA35" i="37"/>
  <c r="W36" i="37"/>
  <c r="S28" i="37"/>
  <c r="W32" i="37"/>
  <c r="U36" i="37"/>
  <c r="U38" i="37"/>
  <c r="AB37" i="37"/>
  <c r="AC34" i="37"/>
  <c r="AB35" i="37"/>
  <c r="AA31" i="37"/>
  <c r="U19" i="37"/>
  <c r="AA29" i="37"/>
  <c r="U8" i="37"/>
  <c r="AA40" i="34"/>
  <c r="AB40" i="34"/>
  <c r="U19" i="34"/>
  <c r="W19" i="34"/>
  <c r="AC45" i="34"/>
  <c r="AA31" i="34"/>
  <c r="AA30" i="34"/>
  <c r="AB45" i="34"/>
  <c r="AB47" i="34"/>
  <c r="U25" i="34"/>
  <c r="AB36" i="34"/>
  <c r="W33" i="34"/>
  <c r="AC14" i="34"/>
  <c r="AC29" i="34"/>
  <c r="W29" i="34"/>
  <c r="W46" i="34"/>
  <c r="AC46"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W8" i="33"/>
  <c r="U28" i="21"/>
  <c r="F33" i="21"/>
  <c r="AA33" i="21" s="1"/>
  <c r="J33" i="21"/>
  <c r="AC33" i="21" s="1"/>
  <c r="H33" i="21"/>
  <c r="AB33" i="21" s="1"/>
  <c r="AB14" i="21"/>
  <c r="U40" i="21"/>
  <c r="U13" i="21"/>
  <c r="AB13" i="21"/>
  <c r="H15" i="21"/>
  <c r="U15" i="21" s="1"/>
  <c r="J17" i="21"/>
  <c r="AC17" i="21" s="1"/>
  <c r="AC19" i="21"/>
  <c r="AC14" i="21"/>
  <c r="W30" i="21"/>
  <c r="H45" i="21"/>
  <c r="U45" i="21" s="1"/>
  <c r="F29" i="21"/>
  <c r="AA29" i="21" s="1"/>
  <c r="F13" i="21"/>
  <c r="AA13" i="21" s="1"/>
  <c r="H9" i="21"/>
  <c r="AB9" i="21" s="1"/>
  <c r="J9" i="21"/>
  <c r="AC9" i="21" s="1"/>
  <c r="AA31" i="21"/>
  <c r="W29" i="21"/>
  <c r="S19" i="21"/>
  <c r="AA9" i="21"/>
  <c r="K141" i="21"/>
  <c r="K144" i="21"/>
  <c r="K143" i="21"/>
  <c r="AB25" i="21"/>
  <c r="AA30" i="21"/>
  <c r="W13" i="21"/>
  <c r="F10" i="21"/>
  <c r="AA10" i="21" s="1"/>
  <c r="K145" i="21"/>
  <c r="W25" i="21"/>
  <c r="W31" i="21"/>
  <c r="AA15" i="21"/>
  <c r="AB29" i="21"/>
  <c r="S28" i="21"/>
  <c r="W30" i="40"/>
  <c r="C19" i="39"/>
  <c r="C15" i="40"/>
  <c r="C17" i="40"/>
  <c r="C23" i="40"/>
  <c r="C21" i="40"/>
  <c r="U30" i="40"/>
  <c r="B56" i="43"/>
  <c r="B67" i="43"/>
  <c r="B51" i="43"/>
  <c r="B54" i="43"/>
  <c r="B58" i="43"/>
  <c r="B62" i="43"/>
  <c r="B65" i="43"/>
  <c r="B69" i="43"/>
  <c r="D23" i="15"/>
  <c r="D22" i="15"/>
  <c r="E4" i="4"/>
  <c r="B5" i="62" s="1"/>
  <c r="B73" i="72" s="1"/>
  <c r="C4" i="4"/>
  <c r="AA39" i="40"/>
  <c r="S39" i="40"/>
  <c r="S12" i="33"/>
  <c r="J32" i="39"/>
  <c r="W32" i="39" s="1"/>
  <c r="H32" i="39"/>
  <c r="AB32" i="39" s="1"/>
  <c r="AA32" i="39"/>
  <c r="AA21" i="39"/>
  <c r="AC17" i="37"/>
  <c r="J19" i="37"/>
  <c r="W19" i="37" s="1"/>
  <c r="AA23" i="37"/>
  <c r="J23" i="37"/>
  <c r="W23" i="37" s="1"/>
  <c r="J10" i="37"/>
  <c r="W10" i="37" s="1"/>
  <c r="G63" i="37"/>
  <c r="H63" i="37" s="1"/>
  <c r="I63" i="37" s="1"/>
  <c r="H11" i="37"/>
  <c r="AB11" i="37" s="1"/>
  <c r="G70" i="34"/>
  <c r="H11" i="34"/>
  <c r="U11" i="34" s="1"/>
  <c r="J10" i="34"/>
  <c r="AC10" i="34" s="1"/>
  <c r="AB41" i="33"/>
  <c r="U41" i="33"/>
  <c r="W35" i="33"/>
  <c r="H111" i="33"/>
  <c r="I111" i="33" s="1"/>
  <c r="J111" i="33" s="1"/>
  <c r="K111" i="33" s="1"/>
  <c r="L111" i="33" s="1"/>
  <c r="M111" i="33" s="1"/>
  <c r="J36" i="33"/>
  <c r="W36" i="33" s="1"/>
  <c r="H36" i="33"/>
  <c r="U36" i="33" s="1"/>
  <c r="S36" i="33"/>
  <c r="AC32" i="33"/>
  <c r="U27" i="33"/>
  <c r="AB27" i="33"/>
  <c r="G91" i="33"/>
  <c r="H91" i="33" s="1"/>
  <c r="I91" i="33" s="1"/>
  <c r="J91" i="33" s="1"/>
  <c r="K91" i="33" s="1"/>
  <c r="L91" i="33" s="1"/>
  <c r="M91" i="33" s="1"/>
  <c r="J27" i="33"/>
  <c r="W27" i="33" s="1"/>
  <c r="U25" i="33"/>
  <c r="AB25" i="33"/>
  <c r="AA25" i="33"/>
  <c r="J25" i="33"/>
  <c r="AC25" i="33" s="1"/>
  <c r="AB23" i="33"/>
  <c r="F23" i="33"/>
  <c r="H19" i="33"/>
  <c r="AB19" i="33" s="1"/>
  <c r="H17" i="33"/>
  <c r="U17" i="33" s="1"/>
  <c r="F17" i="33"/>
  <c r="S17" i="33" s="1"/>
  <c r="AC17" i="33"/>
  <c r="AB15" i="21"/>
  <c r="J23" i="21"/>
  <c r="F85" i="21"/>
  <c r="G85" i="21" s="1"/>
  <c r="H23" i="21"/>
  <c r="S13" i="21"/>
  <c r="AP7" i="1"/>
  <c r="A18" i="62"/>
  <c r="B64" i="72" s="1"/>
  <c r="U32" i="39"/>
  <c r="AC32" i="39"/>
  <c r="J63" i="37"/>
  <c r="K63" i="37" s="1"/>
  <c r="L63" i="37" s="1"/>
  <c r="M63" i="37" s="1"/>
  <c r="J11" i="37"/>
  <c r="AC11" i="37" s="1"/>
  <c r="H70" i="34"/>
  <c r="I70" i="34" s="1"/>
  <c r="J70" i="34" s="1"/>
  <c r="K70" i="34" s="1"/>
  <c r="L70" i="34" s="1"/>
  <c r="M70" i="34" s="1"/>
  <c r="J11" i="34"/>
  <c r="W11" i="34" s="1"/>
  <c r="AA17" i="33"/>
  <c r="U23" i="21"/>
  <c r="AB23" i="21"/>
  <c r="AC23" i="21"/>
  <c r="W23" i="21"/>
  <c r="H109" i="9"/>
  <c r="M49" i="9" s="1"/>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M9" i="67"/>
  <c r="M8" i="67"/>
  <c r="L47" i="15"/>
  <c r="F6" i="15"/>
  <c r="D6" i="73"/>
  <c r="M8" i="15"/>
  <c r="D35" i="9"/>
  <c r="E2" i="69"/>
  <c r="B7" i="76"/>
  <c r="B10" i="76"/>
  <c r="M22" i="67"/>
  <c r="D34" i="9"/>
  <c r="F6" i="73"/>
  <c r="E2" i="68"/>
  <c r="E11" i="76"/>
  <c r="B11" i="76"/>
  <c r="B13" i="76"/>
  <c r="F7" i="73"/>
  <c r="F5" i="73"/>
  <c r="F7" i="15"/>
  <c r="M23" i="67"/>
  <c r="M24" i="15"/>
  <c r="E13" i="76"/>
  <c r="E12" i="76"/>
  <c r="B9" i="76"/>
  <c r="C76" i="67"/>
  <c r="B8" i="76"/>
  <c r="M28" i="15"/>
  <c r="AO13" i="1"/>
  <c r="F3" i="73"/>
  <c r="E7" i="76"/>
  <c r="F7" i="67"/>
  <c r="E9" i="76"/>
  <c r="F20" i="31"/>
  <c r="E8" i="76"/>
  <c r="E10" i="76"/>
  <c r="F36" i="67"/>
  <c r="F13" i="15"/>
  <c r="F4" i="73"/>
  <c r="B12" i="76"/>
  <c r="AB45" i="21" l="1"/>
  <c r="J32" i="21"/>
  <c r="W32" i="21" s="1"/>
  <c r="F32" i="21"/>
  <c r="AA32" i="21" s="1"/>
  <c r="H32" i="21"/>
  <c r="U32" i="21" s="1"/>
  <c r="E123" i="21"/>
  <c r="F123" i="21" s="1"/>
  <c r="M47" i="9"/>
  <c r="C7" i="35"/>
  <c r="C48" i="35" s="1"/>
  <c r="D48" i="35" s="1"/>
  <c r="J37" i="21"/>
  <c r="W37" i="21" s="1"/>
  <c r="H37" i="21"/>
  <c r="U37" i="21" s="1"/>
  <c r="F37" i="21"/>
  <c r="AA37" i="21" s="1"/>
  <c r="AA19" i="33"/>
  <c r="AA19" i="37"/>
  <c r="AZ369" i="3"/>
  <c r="AZ390" i="3"/>
  <c r="AZ371" i="3"/>
  <c r="AZ351" i="3"/>
  <c r="AZ380" i="3"/>
  <c r="AZ325" i="3"/>
  <c r="AZ306" i="3"/>
  <c r="S14" i="33"/>
  <c r="E89" i="21"/>
  <c r="F89" i="21" s="1"/>
  <c r="J26" i="21"/>
  <c r="AC26" i="21" s="1"/>
  <c r="F11" i="36"/>
  <c r="J11" i="36"/>
  <c r="AC11" i="36" s="1"/>
  <c r="H14" i="37"/>
  <c r="AB14" i="37" s="1"/>
  <c r="J14" i="37"/>
  <c r="F12" i="39"/>
  <c r="J12" i="39"/>
  <c r="BL576" i="3"/>
  <c r="AB35" i="33"/>
  <c r="U35" i="33"/>
  <c r="AC39" i="33"/>
  <c r="W39" i="33"/>
  <c r="AZ345" i="3"/>
  <c r="AZ342" i="3"/>
  <c r="AZ337" i="3"/>
  <c r="AZ376" i="3"/>
  <c r="AZ309" i="3"/>
  <c r="AZ561" i="3"/>
  <c r="AZ558" i="3"/>
  <c r="BA587" i="3"/>
  <c r="W28" i="21"/>
  <c r="AC28" i="21"/>
  <c r="J9" i="33"/>
  <c r="H9" i="33"/>
  <c r="F9" i="33"/>
  <c r="AA9" i="33" s="1"/>
  <c r="F28" i="33"/>
  <c r="J28" i="33"/>
  <c r="H24" i="36"/>
  <c r="AB9" i="39"/>
  <c r="U9" i="39"/>
  <c r="H44" i="39"/>
  <c r="J44" i="39"/>
  <c r="F44" i="39"/>
  <c r="AA34" i="39"/>
  <c r="S34" i="39"/>
  <c r="AZ338" i="3"/>
  <c r="AZ378" i="3"/>
  <c r="AZ360" i="3"/>
  <c r="AA13" i="33"/>
  <c r="AB30" i="21"/>
  <c r="S29" i="35"/>
  <c r="AA29" i="35"/>
  <c r="U40" i="33"/>
  <c r="H27" i="37"/>
  <c r="F27" i="37"/>
  <c r="J40" i="37"/>
  <c r="F40" i="37"/>
  <c r="H31" i="21"/>
  <c r="W41" i="33"/>
  <c r="H36" i="35"/>
  <c r="J36" i="35"/>
  <c r="AC36" i="35" s="1"/>
  <c r="J9" i="36"/>
  <c r="AA34" i="40"/>
  <c r="BL567" i="3"/>
  <c r="BB5" i="3"/>
  <c r="E5" i="6" s="1"/>
  <c r="G583" i="3"/>
  <c r="BS5" i="3"/>
  <c r="G581" i="3"/>
  <c r="BA575" i="3"/>
  <c r="AZ575" i="3" s="1"/>
  <c r="BO5" i="3"/>
  <c r="G573" i="3"/>
  <c r="G572" i="3"/>
  <c r="G556" i="3"/>
  <c r="BL555" i="3"/>
  <c r="G549" i="3"/>
  <c r="G547" i="3"/>
  <c r="BA546" i="3"/>
  <c r="G546" i="3"/>
  <c r="BL545" i="3"/>
  <c r="BA543" i="3"/>
  <c r="G541" i="3"/>
  <c r="G539" i="3"/>
  <c r="G532" i="3"/>
  <c r="G525" i="3"/>
  <c r="G523" i="3"/>
  <c r="G522" i="3"/>
  <c r="G517" i="3"/>
  <c r="G511" i="3"/>
  <c r="G510" i="3"/>
  <c r="G496" i="3"/>
  <c r="C44" i="71"/>
  <c r="D44" i="71" s="1"/>
  <c r="D43" i="71"/>
  <c r="D60" i="71"/>
  <c r="T60" i="71"/>
  <c r="D83" i="71"/>
  <c r="C82" i="71"/>
  <c r="D82" i="71" s="1"/>
  <c r="P68" i="71"/>
  <c r="E67" i="71"/>
  <c r="F79" i="71"/>
  <c r="F78" i="71" s="1"/>
  <c r="V80" i="71"/>
  <c r="G574" i="3"/>
  <c r="BL399" i="3"/>
  <c r="BA406" i="3"/>
  <c r="AZ406" i="3" s="1"/>
  <c r="G410" i="3"/>
  <c r="BA413" i="3"/>
  <c r="AZ413" i="3" s="1"/>
  <c r="BL413" i="3"/>
  <c r="G415" i="3"/>
  <c r="G416" i="3"/>
  <c r="BL419" i="3"/>
  <c r="G425" i="3"/>
  <c r="BL425" i="3"/>
  <c r="BL426" i="3"/>
  <c r="G429" i="3"/>
  <c r="G441" i="3"/>
  <c r="BA441" i="3"/>
  <c r="BL443" i="3"/>
  <c r="AZ443" i="3" s="1"/>
  <c r="G446" i="3"/>
  <c r="BA451" i="3"/>
  <c r="AZ451" i="3" s="1"/>
  <c r="BA454" i="3"/>
  <c r="BL458" i="3"/>
  <c r="BA466" i="3"/>
  <c r="BA469" i="3"/>
  <c r="AZ469" i="3" s="1"/>
  <c r="BL473" i="3"/>
  <c r="BL474" i="3"/>
  <c r="G475" i="3"/>
  <c r="BA487" i="3"/>
  <c r="BA489" i="3"/>
  <c r="BL489" i="3"/>
  <c r="BL491" i="3"/>
  <c r="BL492" i="3"/>
  <c r="G307" i="3"/>
  <c r="G311" i="3"/>
  <c r="G315" i="3"/>
  <c r="G323" i="3"/>
  <c r="G339" i="3"/>
  <c r="BL386" i="3"/>
  <c r="BA208" i="3"/>
  <c r="AZ208" i="3" s="1"/>
  <c r="BA214" i="3"/>
  <c r="BA220" i="3"/>
  <c r="BA225" i="3"/>
  <c r="BA245" i="3"/>
  <c r="AZ245" i="3" s="1"/>
  <c r="BL245" i="3"/>
  <c r="BA257" i="3"/>
  <c r="AZ257" i="3" s="1"/>
  <c r="BL257" i="3"/>
  <c r="BL258" i="3"/>
  <c r="AB21" i="37"/>
  <c r="U21" i="37"/>
  <c r="G399" i="3"/>
  <c r="BA402" i="3"/>
  <c r="AZ402" i="3" s="1"/>
  <c r="BL409" i="3"/>
  <c r="BA419" i="3"/>
  <c r="BA437" i="3"/>
  <c r="AZ437" i="3" s="1"/>
  <c r="BL437" i="3"/>
  <c r="BA448" i="3"/>
  <c r="BA450" i="3"/>
  <c r="BL465" i="3"/>
  <c r="BL479" i="3"/>
  <c r="BL484" i="3"/>
  <c r="BA486" i="3"/>
  <c r="BL488" i="3"/>
  <c r="BA319" i="3"/>
  <c r="AZ319" i="3" s="1"/>
  <c r="BL381" i="3"/>
  <c r="AZ381" i="3" s="1"/>
  <c r="BA385" i="3"/>
  <c r="BA395" i="3"/>
  <c r="AZ395" i="3" s="1"/>
  <c r="BL213" i="3"/>
  <c r="BA222" i="3"/>
  <c r="AZ222" i="3" s="1"/>
  <c r="BA224" i="3"/>
  <c r="AZ224" i="3" s="1"/>
  <c r="BA242" i="3"/>
  <c r="AZ242" i="3" s="1"/>
  <c r="BA255" i="3"/>
  <c r="BL255" i="3"/>
  <c r="BA260" i="3"/>
  <c r="BL269" i="3"/>
  <c r="BA278" i="3"/>
  <c r="AZ278" i="3" s="1"/>
  <c r="BL301" i="3"/>
  <c r="BL302" i="3"/>
  <c r="BA114" i="3"/>
  <c r="BA134" i="3"/>
  <c r="BL134" i="3"/>
  <c r="BA50" i="3"/>
  <c r="AA28" i="71"/>
  <c r="AA35" i="71"/>
  <c r="N67" i="71"/>
  <c r="B66" i="71"/>
  <c r="D79" i="71"/>
  <c r="C78" i="71"/>
  <c r="D78" i="71" s="1"/>
  <c r="Y27" i="71"/>
  <c r="Z27" i="71" s="1"/>
  <c r="BA400" i="3"/>
  <c r="AZ400" i="3" s="1"/>
  <c r="BL400" i="3"/>
  <c r="G405" i="3"/>
  <c r="G408" i="3"/>
  <c r="BL408" i="3"/>
  <c r="BL412" i="3"/>
  <c r="G417" i="3"/>
  <c r="BL417" i="3"/>
  <c r="BL418" i="3"/>
  <c r="BA420" i="3"/>
  <c r="BL420" i="3"/>
  <c r="G422" i="3"/>
  <c r="G423" i="3"/>
  <c r="BL423" i="3"/>
  <c r="G428" i="3"/>
  <c r="BA428" i="3"/>
  <c r="BA429" i="3"/>
  <c r="BA430" i="3"/>
  <c r="AZ430" i="3" s="1"/>
  <c r="BA433" i="3"/>
  <c r="AZ433" i="3" s="1"/>
  <c r="BA435" i="3"/>
  <c r="G442" i="3"/>
  <c r="G443" i="3"/>
  <c r="BL447" i="3"/>
  <c r="G450" i="3"/>
  <c r="G459" i="3"/>
  <c r="BA460" i="3"/>
  <c r="BA461" i="3"/>
  <c r="G478" i="3"/>
  <c r="BL316" i="3"/>
  <c r="BL340" i="3"/>
  <c r="AZ340" i="3" s="1"/>
  <c r="BL346" i="3"/>
  <c r="AZ346" i="3" s="1"/>
  <c r="G349" i="3"/>
  <c r="BA384" i="3"/>
  <c r="AZ384" i="3" s="1"/>
  <c r="BA392" i="3"/>
  <c r="AZ392" i="3" s="1"/>
  <c r="G397" i="3"/>
  <c r="BA212" i="3"/>
  <c r="BL216" i="3"/>
  <c r="BL219" i="3"/>
  <c r="G222" i="3"/>
  <c r="G224" i="3"/>
  <c r="G226" i="3"/>
  <c r="BL227" i="3"/>
  <c r="BL230" i="3"/>
  <c r="G233" i="3"/>
  <c r="BA240" i="3"/>
  <c r="AZ240" i="3" s="1"/>
  <c r="BL240" i="3"/>
  <c r="G244" i="3"/>
  <c r="BL262" i="3"/>
  <c r="BA293" i="3"/>
  <c r="BL181" i="3"/>
  <c r="BL205" i="3"/>
  <c r="AA21" i="33"/>
  <c r="D38" i="71"/>
  <c r="C39" i="71"/>
  <c r="C40" i="71" s="1"/>
  <c r="D31" i="71"/>
  <c r="C32" i="71"/>
  <c r="BL267" i="3"/>
  <c r="G269" i="3"/>
  <c r="G271" i="3"/>
  <c r="G281" i="3"/>
  <c r="BL283" i="3"/>
  <c r="AZ283" i="3" s="1"/>
  <c r="BL284" i="3"/>
  <c r="G285" i="3"/>
  <c r="BL292" i="3"/>
  <c r="BA298" i="3"/>
  <c r="AZ298" i="3" s="1"/>
  <c r="BL127" i="3"/>
  <c r="AZ127" i="3" s="1"/>
  <c r="G130" i="3"/>
  <c r="G144" i="3"/>
  <c r="BA146" i="3"/>
  <c r="BL158" i="3"/>
  <c r="G159" i="3"/>
  <c r="BL163" i="3"/>
  <c r="AZ163" i="3" s="1"/>
  <c r="BA168" i="3"/>
  <c r="AZ168" i="3" s="1"/>
  <c r="G171" i="3"/>
  <c r="G178" i="3"/>
  <c r="BL178" i="3"/>
  <c r="BA180" i="3"/>
  <c r="AZ180" i="3" s="1"/>
  <c r="BL182" i="3"/>
  <c r="G183" i="3"/>
  <c r="G187" i="3"/>
  <c r="BL191" i="3"/>
  <c r="AZ191" i="3" s="1"/>
  <c r="G192" i="3"/>
  <c r="BA193" i="3"/>
  <c r="G202" i="3"/>
  <c r="G203" i="3"/>
  <c r="BA205" i="3"/>
  <c r="AZ205" i="3" s="1"/>
  <c r="G19" i="3"/>
  <c r="BL24" i="3"/>
  <c r="BA25" i="3"/>
  <c r="BA26" i="3"/>
  <c r="G28" i="3"/>
  <c r="BL28" i="3"/>
  <c r="BA29" i="3"/>
  <c r="BA33" i="3"/>
  <c r="G36" i="3"/>
  <c r="G40" i="3"/>
  <c r="G41" i="3"/>
  <c r="BA47" i="3"/>
  <c r="AZ47" i="3" s="1"/>
  <c r="BL47" i="3"/>
  <c r="G49" i="3"/>
  <c r="G50" i="3"/>
  <c r="G54" i="3"/>
  <c r="BA62" i="3"/>
  <c r="AZ62" i="3" s="1"/>
  <c r="BL62" i="3"/>
  <c r="BL63" i="3"/>
  <c r="BL69" i="3"/>
  <c r="G70" i="3"/>
  <c r="BA77" i="3"/>
  <c r="BL79" i="3"/>
  <c r="BL81" i="3"/>
  <c r="BA82" i="3"/>
  <c r="AZ82" i="3" s="1"/>
  <c r="BA95" i="3"/>
  <c r="G99" i="3"/>
  <c r="BL100" i="3"/>
  <c r="BA102" i="3"/>
  <c r="BA108" i="3"/>
  <c r="G110" i="3"/>
  <c r="AA18" i="35"/>
  <c r="BA149" i="3"/>
  <c r="BA153" i="3"/>
  <c r="BL167" i="3"/>
  <c r="AZ167" i="3" s="1"/>
  <c r="BL175" i="3"/>
  <c r="AZ175" i="3" s="1"/>
  <c r="BA188" i="3"/>
  <c r="AZ188" i="3" s="1"/>
  <c r="BL195" i="3"/>
  <c r="AZ195" i="3" s="1"/>
  <c r="BA196" i="3"/>
  <c r="AZ196" i="3" s="1"/>
  <c r="BL23" i="3"/>
  <c r="BA40" i="3"/>
  <c r="BL44" i="3"/>
  <c r="BA55" i="3"/>
  <c r="BL57" i="3"/>
  <c r="BA67" i="3"/>
  <c r="AZ67" i="3" s="1"/>
  <c r="BL67" i="3"/>
  <c r="BL76" i="3"/>
  <c r="BA92" i="3"/>
  <c r="BA94" i="3"/>
  <c r="AZ94" i="3" s="1"/>
  <c r="BL94" i="3"/>
  <c r="BL99" i="3"/>
  <c r="BA100" i="3"/>
  <c r="AZ100" i="3" s="1"/>
  <c r="Y35" i="71"/>
  <c r="Z35" i="71" s="1"/>
  <c r="G251" i="3"/>
  <c r="G255" i="3"/>
  <c r="BA262" i="3"/>
  <c r="AZ262" i="3" s="1"/>
  <c r="G265" i="3"/>
  <c r="BA273" i="3"/>
  <c r="BA280" i="3"/>
  <c r="AZ280" i="3" s="1"/>
  <c r="G282" i="3"/>
  <c r="BA294" i="3"/>
  <c r="G297" i="3"/>
  <c r="BL123" i="3"/>
  <c r="AZ123" i="3" s="1"/>
  <c r="G134" i="3"/>
  <c r="BA148" i="3"/>
  <c r="AZ148" i="3" s="1"/>
  <c r="BL154" i="3"/>
  <c r="G155" i="3"/>
  <c r="BA162" i="3"/>
  <c r="BL166" i="3"/>
  <c r="G170" i="3"/>
  <c r="G175" i="3"/>
  <c r="G180" i="3"/>
  <c r="BL186" i="3"/>
  <c r="G198" i="3"/>
  <c r="G204" i="3"/>
  <c r="BA207" i="3"/>
  <c r="BA22" i="3"/>
  <c r="BL35" i="3"/>
  <c r="BA36" i="3"/>
  <c r="BL38" i="3"/>
  <c r="BA39" i="3"/>
  <c r="BA43" i="3"/>
  <c r="G46" i="3"/>
  <c r="BL52" i="3"/>
  <c r="BA53" i="3"/>
  <c r="BA54" i="3"/>
  <c r="G57" i="3"/>
  <c r="G61" i="3"/>
  <c r="BA65" i="3"/>
  <c r="AZ65" i="3" s="1"/>
  <c r="BL65" i="3"/>
  <c r="BL66" i="3"/>
  <c r="BA72" i="3"/>
  <c r="AZ72" i="3" s="1"/>
  <c r="BL72" i="3"/>
  <c r="G74" i="3"/>
  <c r="BA75" i="3"/>
  <c r="BL86" i="3"/>
  <c r="G87" i="3"/>
  <c r="G88" i="3"/>
  <c r="BA91" i="3"/>
  <c r="AZ91" i="3" s="1"/>
  <c r="BL93" i="3"/>
  <c r="BA98" i="3"/>
  <c r="W29" i="39"/>
  <c r="C29" i="39"/>
  <c r="N68" i="71"/>
  <c r="B63" i="71"/>
  <c r="B64" i="71" s="1"/>
  <c r="S64" i="71" s="1"/>
  <c r="F75" i="71"/>
  <c r="F74" i="71" s="1"/>
  <c r="U17" i="21"/>
  <c r="S17" i="21"/>
  <c r="W44" i="21"/>
  <c r="AB44" i="21"/>
  <c r="S44" i="21"/>
  <c r="AA43" i="21"/>
  <c r="U43" i="21"/>
  <c r="AC40" i="21"/>
  <c r="AB39" i="21"/>
  <c r="W39" i="21"/>
  <c r="S37" i="21"/>
  <c r="AC35" i="21"/>
  <c r="U35" i="21"/>
  <c r="AB34" i="21"/>
  <c r="AC27" i="21"/>
  <c r="S39" i="21"/>
  <c r="AB32" i="21"/>
  <c r="AC38" i="21"/>
  <c r="AA38" i="21"/>
  <c r="AB36" i="21"/>
  <c r="AA36" i="21"/>
  <c r="W36" i="21"/>
  <c r="S35" i="21"/>
  <c r="AC34" i="21"/>
  <c r="S27" i="21"/>
  <c r="U27" i="21"/>
  <c r="W9" i="21"/>
  <c r="D93" i="9"/>
  <c r="B41" i="1"/>
  <c r="M18" i="67" s="1"/>
  <c r="F30" i="69"/>
  <c r="F48" i="69" s="1"/>
  <c r="A4" i="52"/>
  <c r="B41" i="72" s="1"/>
  <c r="A2" i="9"/>
  <c r="A118" i="9"/>
  <c r="C7" i="40"/>
  <c r="C63" i="40" s="1"/>
  <c r="C7" i="39"/>
  <c r="C67" i="39" s="1"/>
  <c r="C42" i="1"/>
  <c r="C24" i="12" s="1"/>
  <c r="C7" i="34"/>
  <c r="C59" i="34" s="1"/>
  <c r="D59" i="34" s="1"/>
  <c r="E59" i="34" s="1"/>
  <c r="F59" i="34" s="1"/>
  <c r="G59" i="34" s="1"/>
  <c r="H59" i="34" s="1"/>
  <c r="I59" i="34" s="1"/>
  <c r="J59" i="34" s="1"/>
  <c r="K59" i="34" s="1"/>
  <c r="L59" i="34" s="1"/>
  <c r="M59" i="34" s="1"/>
  <c r="N59" i="34" s="1"/>
  <c r="O59" i="34" s="1"/>
  <c r="C7" i="21"/>
  <c r="C7" i="37"/>
  <c r="C52" i="37" s="1"/>
  <c r="D52" i="37" s="1"/>
  <c r="G23" i="43"/>
  <c r="C23" i="43" s="1"/>
  <c r="W31" i="34"/>
  <c r="S26" i="33"/>
  <c r="AA26" i="33"/>
  <c r="BA586" i="3"/>
  <c r="AZ586" i="3" s="1"/>
  <c r="AB34" i="34"/>
  <c r="U34" i="34"/>
  <c r="F45" i="33"/>
  <c r="H45" i="33"/>
  <c r="J32" i="34"/>
  <c r="F32" i="34"/>
  <c r="F12" i="35"/>
  <c r="J12" i="35"/>
  <c r="H35" i="35"/>
  <c r="J35" i="35"/>
  <c r="AC32" i="40"/>
  <c r="W32" i="40"/>
  <c r="W25" i="33"/>
  <c r="H69" i="43"/>
  <c r="U19" i="33"/>
  <c r="AC27" i="33"/>
  <c r="AC23" i="37"/>
  <c r="U9" i="21"/>
  <c r="D6" i="52"/>
  <c r="S17" i="37"/>
  <c r="U21" i="39"/>
  <c r="F28" i="15"/>
  <c r="C28" i="15" s="1"/>
  <c r="F32" i="67"/>
  <c r="F60" i="67" s="1"/>
  <c r="F28" i="67"/>
  <c r="AB33" i="34"/>
  <c r="S24" i="35"/>
  <c r="S23" i="39"/>
  <c r="S43" i="33"/>
  <c r="U15" i="34"/>
  <c r="AB14" i="36"/>
  <c r="U14" i="39"/>
  <c r="AB19" i="40"/>
  <c r="AA19" i="40"/>
  <c r="AA32" i="37"/>
  <c r="AZ373" i="3"/>
  <c r="AZ362" i="3"/>
  <c r="AZ322" i="3"/>
  <c r="AZ372" i="3"/>
  <c r="AZ347" i="3"/>
  <c r="AZ336" i="3"/>
  <c r="AZ305" i="3"/>
  <c r="S21" i="40"/>
  <c r="BL535" i="3"/>
  <c r="AZ516" i="3"/>
  <c r="AZ566" i="3"/>
  <c r="H13" i="40"/>
  <c r="U33" i="40"/>
  <c r="S38" i="37"/>
  <c r="U17" i="34"/>
  <c r="AB17" i="34"/>
  <c r="J45" i="21"/>
  <c r="F45" i="21"/>
  <c r="AA40" i="21"/>
  <c r="S40" i="21"/>
  <c r="B101" i="43"/>
  <c r="B79" i="43"/>
  <c r="AA28" i="34"/>
  <c r="S28" i="34"/>
  <c r="H12" i="35"/>
  <c r="J12" i="40"/>
  <c r="F12" i="40"/>
  <c r="BA569" i="3"/>
  <c r="AZ569" i="3" s="1"/>
  <c r="BL568" i="3"/>
  <c r="BA568" i="3"/>
  <c r="BA567" i="3"/>
  <c r="BL566" i="3"/>
  <c r="AZ14" i="3"/>
  <c r="AZ503" i="3"/>
  <c r="AZ524" i="3"/>
  <c r="S14" i="34"/>
  <c r="AA14" i="34"/>
  <c r="AA14" i="35"/>
  <c r="S14" i="35"/>
  <c r="BL587" i="3"/>
  <c r="AZ587" i="3" s="1"/>
  <c r="J46" i="21"/>
  <c r="H46" i="21"/>
  <c r="W13" i="40"/>
  <c r="AC13" i="40"/>
  <c r="F36" i="39"/>
  <c r="H36" i="39"/>
  <c r="J36" i="39"/>
  <c r="AC36" i="39" s="1"/>
  <c r="BA584" i="3"/>
  <c r="AZ584" i="3" s="1"/>
  <c r="BL582" i="3"/>
  <c r="BA582" i="3"/>
  <c r="AZ582" i="3" s="1"/>
  <c r="BA581" i="3"/>
  <c r="BL580" i="3"/>
  <c r="AZ580" i="3" s="1"/>
  <c r="BL579" i="3"/>
  <c r="BA579" i="3"/>
  <c r="AZ579" i="3" s="1"/>
  <c r="BA577" i="3"/>
  <c r="BA576" i="3"/>
  <c r="AZ576" i="3" s="1"/>
  <c r="BL574" i="3"/>
  <c r="BA574" i="3"/>
  <c r="AZ574" i="3" s="1"/>
  <c r="BL572" i="3"/>
  <c r="BA572" i="3"/>
  <c r="BL571" i="3"/>
  <c r="BA571" i="3"/>
  <c r="AZ571" i="3" s="1"/>
  <c r="BL570" i="3"/>
  <c r="AZ570" i="3" s="1"/>
  <c r="BL554" i="3"/>
  <c r="AZ554" i="3" s="1"/>
  <c r="BL552" i="3"/>
  <c r="BA552" i="3"/>
  <c r="AZ552" i="3" s="1"/>
  <c r="BL551" i="3"/>
  <c r="BA551" i="3"/>
  <c r="BA550" i="3"/>
  <c r="BA549" i="3"/>
  <c r="AZ549" i="3" s="1"/>
  <c r="BL548" i="3"/>
  <c r="BA548" i="3"/>
  <c r="BA547" i="3"/>
  <c r="AZ547" i="3" s="1"/>
  <c r="BL546" i="3"/>
  <c r="AZ546" i="3" s="1"/>
  <c r="BA545" i="3"/>
  <c r="BL544" i="3"/>
  <c r="AZ544" i="3" s="1"/>
  <c r="BL542" i="3"/>
  <c r="BA542" i="3"/>
  <c r="AZ542" i="3" s="1"/>
  <c r="BL541" i="3"/>
  <c r="BA541" i="3"/>
  <c r="BL540" i="3"/>
  <c r="AZ540" i="3" s="1"/>
  <c r="BA538" i="3"/>
  <c r="AZ538" i="3" s="1"/>
  <c r="BL537" i="3"/>
  <c r="BA537" i="3"/>
  <c r="BA536" i="3"/>
  <c r="AZ536" i="3" s="1"/>
  <c r="BA535" i="3"/>
  <c r="BA534" i="3"/>
  <c r="AZ534" i="3" s="1"/>
  <c r="BL533" i="3"/>
  <c r="AZ533" i="3" s="1"/>
  <c r="BA533" i="3"/>
  <c r="BL532" i="3"/>
  <c r="AZ532" i="3" s="1"/>
  <c r="BL530" i="3"/>
  <c r="BA530" i="3"/>
  <c r="BL529" i="3"/>
  <c r="AZ529" i="3" s="1"/>
  <c r="BL528" i="3"/>
  <c r="BA528" i="3"/>
  <c r="BA527" i="3"/>
  <c r="BL526" i="3"/>
  <c r="BA525" i="3"/>
  <c r="AZ525" i="3" s="1"/>
  <c r="BL524" i="3"/>
  <c r="BA523" i="3"/>
  <c r="AZ523" i="3" s="1"/>
  <c r="BL522" i="3"/>
  <c r="BA522" i="3"/>
  <c r="AZ522" i="3" s="1"/>
  <c r="BL521" i="3"/>
  <c r="BA521" i="3"/>
  <c r="BA520" i="3"/>
  <c r="AZ520" i="3" s="1"/>
  <c r="BA518" i="3"/>
  <c r="AZ518" i="3" s="1"/>
  <c r="BA515" i="3"/>
  <c r="BL514" i="3"/>
  <c r="BA514" i="3"/>
  <c r="BA513" i="3"/>
  <c r="AZ513" i="3" s="1"/>
  <c r="BA511" i="3"/>
  <c r="AZ511" i="3" s="1"/>
  <c r="BL510" i="3"/>
  <c r="BA510" i="3"/>
  <c r="BA509" i="3"/>
  <c r="AZ509" i="3" s="1"/>
  <c r="BL508" i="3"/>
  <c r="BL506" i="3"/>
  <c r="AZ506" i="3" s="1"/>
  <c r="BA505" i="3"/>
  <c r="AZ505" i="3" s="1"/>
  <c r="BL504" i="3"/>
  <c r="BA504" i="3"/>
  <c r="BL502" i="3"/>
  <c r="AZ502" i="3" s="1"/>
  <c r="BA502" i="3"/>
  <c r="BA501" i="3"/>
  <c r="AZ501" i="3" s="1"/>
  <c r="BT5" i="3"/>
  <c r="BL499" i="3"/>
  <c r="BA499" i="3"/>
  <c r="BL498" i="3"/>
  <c r="AZ498" i="3" s="1"/>
  <c r="BL497" i="3"/>
  <c r="BA497" i="3"/>
  <c r="BN5" i="3"/>
  <c r="G29" i="6" s="1"/>
  <c r="BE5" i="3"/>
  <c r="BA496" i="3"/>
  <c r="AZ496" i="3" s="1"/>
  <c r="BL495" i="3"/>
  <c r="BM5" i="3"/>
  <c r="F29" i="6" s="1"/>
  <c r="BA494" i="3"/>
  <c r="AZ494" i="3" s="1"/>
  <c r="BD5" i="3"/>
  <c r="H5" i="3"/>
  <c r="BL493" i="3"/>
  <c r="AZ493" i="3" s="1"/>
  <c r="W17" i="21"/>
  <c r="AB36" i="33"/>
  <c r="F54" i="9"/>
  <c r="F32" i="15"/>
  <c r="F60" i="15" s="1"/>
  <c r="F52" i="9"/>
  <c r="F30" i="68"/>
  <c r="F48" i="68" s="1"/>
  <c r="S20" i="36"/>
  <c r="AA35" i="33"/>
  <c r="AC39" i="34"/>
  <c r="S20" i="35"/>
  <c r="AA25" i="35"/>
  <c r="AA22" i="36"/>
  <c r="AA34" i="33"/>
  <c r="AC5" i="3"/>
  <c r="S25" i="21"/>
  <c r="AA25" i="21"/>
  <c r="AZ508" i="3"/>
  <c r="AZ526" i="3"/>
  <c r="AA14" i="37"/>
  <c r="S14" i="37"/>
  <c r="F46" i="21"/>
  <c r="AA41" i="33"/>
  <c r="AB32" i="33"/>
  <c r="U32" i="33"/>
  <c r="W9" i="34"/>
  <c r="AB34" i="35"/>
  <c r="U34" i="35"/>
  <c r="J23" i="35"/>
  <c r="H23" i="35"/>
  <c r="F23" i="35"/>
  <c r="AB30" i="37"/>
  <c r="U30" i="37"/>
  <c r="AA40" i="39"/>
  <c r="S40" i="39"/>
  <c r="H31" i="39"/>
  <c r="J31" i="39"/>
  <c r="F31" i="39"/>
  <c r="J43" i="39"/>
  <c r="H43" i="39"/>
  <c r="F43" i="39"/>
  <c r="BL577" i="3"/>
  <c r="AZ577" i="3" s="1"/>
  <c r="AA14" i="40"/>
  <c r="S14" i="40"/>
  <c r="U34" i="39"/>
  <c r="AB34" i="39"/>
  <c r="BL585" i="3"/>
  <c r="AZ585" i="3" s="1"/>
  <c r="AB33" i="33"/>
  <c r="U33" i="33"/>
  <c r="F9" i="34"/>
  <c r="AA9" i="34" s="1"/>
  <c r="H9" i="34"/>
  <c r="F38" i="40"/>
  <c r="J38" i="40"/>
  <c r="AZ391" i="3"/>
  <c r="AZ318" i="3"/>
  <c r="AZ364" i="3"/>
  <c r="AZ329" i="3"/>
  <c r="AZ304" i="3"/>
  <c r="W35" i="40"/>
  <c r="BL515" i="3"/>
  <c r="AZ515" i="3" s="1"/>
  <c r="BL527" i="3"/>
  <c r="BL539" i="3"/>
  <c r="AZ539" i="3" s="1"/>
  <c r="BL543" i="3"/>
  <c r="AZ543" i="3" s="1"/>
  <c r="BL553" i="3"/>
  <c r="AZ553" i="3" s="1"/>
  <c r="AZ557" i="3"/>
  <c r="AZ556" i="3"/>
  <c r="W36" i="34"/>
  <c r="J28" i="34"/>
  <c r="C15" i="39"/>
  <c r="U38" i="21"/>
  <c r="G587" i="3"/>
  <c r="H23" i="36"/>
  <c r="J23" i="36"/>
  <c r="F33" i="36"/>
  <c r="J33" i="36"/>
  <c r="AC33" i="36" s="1"/>
  <c r="U27" i="37"/>
  <c r="AB27" i="37"/>
  <c r="AC40" i="39"/>
  <c r="W40" i="39"/>
  <c r="AC8" i="40"/>
  <c r="W8" i="40"/>
  <c r="H38" i="40"/>
  <c r="J37" i="39"/>
  <c r="F37" i="39"/>
  <c r="G566" i="3"/>
  <c r="G558" i="3"/>
  <c r="AZ419" i="3"/>
  <c r="AZ394" i="3"/>
  <c r="BL519" i="3"/>
  <c r="AZ519" i="3" s="1"/>
  <c r="BL531" i="3"/>
  <c r="AZ531" i="3" s="1"/>
  <c r="BL573" i="3"/>
  <c r="AZ573" i="3" s="1"/>
  <c r="BL583" i="3"/>
  <c r="AZ583" i="3" s="1"/>
  <c r="J12" i="34"/>
  <c r="F12" i="34"/>
  <c r="S12" i="34" s="1"/>
  <c r="J39" i="40"/>
  <c r="H39" i="40"/>
  <c r="AZ460" i="3"/>
  <c r="C64" i="71"/>
  <c r="D63" i="71"/>
  <c r="Y26" i="71"/>
  <c r="Z26" i="71" s="1"/>
  <c r="Y25" i="71"/>
  <c r="Z25" i="71" s="1"/>
  <c r="G551" i="3"/>
  <c r="BL550" i="3"/>
  <c r="G542" i="3"/>
  <c r="BL398" i="3"/>
  <c r="G402" i="3"/>
  <c r="BL403" i="3"/>
  <c r="G406" i="3"/>
  <c r="BA408" i="3"/>
  <c r="AZ408" i="3" s="1"/>
  <c r="BA409" i="3"/>
  <c r="AZ409" i="3" s="1"/>
  <c r="BA411" i="3"/>
  <c r="AZ411" i="3" s="1"/>
  <c r="BL414" i="3"/>
  <c r="BL415" i="3"/>
  <c r="BA417" i="3"/>
  <c r="AZ417" i="3" s="1"/>
  <c r="BL421" i="3"/>
  <c r="BL422" i="3"/>
  <c r="BA425" i="3"/>
  <c r="AZ425" i="3" s="1"/>
  <c r="BA426" i="3"/>
  <c r="BA427" i="3"/>
  <c r="AZ427" i="3" s="1"/>
  <c r="BL431" i="3"/>
  <c r="BL434" i="3"/>
  <c r="G437" i="3"/>
  <c r="BL438" i="3"/>
  <c r="BL439" i="3"/>
  <c r="BL448" i="3"/>
  <c r="AZ448" i="3" s="1"/>
  <c r="G451" i="3"/>
  <c r="BL452" i="3"/>
  <c r="G455" i="3"/>
  <c r="BA458" i="3"/>
  <c r="AZ458" i="3" s="1"/>
  <c r="BA459" i="3"/>
  <c r="G463" i="3"/>
  <c r="BL463" i="3"/>
  <c r="G465" i="3"/>
  <c r="BL466" i="3"/>
  <c r="AZ466" i="3" s="1"/>
  <c r="G468" i="3"/>
  <c r="G469" i="3"/>
  <c r="BL470" i="3"/>
  <c r="BA480" i="3"/>
  <c r="AZ480" i="3" s="1"/>
  <c r="BL487" i="3"/>
  <c r="BL308" i="3"/>
  <c r="AZ308" i="3" s="1"/>
  <c r="G387" i="3"/>
  <c r="G215" i="3"/>
  <c r="BA231" i="3"/>
  <c r="BL252" i="3"/>
  <c r="BA275" i="3"/>
  <c r="G295" i="3"/>
  <c r="BA125"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AZ423" i="3" s="1"/>
  <c r="G430" i="3"/>
  <c r="BL440" i="3"/>
  <c r="BL444" i="3"/>
  <c r="AZ444" i="3" s="1"/>
  <c r="G447" i="3"/>
  <c r="BL449" i="3"/>
  <c r="BL450" i="3"/>
  <c r="BA456" i="3"/>
  <c r="BL457" i="3"/>
  <c r="BA462" i="3"/>
  <c r="AZ462" i="3" s="1"/>
  <c r="BL467" i="3"/>
  <c r="BL468" i="3"/>
  <c r="BA473" i="3"/>
  <c r="AZ473" i="3" s="1"/>
  <c r="AZ483" i="3"/>
  <c r="BL16" i="3"/>
  <c r="AZ16" i="3" s="1"/>
  <c r="BA401" i="3"/>
  <c r="AZ401" i="3" s="1"/>
  <c r="BA403" i="3"/>
  <c r="AZ403" i="3" s="1"/>
  <c r="BA404" i="3"/>
  <c r="AZ404" i="3" s="1"/>
  <c r="BA405" i="3"/>
  <c r="G409" i="3"/>
  <c r="BL410" i="3"/>
  <c r="G412" i="3"/>
  <c r="G418" i="3"/>
  <c r="G419" i="3"/>
  <c r="BA422" i="3"/>
  <c r="BA431" i="3"/>
  <c r="BA432" i="3"/>
  <c r="BA434" i="3"/>
  <c r="BA436" i="3"/>
  <c r="BA438" i="3"/>
  <c r="BL441" i="3"/>
  <c r="AZ441" i="3" s="1"/>
  <c r="BL442" i="3"/>
  <c r="BL445" i="3"/>
  <c r="BL446" i="3"/>
  <c r="BA452" i="3"/>
  <c r="AZ452" i="3" s="1"/>
  <c r="BA453" i="3"/>
  <c r="BA455" i="3"/>
  <c r="AZ455" i="3" s="1"/>
  <c r="BA457" i="3"/>
  <c r="G460" i="3"/>
  <c r="BL460" i="3"/>
  <c r="BL461" i="3"/>
  <c r="AZ461" i="3" s="1"/>
  <c r="BA464" i="3"/>
  <c r="AZ464" i="3" s="1"/>
  <c r="BA470" i="3"/>
  <c r="AZ470" i="3" s="1"/>
  <c r="BA471" i="3"/>
  <c r="BL476" i="3"/>
  <c r="AZ476" i="3" s="1"/>
  <c r="BL477" i="3"/>
  <c r="BL478" i="3"/>
  <c r="G479" i="3"/>
  <c r="G480" i="3"/>
  <c r="G485" i="3"/>
  <c r="AZ487" i="3"/>
  <c r="BL350" i="3"/>
  <c r="G213" i="3"/>
  <c r="G217" i="3"/>
  <c r="BA235" i="3"/>
  <c r="BL254" i="3"/>
  <c r="BL272" i="3"/>
  <c r="BA301" i="3"/>
  <c r="AZ301" i="3" s="1"/>
  <c r="BL122" i="3"/>
  <c r="G128" i="3"/>
  <c r="BL146" i="3"/>
  <c r="AZ146" i="3" s="1"/>
  <c r="BA482" i="3"/>
  <c r="BA484" i="3"/>
  <c r="AZ484" i="3" s="1"/>
  <c r="BA303" i="3"/>
  <c r="AZ303" i="3" s="1"/>
  <c r="BA307" i="3"/>
  <c r="AZ307" i="3" s="1"/>
  <c r="BL314" i="3"/>
  <c r="AZ314" i="3" s="1"/>
  <c r="BA332" i="3"/>
  <c r="BL332" i="3"/>
  <c r="BA367" i="3"/>
  <c r="AZ367" i="3" s="1"/>
  <c r="BA370" i="3"/>
  <c r="AZ370" i="3" s="1"/>
  <c r="BA386" i="3"/>
  <c r="AZ386" i="3" s="1"/>
  <c r="BA216" i="3"/>
  <c r="AZ216" i="3" s="1"/>
  <c r="BA218" i="3"/>
  <c r="BL218" i="3"/>
  <c r="BL220" i="3"/>
  <c r="BL221" i="3"/>
  <c r="BL223" i="3"/>
  <c r="BA227" i="3"/>
  <c r="AZ227" i="3" s="1"/>
  <c r="BA229" i="3"/>
  <c r="BL229" i="3"/>
  <c r="BL231" i="3"/>
  <c r="BL233" i="3"/>
  <c r="AZ233" i="3" s="1"/>
  <c r="BL235" i="3"/>
  <c r="BL236" i="3"/>
  <c r="BL238" i="3"/>
  <c r="BL243" i="3"/>
  <c r="BA247" i="3"/>
  <c r="BL247" i="3"/>
  <c r="BA249" i="3"/>
  <c r="BL249" i="3"/>
  <c r="BA251" i="3"/>
  <c r="BL251" i="3"/>
  <c r="BA253" i="3"/>
  <c r="BL260" i="3"/>
  <c r="BL263" i="3"/>
  <c r="BL270" i="3"/>
  <c r="AZ270" i="3" s="1"/>
  <c r="BA272" i="3"/>
  <c r="BL275" i="3"/>
  <c r="BL285" i="3"/>
  <c r="BL287" i="3"/>
  <c r="BA290" i="3"/>
  <c r="BL299" i="3"/>
  <c r="BL113" i="3"/>
  <c r="BL115" i="3"/>
  <c r="AZ115" i="3" s="1"/>
  <c r="BA118" i="3"/>
  <c r="BL118" i="3"/>
  <c r="BA122" i="3"/>
  <c r="AZ122" i="3" s="1"/>
  <c r="BL125" i="3"/>
  <c r="BL126" i="3"/>
  <c r="BA144" i="3"/>
  <c r="AZ144" i="3" s="1"/>
  <c r="T32" i="71"/>
  <c r="D32" i="71"/>
  <c r="X33" i="71"/>
  <c r="X34" i="71"/>
  <c r="X26" i="71"/>
  <c r="X36" i="71"/>
  <c r="X35" i="71"/>
  <c r="AB37" i="71"/>
  <c r="AB35" i="71"/>
  <c r="F38" i="71"/>
  <c r="F39" i="71" s="1"/>
  <c r="F40" i="71" s="1"/>
  <c r="V40" i="71" s="1"/>
  <c r="AB32" i="71"/>
  <c r="AB27" i="71"/>
  <c r="C47" i="71"/>
  <c r="D47" i="71" s="1"/>
  <c r="D46" i="71"/>
  <c r="BL424" i="3"/>
  <c r="G426" i="3"/>
  <c r="G427" i="3"/>
  <c r="BL428" i="3"/>
  <c r="AZ428" i="3" s="1"/>
  <c r="BL429" i="3"/>
  <c r="AZ429" i="3" s="1"/>
  <c r="BL432" i="3"/>
  <c r="BL435" i="3"/>
  <c r="AZ435" i="3" s="1"/>
  <c r="BL436" i="3"/>
  <c r="AZ436" i="3" s="1"/>
  <c r="BA439" i="3"/>
  <c r="BA440" i="3"/>
  <c r="AZ440" i="3" s="1"/>
  <c r="BA442" i="3"/>
  <c r="BA445" i="3"/>
  <c r="BA447" i="3"/>
  <c r="AZ447" i="3" s="1"/>
  <c r="BA449" i="3"/>
  <c r="BL453" i="3"/>
  <c r="BL454" i="3"/>
  <c r="AZ454" i="3" s="1"/>
  <c r="G458" i="3"/>
  <c r="BL459" i="3"/>
  <c r="G461" i="3"/>
  <c r="G462" i="3"/>
  <c r="BA465" i="3"/>
  <c r="AZ465" i="3" s="1"/>
  <c r="BA467" i="3"/>
  <c r="BA468" i="3"/>
  <c r="BL471" i="3"/>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AZ397" i="3" s="1"/>
  <c r="BL397" i="3"/>
  <c r="BA210" i="3"/>
  <c r="AZ210" i="3" s="1"/>
  <c r="BL210" i="3"/>
  <c r="BL212" i="3"/>
  <c r="G214" i="3"/>
  <c r="BL214" i="3"/>
  <c r="AZ214" i="3" s="1"/>
  <c r="G216" i="3"/>
  <c r="BL225" i="3"/>
  <c r="BL226" i="3"/>
  <c r="G227" i="3"/>
  <c r="BA239" i="3"/>
  <c r="BL239" i="3"/>
  <c r="BA241" i="3"/>
  <c r="BL241" i="3"/>
  <c r="BA244" i="3"/>
  <c r="BL244" i="3"/>
  <c r="BA246" i="3"/>
  <c r="BA252" i="3"/>
  <c r="AZ252" i="3" s="1"/>
  <c r="BA254" i="3"/>
  <c r="BA256" i="3"/>
  <c r="AZ256" i="3" s="1"/>
  <c r="BL256" i="3"/>
  <c r="BA258" i="3"/>
  <c r="BL264" i="3"/>
  <c r="BL266" i="3"/>
  <c r="BA268" i="3"/>
  <c r="BL273" i="3"/>
  <c r="AZ273" i="3" s="1"/>
  <c r="G274" i="3"/>
  <c r="BA277" i="3"/>
  <c r="AZ277" i="3" s="1"/>
  <c r="BL277" i="3"/>
  <c r="BA282" i="3"/>
  <c r="AZ282" i="3" s="1"/>
  <c r="BL282" i="3"/>
  <c r="BA284" i="3"/>
  <c r="AZ284" i="3" s="1"/>
  <c r="BL290" i="3"/>
  <c r="BL291" i="3"/>
  <c r="AZ291" i="3" s="1"/>
  <c r="BL293" i="3"/>
  <c r="BL294" i="3"/>
  <c r="AZ294" i="3" s="1"/>
  <c r="BA297" i="3"/>
  <c r="BL297" i="3"/>
  <c r="BL300" i="3"/>
  <c r="BA302" i="3"/>
  <c r="AZ302" i="3" s="1"/>
  <c r="G115" i="3"/>
  <c r="BA117" i="3"/>
  <c r="BA130" i="3"/>
  <c r="BL130" i="3"/>
  <c r="BA137" i="3"/>
  <c r="AZ137" i="3" s="1"/>
  <c r="BL138" i="3"/>
  <c r="BA140" i="3"/>
  <c r="AZ140" i="3" s="1"/>
  <c r="BA142" i="3"/>
  <c r="G150" i="3"/>
  <c r="BA189" i="3"/>
  <c r="AZ52" i="3"/>
  <c r="B13" i="1"/>
  <c r="E13" i="1" s="1"/>
  <c r="K13" i="1"/>
  <c r="M13" i="1" s="1"/>
  <c r="O13" i="1" s="1"/>
  <c r="P13" i="1" s="1"/>
  <c r="C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BA124" i="3"/>
  <c r="AZ124" i="3" s="1"/>
  <c r="BA126" i="3"/>
  <c r="BA129" i="3"/>
  <c r="BL133" i="3"/>
  <c r="AZ133" i="3" s="1"/>
  <c r="BL139" i="3"/>
  <c r="AZ139" i="3" s="1"/>
  <c r="G140" i="3"/>
  <c r="BL141" i="3"/>
  <c r="BL143" i="3"/>
  <c r="AZ143" i="3" s="1"/>
  <c r="G146" i="3"/>
  <c r="G147" i="3"/>
  <c r="BA150" i="3"/>
  <c r="G163" i="3"/>
  <c r="G32" i="3"/>
  <c r="F40" i="69"/>
  <c r="C40" i="69"/>
  <c r="U21" i="33"/>
  <c r="AB21" i="33"/>
  <c r="C55" i="71"/>
  <c r="D54" i="71"/>
  <c r="BL155" i="3"/>
  <c r="AZ155" i="3" s="1"/>
  <c r="BA164" i="3"/>
  <c r="AZ164" i="3" s="1"/>
  <c r="BA166" i="3"/>
  <c r="AZ166" i="3" s="1"/>
  <c r="BA169" i="3"/>
  <c r="AZ169" i="3" s="1"/>
  <c r="BL171" i="3"/>
  <c r="AZ171" i="3" s="1"/>
  <c r="BA176" i="3"/>
  <c r="AZ176" i="3" s="1"/>
  <c r="BA178" i="3"/>
  <c r="AZ178" i="3" s="1"/>
  <c r="BA184" i="3"/>
  <c r="AZ184" i="3" s="1"/>
  <c r="BL187" i="3"/>
  <c r="AZ187" i="3" s="1"/>
  <c r="BL189" i="3"/>
  <c r="BL190" i="3"/>
  <c r="BA192" i="3"/>
  <c r="AZ192" i="3" s="1"/>
  <c r="BL197" i="3"/>
  <c r="BL199" i="3"/>
  <c r="AZ199" i="3" s="1"/>
  <c r="BA200" i="3"/>
  <c r="AZ200" i="3" s="1"/>
  <c r="BA202" i="3"/>
  <c r="BL207" i="3"/>
  <c r="BL18" i="3"/>
  <c r="AZ18" i="3" s="1"/>
  <c r="BL19" i="3"/>
  <c r="BA20" i="3"/>
  <c r="AZ20" i="3" s="1"/>
  <c r="BL25" i="3"/>
  <c r="AZ25" i="3" s="1"/>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AZ73" i="3" s="1"/>
  <c r="BA74" i="3"/>
  <c r="BA87" i="3"/>
  <c r="BA89" i="3"/>
  <c r="BL101" i="3"/>
  <c r="BL102" i="3"/>
  <c r="AZ102" i="3" s="1"/>
  <c r="G105" i="3"/>
  <c r="BL106" i="3"/>
  <c r="AZ108" i="3"/>
  <c r="BL111" i="3"/>
  <c r="W21" i="37"/>
  <c r="AC21" i="37"/>
  <c r="AB21" i="34"/>
  <c r="U21" i="34"/>
  <c r="AB25" i="71"/>
  <c r="AB28" i="71"/>
  <c r="AB26" i="71"/>
  <c r="Y30" i="71"/>
  <c r="Z30" i="71" s="1"/>
  <c r="C34" i="71"/>
  <c r="Y28" i="71"/>
  <c r="Z28" i="71" s="1"/>
  <c r="C23" i="71"/>
  <c r="B22" i="71"/>
  <c r="B21" i="71" s="1"/>
  <c r="B20" i="71" s="1"/>
  <c r="AA3" i="71"/>
  <c r="BL149" i="3"/>
  <c r="AZ149" i="3" s="1"/>
  <c r="BL150" i="3"/>
  <c r="G151" i="3"/>
  <c r="BA152" i="3"/>
  <c r="AZ152" i="3" s="1"/>
  <c r="BA154" i="3"/>
  <c r="AZ154" i="3" s="1"/>
  <c r="BA160" i="3"/>
  <c r="AZ160" i="3" s="1"/>
  <c r="G162" i="3"/>
  <c r="BL162" i="3"/>
  <c r="AZ162" i="3" s="1"/>
  <c r="BL165" i="3"/>
  <c r="BL170" i="3"/>
  <c r="BA173" i="3"/>
  <c r="AZ173" i="3" s="1"/>
  <c r="BA174" i="3"/>
  <c r="BL179" i="3"/>
  <c r="AZ179" i="3" s="1"/>
  <c r="BA181" i="3"/>
  <c r="AZ181" i="3" s="1"/>
  <c r="BA182" i="3"/>
  <c r="AZ182" i="3" s="1"/>
  <c r="BL185" i="3"/>
  <c r="BL193" i="3"/>
  <c r="AZ193" i="3" s="1"/>
  <c r="G194" i="3"/>
  <c r="BL194" i="3"/>
  <c r="AZ194" i="3" s="1"/>
  <c r="BA198" i="3"/>
  <c r="AZ198" i="3" s="1"/>
  <c r="G199" i="3"/>
  <c r="G205" i="3"/>
  <c r="BL206" i="3"/>
  <c r="BA19" i="3"/>
  <c r="G22" i="3"/>
  <c r="G24" i="3"/>
  <c r="G25" i="3"/>
  <c r="G27" i="3"/>
  <c r="BA27" i="3"/>
  <c r="G30" i="3"/>
  <c r="BL30" i="3"/>
  <c r="BL31" i="3"/>
  <c r="G37" i="3"/>
  <c r="BL40" i="3"/>
  <c r="AZ40" i="3" s="1"/>
  <c r="BL41" i="3"/>
  <c r="BL45" i="3"/>
  <c r="BA48" i="3"/>
  <c r="AZ48" i="3" s="1"/>
  <c r="BA49" i="3"/>
  <c r="AZ49" i="3" s="1"/>
  <c r="BA51" i="3"/>
  <c r="G55" i="3"/>
  <c r="BL56" i="3"/>
  <c r="BA58" i="3"/>
  <c r="AZ58" i="3" s="1"/>
  <c r="BL59" i="3"/>
  <c r="BL60" i="3"/>
  <c r="BA61" i="3"/>
  <c r="AZ61" i="3" s="1"/>
  <c r="BA68" i="3"/>
  <c r="AZ68" i="3" s="1"/>
  <c r="BA73" i="3"/>
  <c r="G78" i="3"/>
  <c r="G79" i="3"/>
  <c r="G81" i="3"/>
  <c r="G85" i="3"/>
  <c r="BL85" i="3"/>
  <c r="BA86" i="3"/>
  <c r="AZ86" i="3" s="1"/>
  <c r="BL97" i="3"/>
  <c r="AZ97" i="3" s="1"/>
  <c r="G103" i="3"/>
  <c r="BA103" i="3"/>
  <c r="AZ103" i="3" s="1"/>
  <c r="BA104" i="3"/>
  <c r="BA106" i="3"/>
  <c r="BL108" i="3"/>
  <c r="W21" i="21"/>
  <c r="T44" i="71"/>
  <c r="F28" i="71"/>
  <c r="F27" i="71" s="1"/>
  <c r="F26" i="71" s="1"/>
  <c r="T40" i="71"/>
  <c r="D40" i="71"/>
  <c r="E39" i="71"/>
  <c r="E40" i="71" s="1"/>
  <c r="U40" i="71" s="1"/>
  <c r="E59" i="71"/>
  <c r="E60" i="71" s="1"/>
  <c r="U60" i="71" s="1"/>
  <c r="T76" i="71"/>
  <c r="D76" i="71"/>
  <c r="C75" i="71"/>
  <c r="G154" i="3"/>
  <c r="G156" i="3"/>
  <c r="BL157" i="3"/>
  <c r="AZ157" i="3" s="1"/>
  <c r="BL159" i="3"/>
  <c r="AZ159" i="3" s="1"/>
  <c r="G160" i="3"/>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G33" i="3"/>
  <c r="G34" i="3"/>
  <c r="BA37" i="3"/>
  <c r="G39" i="3"/>
  <c r="BL39" i="3"/>
  <c r="AZ39" i="3" s="1"/>
  <c r="G43" i="3"/>
  <c r="G44" i="3"/>
  <c r="BA45" i="3"/>
  <c r="BA46" i="3"/>
  <c r="BL49" i="3"/>
  <c r="BL50" i="3"/>
  <c r="AZ50" i="3" s="1"/>
  <c r="BL51" i="3"/>
  <c r="G53" i="3"/>
  <c r="BL53" i="3"/>
  <c r="AZ53" i="3" s="1"/>
  <c r="BA56" i="3"/>
  <c r="AZ56" i="3" s="1"/>
  <c r="BA57" i="3"/>
  <c r="AZ57" i="3" s="1"/>
  <c r="BL58" i="3"/>
  <c r="G60" i="3"/>
  <c r="BA60" i="3"/>
  <c r="AZ60" i="3" s="1"/>
  <c r="BA63" i="3"/>
  <c r="AZ63" i="3" s="1"/>
  <c r="BA66" i="3"/>
  <c r="AZ66" i="3" s="1"/>
  <c r="BL74" i="3"/>
  <c r="G75" i="3"/>
  <c r="BL75" i="3"/>
  <c r="AZ75" i="3" s="1"/>
  <c r="BA80" i="3"/>
  <c r="BL84" i="3"/>
  <c r="G89" i="3"/>
  <c r="BA90" i="3"/>
  <c r="BA109" i="3"/>
  <c r="F3" i="35"/>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V20" i="71" s="1"/>
  <c r="X28" i="71"/>
  <c r="X32" i="71"/>
  <c r="BA71" i="3"/>
  <c r="AZ71" i="3" s="1"/>
  <c r="G76" i="3"/>
  <c r="BL77" i="3"/>
  <c r="AZ77" i="3" s="1"/>
  <c r="BA79" i="3"/>
  <c r="AZ79" i="3" s="1"/>
  <c r="G82" i="3"/>
  <c r="G83" i="3"/>
  <c r="BA84" i="3"/>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L107" i="3"/>
  <c r="BA111" i="3"/>
  <c r="AZ111" i="3" s="1"/>
  <c r="W18" i="36"/>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6" i="3"/>
  <c r="AZ467" i="3"/>
  <c r="AZ468" i="3"/>
  <c r="W35" i="39"/>
  <c r="F27" i="34"/>
  <c r="C21" i="39"/>
  <c r="U9" i="36"/>
  <c r="U14" i="37"/>
  <c r="H12" i="21"/>
  <c r="G526" i="3"/>
  <c r="AZ420" i="3"/>
  <c r="AZ424" i="3"/>
  <c r="AZ434" i="3"/>
  <c r="AZ438" i="3"/>
  <c r="AZ446" i="3"/>
  <c r="AZ450" i="3"/>
  <c r="G28" i="6"/>
  <c r="G30" i="6" s="1"/>
  <c r="G31" i="6" s="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BL174" i="3"/>
  <c r="AZ174" i="3" s="1"/>
  <c r="AZ185" i="3"/>
  <c r="BL202" i="3"/>
  <c r="AZ202" i="3" s="1"/>
  <c r="AZ30" i="3"/>
  <c r="BL36" i="3"/>
  <c r="AZ36" i="3" s="1"/>
  <c r="AZ106" i="3"/>
  <c r="G200" i="3"/>
  <c r="G207" i="3"/>
  <c r="BA23" i="3"/>
  <c r="AZ23" i="3" s="1"/>
  <c r="BA24" i="3"/>
  <c r="AZ24" i="3" s="1"/>
  <c r="BL26" i="3"/>
  <c r="AZ26" i="3" s="1"/>
  <c r="BL32" i="3"/>
  <c r="AZ32" i="3" s="1"/>
  <c r="BA34" i="3"/>
  <c r="AZ34" i="3" s="1"/>
  <c r="BA35" i="3"/>
  <c r="AZ35" i="3" s="1"/>
  <c r="BL37" i="3"/>
  <c r="BL42" i="3"/>
  <c r="AZ42" i="3" s="1"/>
  <c r="BA44" i="3"/>
  <c r="AZ44" i="3" s="1"/>
  <c r="AZ46"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E28" i="6"/>
  <c r="L19" i="6"/>
  <c r="L27" i="6" s="1"/>
  <c r="M6" i="1"/>
  <c r="O6" i="1"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M7" i="15"/>
  <c r="F50" i="15"/>
  <c r="L59" i="15"/>
  <c r="N59" i="15"/>
  <c r="M59" i="15"/>
  <c r="Q71" i="67"/>
  <c r="B13" i="70"/>
  <c r="M7" i="67"/>
  <c r="F50" i="67"/>
  <c r="F64" i="67"/>
  <c r="C36" i="68"/>
  <c r="D9" i="68"/>
  <c r="M29" i="67"/>
  <c r="F16" i="67"/>
  <c r="F8" i="67"/>
  <c r="M29" i="15"/>
  <c r="F42" i="67"/>
  <c r="J15" i="67"/>
  <c r="D5" i="73"/>
  <c r="L48" i="67"/>
  <c r="D9" i="69"/>
  <c r="F8" i="15"/>
  <c r="M22" i="15"/>
  <c r="F13" i="67"/>
  <c r="M6" i="15"/>
  <c r="F37" i="67"/>
  <c r="F9" i="15"/>
  <c r="M28" i="67"/>
  <c r="M26" i="67"/>
  <c r="F6" i="67"/>
  <c r="F16" i="15"/>
  <c r="F36" i="15"/>
  <c r="F38" i="15"/>
  <c r="F26" i="15"/>
  <c r="M23" i="15"/>
  <c r="F37" i="15"/>
  <c r="F42" i="15"/>
  <c r="C76" i="15"/>
  <c r="L48" i="15"/>
  <c r="L47" i="67"/>
  <c r="D7" i="73"/>
  <c r="F40" i="67"/>
  <c r="D3" i="73"/>
  <c r="F43" i="15"/>
  <c r="F43" i="67"/>
  <c r="D4" i="73"/>
  <c r="J15" i="15"/>
  <c r="F26" i="67"/>
  <c r="M26" i="15"/>
  <c r="M6" i="67"/>
  <c r="M9" i="15"/>
  <c r="M24" i="67"/>
  <c r="C36" i="69"/>
  <c r="F40" i="15"/>
  <c r="F9" i="67"/>
  <c r="F38" i="67"/>
  <c r="S32" i="21" l="1"/>
  <c r="G123" i="21"/>
  <c r="H123" i="21" s="1"/>
  <c r="I123" i="21" s="1"/>
  <c r="J123" i="21" s="1"/>
  <c r="K123" i="21" s="1"/>
  <c r="L123" i="21" s="1"/>
  <c r="M123" i="21" s="1"/>
  <c r="H42" i="21"/>
  <c r="J42" i="21"/>
  <c r="F42" i="21"/>
  <c r="C6" i="69"/>
  <c r="C7" i="69" s="1"/>
  <c r="W26" i="21"/>
  <c r="F68" i="67"/>
  <c r="F65" i="67"/>
  <c r="J57" i="67"/>
  <c r="J55" i="67" s="1"/>
  <c r="J58" i="67" s="1"/>
  <c r="Q50" i="67" s="1"/>
  <c r="L56" i="67"/>
  <c r="I54" i="67"/>
  <c r="J53" i="67"/>
  <c r="F1" i="67" s="1"/>
  <c r="L59" i="67"/>
  <c r="Q74" i="67" s="1"/>
  <c r="L58" i="67"/>
  <c r="Q73" i="67" s="1"/>
  <c r="M59" i="67"/>
  <c r="N59" i="67"/>
  <c r="C27" i="67"/>
  <c r="F66" i="67"/>
  <c r="AZ275" i="3"/>
  <c r="N65" i="71"/>
  <c r="N66" i="71"/>
  <c r="AB36" i="35"/>
  <c r="U36" i="35"/>
  <c r="AC40" i="37"/>
  <c r="W40" i="37"/>
  <c r="AB44" i="39"/>
  <c r="U44" i="39"/>
  <c r="W28" i="33"/>
  <c r="AC28" i="33"/>
  <c r="AC9" i="33"/>
  <c r="W9" i="33"/>
  <c r="H26" i="43"/>
  <c r="E59" i="40"/>
  <c r="AZ170" i="3"/>
  <c r="AZ482" i="3"/>
  <c r="AZ317" i="3"/>
  <c r="AZ254" i="3"/>
  <c r="AZ118" i="3"/>
  <c r="AZ272" i="3"/>
  <c r="AZ249" i="3"/>
  <c r="AZ218" i="3"/>
  <c r="AZ457" i="3"/>
  <c r="P67" i="71"/>
  <c r="E66" i="71"/>
  <c r="AA27" i="37"/>
  <c r="S27" i="37"/>
  <c r="AA28" i="33"/>
  <c r="S28" i="33"/>
  <c r="G89" i="21"/>
  <c r="H26" i="21"/>
  <c r="AZ112" i="3"/>
  <c r="AZ243" i="3"/>
  <c r="AZ189" i="3"/>
  <c r="AZ125" i="3"/>
  <c r="AZ497" i="3"/>
  <c r="AZ530" i="3"/>
  <c r="AZ537" i="3"/>
  <c r="AZ548" i="3"/>
  <c r="AZ551" i="3"/>
  <c r="AZ572" i="3"/>
  <c r="AC9" i="36"/>
  <c r="W9" i="36"/>
  <c r="AB31" i="21"/>
  <c r="U31" i="21"/>
  <c r="AA44" i="39"/>
  <c r="S44" i="39"/>
  <c r="AC12" i="39"/>
  <c r="W12" i="39"/>
  <c r="AZ251" i="3"/>
  <c r="AZ247" i="3"/>
  <c r="AZ229" i="3"/>
  <c r="AZ332" i="3"/>
  <c r="AZ459" i="3"/>
  <c r="AA40" i="37"/>
  <c r="S40" i="37"/>
  <c r="AC44" i="39"/>
  <c r="W44" i="39"/>
  <c r="AB24" i="36"/>
  <c r="U24" i="36"/>
  <c r="AB9" i="33"/>
  <c r="U9" i="33"/>
  <c r="S12" i="39"/>
  <c r="AA12" i="39"/>
  <c r="AA11" i="36"/>
  <c r="S11" i="36"/>
  <c r="C30" i="69"/>
  <c r="C48" i="69"/>
  <c r="C30" i="68"/>
  <c r="C48" i="68"/>
  <c r="F48" i="9"/>
  <c r="O52" i="9" s="1"/>
  <c r="F30" i="11"/>
  <c r="F31" i="12"/>
  <c r="C31" i="12" s="1"/>
  <c r="M18" i="15"/>
  <c r="D68" i="9"/>
  <c r="E26" i="43"/>
  <c r="G26" i="43"/>
  <c r="N94" i="46"/>
  <c r="F26" i="43"/>
  <c r="P6" i="1"/>
  <c r="C13" i="12" s="1"/>
  <c r="K16" i="1"/>
  <c r="H16" i="1"/>
  <c r="G16" i="1"/>
  <c r="F10" i="39" s="1"/>
  <c r="S10" i="39" s="1"/>
  <c r="Q16" i="1"/>
  <c r="F28" i="12" s="1"/>
  <c r="C29" i="12" s="1"/>
  <c r="D28" i="12" s="1"/>
  <c r="J7" i="37"/>
  <c r="F51" i="67"/>
  <c r="C49" i="67" s="1"/>
  <c r="F71" i="15"/>
  <c r="Q71" i="15"/>
  <c r="F66" i="15"/>
  <c r="F64" i="15"/>
  <c r="F31" i="67"/>
  <c r="C6" i="67"/>
  <c r="C32" i="67" s="1"/>
  <c r="I54" i="15"/>
  <c r="L58" i="15"/>
  <c r="Q60" i="15" s="1"/>
  <c r="J53" i="15"/>
  <c r="L56" i="15" s="1"/>
  <c r="J57" i="15"/>
  <c r="J55" i="15" s="1"/>
  <c r="J58" i="15" s="1"/>
  <c r="Q50" i="15" s="1"/>
  <c r="C27" i="15"/>
  <c r="F71" i="67"/>
  <c r="F65" i="15"/>
  <c r="F68" i="15"/>
  <c r="C6" i="15"/>
  <c r="F31" i="15"/>
  <c r="F51" i="15"/>
  <c r="F59" i="15" s="1"/>
  <c r="D23" i="71"/>
  <c r="C22" i="71"/>
  <c r="C56" i="71"/>
  <c r="D55" i="71"/>
  <c r="AZ150" i="3"/>
  <c r="C52" i="71"/>
  <c r="D51" i="71"/>
  <c r="AB39" i="40"/>
  <c r="U39" i="40"/>
  <c r="AC23" i="36"/>
  <c r="W23" i="36"/>
  <c r="AC38" i="40"/>
  <c r="W38" i="40"/>
  <c r="AA43" i="39"/>
  <c r="S43" i="39"/>
  <c r="W31" i="39"/>
  <c r="AC31" i="39"/>
  <c r="AC23" i="35"/>
  <c r="W23" i="35"/>
  <c r="U36" i="39"/>
  <c r="AB36" i="39"/>
  <c r="U46" i="21"/>
  <c r="AB46" i="21"/>
  <c r="S12" i="40"/>
  <c r="AA12" i="40"/>
  <c r="AC35" i="35"/>
  <c r="W35" i="35"/>
  <c r="S32" i="34"/>
  <c r="AA32" i="34"/>
  <c r="J6" i="15"/>
  <c r="J6" i="67"/>
  <c r="J18" i="67" s="1"/>
  <c r="J7" i="36"/>
  <c r="AC7" i="36" s="1"/>
  <c r="V36" i="36" s="1"/>
  <c r="I36" i="36" s="1"/>
  <c r="AZ190" i="3"/>
  <c r="AZ27" i="3"/>
  <c r="AZ126" i="3"/>
  <c r="AZ271" i="3"/>
  <c r="AZ238" i="3"/>
  <c r="AZ297" i="3"/>
  <c r="AZ241" i="3"/>
  <c r="AZ422" i="3"/>
  <c r="AZ421" i="3"/>
  <c r="AZ414" i="3"/>
  <c r="W39" i="40"/>
  <c r="AC39" i="40"/>
  <c r="AA37" i="39"/>
  <c r="S37" i="39"/>
  <c r="AB23" i="36"/>
  <c r="U23" i="36"/>
  <c r="W28" i="34"/>
  <c r="AC28" i="34"/>
  <c r="S38" i="40"/>
  <c r="AA38" i="40"/>
  <c r="U43" i="39"/>
  <c r="AB43" i="39"/>
  <c r="AB31" i="39"/>
  <c r="U31" i="39"/>
  <c r="AZ499" i="3"/>
  <c r="AZ510" i="3"/>
  <c r="AZ514" i="3"/>
  <c r="AZ550" i="3"/>
  <c r="S36" i="39"/>
  <c r="AA36" i="39"/>
  <c r="AZ568" i="3"/>
  <c r="W12" i="40"/>
  <c r="AC12" i="40"/>
  <c r="AA45" i="21"/>
  <c r="S45" i="21"/>
  <c r="W32" i="34"/>
  <c r="AC32" i="34"/>
  <c r="G5" i="3"/>
  <c r="B3" i="3" s="1"/>
  <c r="E212" i="3" s="1"/>
  <c r="C26" i="71"/>
  <c r="D26" i="71" s="1"/>
  <c r="D27" i="71"/>
  <c r="AZ84" i="3"/>
  <c r="D67" i="71"/>
  <c r="C66" i="71"/>
  <c r="O67" i="71"/>
  <c r="AZ19" i="3"/>
  <c r="D34" i="71"/>
  <c r="C35" i="71"/>
  <c r="AZ353" i="3"/>
  <c r="AZ471" i="3"/>
  <c r="AZ453" i="3"/>
  <c r="AC37" i="39"/>
  <c r="W37" i="39"/>
  <c r="U9" i="34"/>
  <c r="AB9" i="34"/>
  <c r="AC43" i="39"/>
  <c r="W43" i="39"/>
  <c r="AA23" i="35"/>
  <c r="S23" i="35"/>
  <c r="AZ527" i="3"/>
  <c r="U12" i="35"/>
  <c r="AB12" i="35"/>
  <c r="W45" i="21"/>
  <c r="AC45" i="21"/>
  <c r="W12" i="35"/>
  <c r="AC12" i="35"/>
  <c r="U45" i="33"/>
  <c r="AB45" i="33"/>
  <c r="AZ37" i="3"/>
  <c r="AZ129" i="3"/>
  <c r="AZ279" i="3"/>
  <c r="AZ45" i="3"/>
  <c r="D75" i="71"/>
  <c r="C74" i="71"/>
  <c r="D74" i="71" s="1"/>
  <c r="AZ51" i="3"/>
  <c r="B19" i="71"/>
  <c r="B18" i="71" s="1"/>
  <c r="B17" i="71" s="1"/>
  <c r="B16" i="71" s="1"/>
  <c r="S20" i="71"/>
  <c r="AZ74" i="3"/>
  <c r="AZ41" i="3"/>
  <c r="AZ31" i="3"/>
  <c r="AZ274" i="3"/>
  <c r="AZ223" i="3"/>
  <c r="AZ130" i="3"/>
  <c r="AZ244" i="3"/>
  <c r="AZ239" i="3"/>
  <c r="AZ235" i="3"/>
  <c r="AZ432" i="3"/>
  <c r="AZ405" i="3"/>
  <c r="W12" i="34"/>
  <c r="AC12" i="34"/>
  <c r="AB38" i="40"/>
  <c r="U38" i="40"/>
  <c r="AA33" i="36"/>
  <c r="S33" i="36"/>
  <c r="AA31" i="39"/>
  <c r="S31" i="39"/>
  <c r="U23" i="35"/>
  <c r="AB23" i="35"/>
  <c r="S46" i="21"/>
  <c r="AA46" i="21"/>
  <c r="AZ504" i="3"/>
  <c r="AZ521" i="3"/>
  <c r="AZ528" i="3"/>
  <c r="AZ541" i="3"/>
  <c r="U13" i="40"/>
  <c r="AB13" i="40"/>
  <c r="AZ535" i="3"/>
  <c r="AA45" i="33"/>
  <c r="S45" i="33"/>
  <c r="K1" i="73"/>
  <c r="E510" i="3"/>
  <c r="E199" i="3"/>
  <c r="E541" i="3"/>
  <c r="E449" i="3"/>
  <c r="E417" i="3"/>
  <c r="E56" i="3"/>
  <c r="E363" i="3"/>
  <c r="E76" i="3"/>
  <c r="E64" i="3"/>
  <c r="E103" i="3"/>
  <c r="E310" i="3"/>
  <c r="E23" i="3"/>
  <c r="E233" i="3"/>
  <c r="E381" i="3"/>
  <c r="E309" i="3"/>
  <c r="E21" i="3"/>
  <c r="E391" i="3"/>
  <c r="AL6" i="3"/>
  <c r="E482" i="3"/>
  <c r="E18" i="3"/>
  <c r="E174" i="3"/>
  <c r="E235" i="3"/>
  <c r="E86" i="3"/>
  <c r="E34" i="3"/>
  <c r="AF6" i="3"/>
  <c r="E102" i="3"/>
  <c r="E113" i="3"/>
  <c r="E308" i="3"/>
  <c r="E22" i="3"/>
  <c r="E205" i="3"/>
  <c r="E197" i="3"/>
  <c r="E173" i="3"/>
  <c r="E525" i="3"/>
  <c r="T6" i="3"/>
  <c r="E405" i="3"/>
  <c r="E456" i="3"/>
  <c r="E512" i="3"/>
  <c r="E408" i="3"/>
  <c r="E451" i="3"/>
  <c r="E556" i="3"/>
  <c r="E497" i="3"/>
  <c r="E13" i="3"/>
  <c r="E470" i="3"/>
  <c r="E420" i="3"/>
  <c r="E26" i="3"/>
  <c r="E41" i="3"/>
  <c r="E115" i="3"/>
  <c r="E225" i="3"/>
  <c r="E356" i="3"/>
  <c r="E428" i="3"/>
  <c r="E412" i="3"/>
  <c r="E190" i="3"/>
  <c r="E220" i="3"/>
  <c r="E324" i="3"/>
  <c r="E35" i="3"/>
  <c r="E49" i="3"/>
  <c r="E232" i="3"/>
  <c r="E80" i="3"/>
  <c r="E158" i="3"/>
  <c r="E326" i="3"/>
  <c r="E329" i="3"/>
  <c r="E16" i="3"/>
  <c r="E188" i="3"/>
  <c r="E116" i="3"/>
  <c r="E105" i="3"/>
  <c r="E393" i="3"/>
  <c r="E564" i="3"/>
  <c r="E543" i="3"/>
  <c r="E427" i="3"/>
  <c r="E507" i="3"/>
  <c r="E422" i="3"/>
  <c r="E440" i="3"/>
  <c r="E376" i="3"/>
  <c r="AH6" i="3"/>
  <c r="J6" i="3"/>
  <c r="E419" i="3"/>
  <c r="E401" i="3"/>
  <c r="E463" i="3"/>
  <c r="E25" i="3"/>
  <c r="E108" i="3"/>
  <c r="E178" i="3"/>
  <c r="E226" i="3"/>
  <c r="E276" i="3"/>
  <c r="E346" i="3"/>
  <c r="E372" i="3"/>
  <c r="L6" i="3"/>
  <c r="E60" i="3"/>
  <c r="E540" i="3"/>
  <c r="E473" i="3"/>
  <c r="E15" i="3"/>
  <c r="E79" i="3"/>
  <c r="E38" i="3"/>
  <c r="E170" i="3"/>
  <c r="E194" i="3"/>
  <c r="E234" i="3"/>
  <c r="E299" i="3"/>
  <c r="E325" i="3"/>
  <c r="E392" i="3"/>
  <c r="AQ6" i="3"/>
  <c r="E36" i="3"/>
  <c r="E112" i="3"/>
  <c r="E123" i="3"/>
  <c r="E289" i="3"/>
  <c r="E340" i="3"/>
  <c r="E364" i="3"/>
  <c r="E20" i="3"/>
  <c r="E62" i="3"/>
  <c r="E176" i="3"/>
  <c r="E265" i="3"/>
  <c r="E365" i="3"/>
  <c r="E524" i="3"/>
  <c r="E165" i="3"/>
  <c r="E141" i="3"/>
  <c r="E552" i="3"/>
  <c r="E566" i="3"/>
  <c r="E460" i="3"/>
  <c r="E90" i="3"/>
  <c r="E348" i="3"/>
  <c r="E58" i="3"/>
  <c r="E521" i="3"/>
  <c r="E386" i="3"/>
  <c r="E24" i="3"/>
  <c r="E250" i="3"/>
  <c r="E222" i="3"/>
  <c r="E244" i="3"/>
  <c r="E312" i="3"/>
  <c r="E416" i="3"/>
  <c r="E500" i="3"/>
  <c r="E520" i="3"/>
  <c r="E110" i="3"/>
  <c r="E446" i="3"/>
  <c r="E138" i="3"/>
  <c r="E354" i="3"/>
  <c r="E48" i="3"/>
  <c r="E284" i="3"/>
  <c r="E323" i="3"/>
  <c r="E149" i="3"/>
  <c r="E464" i="3"/>
  <c r="E436" i="3"/>
  <c r="E297" i="3"/>
  <c r="E375" i="3"/>
  <c r="E266" i="3"/>
  <c r="E584" i="3"/>
  <c r="E341" i="3"/>
  <c r="E542" i="3"/>
  <c r="E374" i="3"/>
  <c r="E39" i="3"/>
  <c r="E462" i="3"/>
  <c r="E163" i="3"/>
  <c r="E66" i="3"/>
  <c r="E179" i="3"/>
  <c r="AD6" i="3"/>
  <c r="E459" i="3"/>
  <c r="E195" i="3"/>
  <c r="E87" i="3"/>
  <c r="E154" i="3"/>
  <c r="E413" i="3"/>
  <c r="E187" i="3"/>
  <c r="E504" i="3"/>
  <c r="E307" i="3"/>
  <c r="E127" i="3"/>
  <c r="E82" i="3"/>
  <c r="E461" i="3"/>
  <c r="E136" i="3"/>
  <c r="E352" i="3"/>
  <c r="E157" i="3"/>
  <c r="E224" i="3"/>
  <c r="E313" i="3"/>
  <c r="E529" i="3"/>
  <c r="E474" i="3"/>
  <c r="E438" i="3"/>
  <c r="W6" i="3"/>
  <c r="E537" i="3"/>
  <c r="E471" i="3"/>
  <c r="E54" i="3"/>
  <c r="E168" i="3"/>
  <c r="E208" i="3"/>
  <c r="E357" i="3"/>
  <c r="E14" i="3"/>
  <c r="E93" i="3"/>
  <c r="E196" i="3"/>
  <c r="E207" i="3"/>
  <c r="E145" i="3"/>
  <c r="U6" i="3"/>
  <c r="E411" i="3"/>
  <c r="E548" i="3"/>
  <c r="E367" i="3"/>
  <c r="E547" i="3"/>
  <c r="E403" i="3"/>
  <c r="E71" i="3"/>
  <c r="E92" i="3"/>
  <c r="E126" i="3"/>
  <c r="E291" i="3"/>
  <c r="E317" i="3"/>
  <c r="AM6" i="3"/>
  <c r="E53" i="3"/>
  <c r="E319" i="3"/>
  <c r="E501" i="3"/>
  <c r="E426" i="3"/>
  <c r="E328" i="3"/>
  <c r="O6" i="3"/>
  <c r="E359" i="3"/>
  <c r="E285" i="3"/>
  <c r="E97" i="3"/>
  <c r="S6" i="3"/>
  <c r="E523" i="3"/>
  <c r="E506" i="3"/>
  <c r="E338" i="3"/>
  <c r="E321" i="3"/>
  <c r="E298" i="3"/>
  <c r="E237" i="3"/>
  <c r="E304" i="3"/>
  <c r="E565" i="3"/>
  <c r="E17" i="3"/>
  <c r="E302" i="3"/>
  <c r="E221" i="3"/>
  <c r="E159" i="3"/>
  <c r="E303" i="3"/>
  <c r="E402" i="3"/>
  <c r="E353" i="3"/>
  <c r="E280" i="3"/>
  <c r="AA6" i="3"/>
  <c r="E238" i="3"/>
  <c r="E434" i="3"/>
  <c r="E128" i="3"/>
  <c r="E120" i="3"/>
  <c r="E177" i="3"/>
  <c r="E330" i="3"/>
  <c r="E437" i="3"/>
  <c r="E481" i="3"/>
  <c r="E424" i="3"/>
  <c r="AE6" i="3"/>
  <c r="E429" i="3"/>
  <c r="E496" i="3"/>
  <c r="E73" i="3"/>
  <c r="E203" i="3"/>
  <c r="E256" i="3"/>
  <c r="E394" i="3"/>
  <c r="E580" i="3"/>
  <c r="E32" i="3"/>
  <c r="E236" i="3"/>
  <c r="E252" i="3"/>
  <c r="E164"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F10" i="40"/>
  <c r="S10" i="40" s="1"/>
  <c r="C7" i="43"/>
  <c r="C5" i="43" s="1"/>
  <c r="D10" i="52"/>
  <c r="D125" i="9"/>
  <c r="D11" i="52" s="1"/>
  <c r="B7" i="74"/>
  <c r="C7" i="74" s="1"/>
  <c r="F67" i="39"/>
  <c r="H7" i="37"/>
  <c r="AB7" i="37" s="1"/>
  <c r="T42" i="37" s="1"/>
  <c r="G42" i="37" s="1"/>
  <c r="AA10" i="39"/>
  <c r="H7" i="33"/>
  <c r="J7" i="33"/>
  <c r="D65" i="40"/>
  <c r="E63" i="40"/>
  <c r="F48" i="35"/>
  <c r="AC7" i="37"/>
  <c r="W7" i="37"/>
  <c r="F7" i="33"/>
  <c r="E58" i="21"/>
  <c r="W7" i="36"/>
  <c r="F7" i="37"/>
  <c r="M17" i="67"/>
  <c r="M17" i="15"/>
  <c r="P28" i="43"/>
  <c r="B66" i="40" s="1"/>
  <c r="P25" i="43"/>
  <c r="P29" i="43"/>
  <c r="P27" i="43"/>
  <c r="B70" i="39" s="1"/>
  <c r="M11" i="67"/>
  <c r="J10" i="67" s="1"/>
  <c r="F11" i="15"/>
  <c r="M11" i="15"/>
  <c r="J10" i="15" s="1"/>
  <c r="F11" i="67"/>
  <c r="C32" i="15"/>
  <c r="Q74" i="15"/>
  <c r="Q61" i="15"/>
  <c r="AE11" i="1"/>
  <c r="AE9" i="1"/>
  <c r="AE7" i="1"/>
  <c r="AE8" i="1"/>
  <c r="AE12" i="1"/>
  <c r="AE10" i="1"/>
  <c r="AE6" i="1"/>
  <c r="C16" i="15"/>
  <c r="C16" i="67"/>
  <c r="G1" i="73"/>
  <c r="F27" i="69"/>
  <c r="F41" i="67"/>
  <c r="F27" i="68" l="1"/>
  <c r="F27" i="11"/>
  <c r="C29" i="11" s="1"/>
  <c r="D27" i="11" s="1"/>
  <c r="AC42" i="21"/>
  <c r="W42" i="21"/>
  <c r="U42" i="21"/>
  <c r="AB42" i="21"/>
  <c r="AA42" i="21"/>
  <c r="S42" i="21"/>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H6" i="3" s="1"/>
  <c r="E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64" i="3"/>
  <c r="E144" i="3"/>
  <c r="E300" i="3"/>
  <c r="E425" i="3"/>
  <c r="E241" i="3"/>
  <c r="E435" i="3"/>
  <c r="R6" i="3"/>
  <c r="E206" i="3"/>
  <c r="E383" i="3"/>
  <c r="E96" i="3"/>
  <c r="E42" i="3"/>
  <c r="E198" i="3"/>
  <c r="E63" i="3"/>
  <c r="E67" i="3"/>
  <c r="E267" i="3"/>
  <c r="E409" i="3"/>
  <c r="E192" i="3"/>
  <c r="I3" i="6"/>
  <c r="E575" i="3"/>
  <c r="AA7" i="36"/>
  <c r="R36" i="36" s="1"/>
  <c r="Q52" i="67"/>
  <c r="Q61" i="67"/>
  <c r="Q60" i="67"/>
  <c r="AB26" i="21"/>
  <c r="U26" i="21"/>
  <c r="H89" i="21"/>
  <c r="I89" i="21" s="1"/>
  <c r="J89" i="21" s="1"/>
  <c r="K89" i="21" s="1"/>
  <c r="L89" i="21" s="1"/>
  <c r="M89" i="21" s="1"/>
  <c r="F26" i="21"/>
  <c r="P65" i="71"/>
  <c r="P66" i="71"/>
  <c r="AZ5" i="3"/>
  <c r="AY6" i="3" s="1"/>
  <c r="AY188" i="3" s="1"/>
  <c r="D26" i="43"/>
  <c r="C25" i="43" s="1"/>
  <c r="Q73" i="15"/>
  <c r="J18" i="15"/>
  <c r="C48" i="11"/>
  <c r="C30" i="11"/>
  <c r="C47" i="69"/>
  <c r="D45" i="69" s="1"/>
  <c r="C29" i="69"/>
  <c r="D27" i="69" s="1"/>
  <c r="F45" i="69"/>
  <c r="H10" i="39"/>
  <c r="U10" i="39" s="1"/>
  <c r="H10" i="40"/>
  <c r="AB10" i="40" s="1"/>
  <c r="J10" i="40"/>
  <c r="AC10" i="40" s="1"/>
  <c r="F59" i="67"/>
  <c r="J10" i="39"/>
  <c r="W10" i="39" s="1"/>
  <c r="E389" i="3"/>
  <c r="E95" i="3"/>
  <c r="E554" i="3"/>
  <c r="E442" i="3"/>
  <c r="E536" i="3"/>
  <c r="J5" i="15"/>
  <c r="J24" i="15" s="1"/>
  <c r="F1" i="15"/>
  <c r="C49" i="15"/>
  <c r="Q52" i="15"/>
  <c r="U7" i="36"/>
  <c r="J5" i="67"/>
  <c r="J24" i="67" s="1"/>
  <c r="E494" i="3"/>
  <c r="E283" i="3"/>
  <c r="E68" i="3"/>
  <c r="E184" i="3"/>
  <c r="E84" i="3"/>
  <c r="E371" i="3"/>
  <c r="E160" i="3"/>
  <c r="E467" i="3"/>
  <c r="E59" i="3"/>
  <c r="E349" i="3"/>
  <c r="E258" i="3"/>
  <c r="E37" i="3"/>
  <c r="E491" i="3"/>
  <c r="AP6" i="3"/>
  <c r="AC6" i="3" s="1"/>
  <c r="E430" i="3"/>
  <c r="E502" i="3"/>
  <c r="E286" i="3"/>
  <c r="E539" i="3"/>
  <c r="C36" i="71"/>
  <c r="D35" i="71"/>
  <c r="O65" i="71"/>
  <c r="D66" i="71"/>
  <c r="O66" i="71"/>
  <c r="D56" i="71"/>
  <c r="T56" i="71"/>
  <c r="T52" i="71"/>
  <c r="D52" i="71"/>
  <c r="D22" i="71"/>
  <c r="C21" i="71"/>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115" i="3"/>
  <c r="AY276" i="3"/>
  <c r="AY225" i="3"/>
  <c r="AY50" i="3"/>
  <c r="AY261" i="3"/>
  <c r="AY473" i="3"/>
  <c r="AY26" i="3"/>
  <c r="AY372" i="3"/>
  <c r="AY310" i="3"/>
  <c r="AY54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302" i="3"/>
  <c r="AY254" i="3"/>
  <c r="AY365" i="3"/>
  <c r="BS6" i="3"/>
  <c r="AY57" i="3"/>
  <c r="AY40" i="3"/>
  <c r="AY130" i="3"/>
  <c r="AY279" i="3"/>
  <c r="AY393" i="3"/>
  <c r="AY356" i="3"/>
  <c r="AY308" i="3"/>
  <c r="AY467" i="3"/>
  <c r="AY422" i="3"/>
  <c r="AY435" i="3"/>
  <c r="AY516" i="3"/>
  <c r="BN6" i="3"/>
  <c r="AY559" i="3"/>
  <c r="AY508" i="3"/>
  <c r="AY496" i="3"/>
  <c r="AY577" i="3"/>
  <c r="AY81" i="3"/>
  <c r="AY49" i="3"/>
  <c r="AY132" i="3"/>
  <c r="AY31" i="3"/>
  <c r="AY220" i="3"/>
  <c r="AY350" i="3"/>
  <c r="AY412" i="3"/>
  <c r="AY497" i="3"/>
  <c r="AY229" i="3"/>
  <c r="AY212" i="3"/>
  <c r="AY326" i="3"/>
  <c r="AY478" i="3"/>
  <c r="AY557" i="3"/>
  <c r="AY573" i="3"/>
  <c r="AY105" i="3"/>
  <c r="AY100" i="3"/>
  <c r="AY52" i="3"/>
  <c r="AY20" i="3"/>
  <c r="AY162" i="3"/>
  <c r="AY173" i="3"/>
  <c r="AY291" i="3"/>
  <c r="AY286" i="3"/>
  <c r="AY238" i="3"/>
  <c r="AY227" i="3"/>
  <c r="AY368" i="3"/>
  <c r="AY507" i="3"/>
  <c r="AY72" i="3"/>
  <c r="AY29" i="3"/>
  <c r="AY121" i="3"/>
  <c r="AY275" i="3"/>
  <c r="AY370" i="3"/>
  <c r="AY341" i="3"/>
  <c r="AY483" i="3"/>
  <c r="AY480" i="3"/>
  <c r="AY406" i="3"/>
  <c r="AY419" i="3"/>
  <c r="AY572" i="3"/>
  <c r="AY536" i="3"/>
  <c r="AY543" i="3"/>
  <c r="AY584" i="3"/>
  <c r="AY582" i="3"/>
  <c r="AY519" i="3"/>
  <c r="AY65" i="3"/>
  <c r="AY80" i="3"/>
  <c r="AY194" i="3"/>
  <c r="AY189" i="3"/>
  <c r="AY137" i="3"/>
  <c r="AY129" i="3"/>
  <c r="AY251" i="3"/>
  <c r="AY266" i="3"/>
  <c r="AY380" i="3"/>
  <c r="AY369" i="3"/>
  <c r="AY329" i="3"/>
  <c r="AY313" i="3"/>
  <c r="AY312" i="3"/>
  <c r="AY487" i="3"/>
  <c r="AY468" i="3"/>
  <c r="AY453" i="3"/>
  <c r="AY426" i="3"/>
  <c r="AY410" i="3"/>
  <c r="AY407" i="3"/>
  <c r="AY579" i="3"/>
  <c r="AY14" i="3"/>
  <c r="D3" i="6"/>
  <c r="AY565" i="3"/>
  <c r="AY509" i="3"/>
  <c r="AY570" i="3"/>
  <c r="AY531" i="3"/>
  <c r="AY99" i="3"/>
  <c r="AY94" i="3"/>
  <c r="AY46" i="3"/>
  <c r="AY35" i="3"/>
  <c r="AY156" i="3"/>
  <c r="AY167" i="3"/>
  <c r="AY285" i="3"/>
  <c r="AY280" i="3"/>
  <c r="AY232" i="3"/>
  <c r="AY221" i="3"/>
  <c r="AY362" i="3"/>
  <c r="AY331" i="3"/>
  <c r="AY469" i="3"/>
  <c r="AY466" i="3"/>
  <c r="AY437" i="3"/>
  <c r="AY405" i="3"/>
  <c r="AY560" i="3"/>
  <c r="AY512" i="3"/>
  <c r="AY91" i="3"/>
  <c r="AY86" i="3"/>
  <c r="AY38" i="3"/>
  <c r="AY27" i="3"/>
  <c r="AY148" i="3"/>
  <c r="AY159" i="3"/>
  <c r="AY277" i="3"/>
  <c r="AY273" i="3"/>
  <c r="AY224" i="3"/>
  <c r="AY213" i="3"/>
  <c r="AY354" i="3"/>
  <c r="AY323" i="3"/>
  <c r="AY490" i="3"/>
  <c r="AY459" i="3"/>
  <c r="AY429" i="3"/>
  <c r="AY550" i="3"/>
  <c r="AY511" i="3"/>
  <c r="AY504" i="3"/>
  <c r="AY32" i="3"/>
  <c r="AY205" i="3"/>
  <c r="AY298" i="3"/>
  <c r="AY235" i="3"/>
  <c r="AY352" i="3"/>
  <c r="AY321" i="3"/>
  <c r="AY492" i="3"/>
  <c r="AY461" i="3"/>
  <c r="AY431" i="3"/>
  <c r="AY399" i="3"/>
  <c r="AY575" i="3"/>
  <c r="AY537" i="3"/>
  <c r="AY563" i="3"/>
  <c r="AY110" i="3"/>
  <c r="AY203" i="3"/>
  <c r="AY140" i="3"/>
  <c r="AY233" i="3"/>
  <c r="AY216" i="3"/>
  <c r="AY330" i="3"/>
  <c r="AY482" i="3"/>
  <c r="AY13" i="3"/>
  <c r="AY528" i="3"/>
  <c r="AY39" i="3"/>
  <c r="AY22" i="3"/>
  <c r="AY136" i="3"/>
  <c r="AY288" i="3"/>
  <c r="AY375" i="3"/>
  <c r="AY339" i="3"/>
  <c r="AY432" i="3"/>
  <c r="AY413" i="3"/>
  <c r="AY567" i="3"/>
  <c r="AY64" i="3"/>
  <c r="AY153" i="3"/>
  <c r="AY113" i="3"/>
  <c r="AY396" i="3"/>
  <c r="AY361" i="3"/>
  <c r="AY320" i="3"/>
  <c r="AY479" i="3"/>
  <c r="AY434" i="3"/>
  <c r="AY402" i="3"/>
  <c r="AY538" i="3"/>
  <c r="AY522" i="3"/>
  <c r="AY545" i="3"/>
  <c r="BP6" i="3"/>
  <c r="AY62" i="3"/>
  <c r="AY19" i="3"/>
  <c r="AY301" i="3"/>
  <c r="AY265" i="3"/>
  <c r="AY359" i="3"/>
  <c r="AY315" i="3"/>
  <c r="AY408" i="3"/>
  <c r="AY500" i="3"/>
  <c r="AY107" i="3"/>
  <c r="AY71" i="3"/>
  <c r="AY164" i="3"/>
  <c r="AY143" i="3"/>
  <c r="AY240" i="3"/>
  <c r="AY386" i="3"/>
  <c r="AY477" i="3"/>
  <c r="AY443" i="3"/>
  <c r="AY566" i="3"/>
  <c r="BT6" i="3"/>
  <c r="D3" i="21"/>
  <c r="C39" i="43"/>
  <c r="C42" i="43"/>
  <c r="E42" i="43" s="1"/>
  <c r="C38" i="43"/>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10" i="15"/>
  <c r="C5" i="15" s="1"/>
  <c r="C38" i="15" s="1"/>
  <c r="F41" i="15"/>
  <c r="M27" i="67"/>
  <c r="M27" i="15"/>
  <c r="C47" i="11" l="1"/>
  <c r="D45" i="11" s="1"/>
  <c r="AY222" i="3"/>
  <c r="AY146" i="3"/>
  <c r="AY89" i="3"/>
  <c r="AY481" i="3"/>
  <c r="AY425" i="3"/>
  <c r="AY90" i="3"/>
  <c r="AY495" i="3"/>
  <c r="BQ6" i="3"/>
  <c r="AY462" i="3"/>
  <c r="AY348" i="3"/>
  <c r="AY242" i="3"/>
  <c r="AY166" i="3"/>
  <c r="AY109" i="3"/>
  <c r="AY397" i="3"/>
  <c r="AY247" i="3"/>
  <c r="AY133" i="3"/>
  <c r="AY190" i="3"/>
  <c r="AY61" i="3"/>
  <c r="AY533" i="3"/>
  <c r="AY342" i="3"/>
  <c r="AY441" i="3"/>
  <c r="AY289" i="3"/>
  <c r="AY297" i="3"/>
  <c r="AY176" i="3"/>
  <c r="AY36" i="3"/>
  <c r="AY562" i="3"/>
  <c r="AY244" i="3"/>
  <c r="AY387" i="3"/>
  <c r="AY501" i="3"/>
  <c r="AY534" i="3"/>
  <c r="AY398" i="3"/>
  <c r="AY475" i="3"/>
  <c r="AY353" i="3"/>
  <c r="AY295" i="3"/>
  <c r="AY56" i="3"/>
  <c r="AY360" i="3"/>
  <c r="AY230" i="3"/>
  <c r="AY283" i="3"/>
  <c r="AY154" i="3"/>
  <c r="AY44" i="3"/>
  <c r="AY97" i="3"/>
  <c r="AY420" i="3"/>
  <c r="AY260" i="3"/>
  <c r="AY209" i="3"/>
  <c r="AY335" i="3"/>
  <c r="AB10" i="39"/>
  <c r="AC10" i="39"/>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18" i="3"/>
  <c r="AY513" i="3"/>
  <c r="AY83" i="3"/>
  <c r="AY23" i="3"/>
  <c r="AY155" i="3"/>
  <c r="AY59" i="3"/>
  <c r="AY131" i="3"/>
  <c r="AY58" i="3"/>
  <c r="AY268"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421" i="3"/>
  <c r="AY102" i="3"/>
  <c r="AY175" i="3"/>
  <c r="AY208" i="3"/>
  <c r="AY474" i="3"/>
  <c r="AY583" i="3"/>
  <c r="AY174" i="3"/>
  <c r="AY250" i="3"/>
  <c r="AY305" i="3"/>
  <c r="AY445" i="3"/>
  <c r="AY505" i="3"/>
  <c r="AY551" i="3"/>
  <c r="AY79" i="3"/>
  <c r="AY151" i="3"/>
  <c r="AY394" i="3"/>
  <c r="AY451" i="3"/>
  <c r="AY568" i="3"/>
  <c r="AY200" i="3"/>
  <c r="AY257" i="3"/>
  <c r="AY307" i="3"/>
  <c r="AY521" i="3"/>
  <c r="AY51" i="3"/>
  <c r="AY207" i="3"/>
  <c r="AY124" i="3"/>
  <c r="AY42" i="3"/>
  <c r="AY281" i="3"/>
  <c r="AY168" i="3"/>
  <c r="AY236" i="3"/>
  <c r="AY67" i="3"/>
  <c r="AY139" i="3"/>
  <c r="AY123" i="3"/>
  <c r="AY252" i="3"/>
  <c r="AY428" i="3"/>
  <c r="AY106" i="3"/>
  <c r="AY245" i="3"/>
  <c r="AY395" i="3"/>
  <c r="AY452" i="3"/>
  <c r="AY569" i="3"/>
  <c r="AY366" i="3"/>
  <c r="AY66" i="3"/>
  <c r="S26" i="21"/>
  <c r="AA26" i="21"/>
  <c r="E3" i="6"/>
  <c r="F22" i="68"/>
  <c r="F41" i="68" s="1"/>
  <c r="C48" i="15"/>
  <c r="C66" i="15" s="1"/>
  <c r="F22" i="69"/>
  <c r="F41" i="69" s="1"/>
  <c r="F25" i="12"/>
  <c r="C26" i="12" s="1"/>
  <c r="D25" i="12" s="1"/>
  <c r="F24" i="15"/>
  <c r="C24" i="15" s="1"/>
  <c r="F22" i="11"/>
  <c r="C23" i="11" s="1"/>
  <c r="F24" i="67"/>
  <c r="C24" i="67" s="1"/>
  <c r="D116" i="43"/>
  <c r="D21" i="71"/>
  <c r="C20" i="71"/>
  <c r="D36" i="71"/>
  <c r="T36"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D15" i="6"/>
  <c r="D22" i="6"/>
  <c r="D21" i="6"/>
  <c r="D24" i="6"/>
  <c r="D20" i="6"/>
  <c r="M19" i="9"/>
  <c r="C118" i="9" s="1"/>
  <c r="B2" i="74" s="1"/>
  <c r="D26" i="6"/>
  <c r="D8" i="6"/>
  <c r="D14" i="6"/>
  <c r="D9" i="6"/>
  <c r="D10" i="6"/>
  <c r="L19" i="9"/>
  <c r="D29"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C17" i="67"/>
  <c r="C17" i="15"/>
  <c r="C14" i="67"/>
  <c r="C26" i="69" l="1"/>
  <c r="D22" i="69" s="1"/>
  <c r="H22" i="6"/>
  <c r="M18" i="9"/>
  <c r="B118" i="9" s="1"/>
  <c r="B1" i="74" s="1"/>
  <c r="C17" i="4"/>
  <c r="B4" i="52" s="1"/>
  <c r="B43" i="72" s="1"/>
  <c r="E6" i="6"/>
  <c r="D3" i="34"/>
  <c r="D3" i="33"/>
  <c r="D14" i="12"/>
  <c r="D17" i="12" s="1"/>
  <c r="C17" i="12" s="1"/>
  <c r="D37" i="11"/>
  <c r="D19" i="11"/>
  <c r="C19" i="11" s="1"/>
  <c r="C20" i="11" s="1"/>
  <c r="C28" i="11" s="1"/>
  <c r="C27" i="11" s="1"/>
  <c r="D3" i="37"/>
  <c r="L18" i="9"/>
  <c r="C44" i="68"/>
  <c r="D41" i="68" s="1"/>
  <c r="C44" i="11"/>
  <c r="D41" i="11" s="1"/>
  <c r="C26" i="68"/>
  <c r="D22" i="68" s="1"/>
  <c r="C23" i="68"/>
  <c r="C44" i="69"/>
  <c r="D41" i="69" s="1"/>
  <c r="D30" i="6"/>
  <c r="H21" i="6"/>
  <c r="C26" i="11"/>
  <c r="D22" i="11" s="1"/>
  <c r="C24" i="11"/>
  <c r="H25" i="6"/>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5" i="11" l="1"/>
  <c r="C22" i="11" s="1"/>
  <c r="C31" i="11" s="1"/>
  <c r="D10" i="11"/>
  <c r="C10" i="11" s="1"/>
  <c r="D6" i="6"/>
  <c r="D20" i="12"/>
  <c r="C20" i="12" s="1"/>
  <c r="C18" i="12" s="1"/>
  <c r="D10" i="68"/>
  <c r="D19" i="71"/>
  <c r="C18" i="71"/>
  <c r="C19" i="67"/>
  <c r="C20" i="67" s="1"/>
  <c r="C26" i="67" s="1"/>
  <c r="T16" i="1"/>
  <c r="C18" i="15"/>
  <c r="C15" i="15"/>
  <c r="C38" i="68"/>
  <c r="C35" i="68"/>
  <c r="C36" i="11"/>
  <c r="C37" i="11"/>
  <c r="C34" i="11"/>
  <c r="C23" i="12"/>
  <c r="C14" i="12"/>
  <c r="C16" i="12" s="1"/>
  <c r="H19" i="6"/>
  <c r="S19" i="6"/>
  <c r="S27" i="6" s="1"/>
  <c r="I27" i="6"/>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0" i="68"/>
  <c r="D19" i="68"/>
  <c r="C17" i="71"/>
  <c r="D18" i="71"/>
  <c r="F7" i="21"/>
  <c r="S7" i="21" s="1"/>
  <c r="J7" i="21"/>
  <c r="AC7" i="21" s="1"/>
  <c r="V48" i="21" s="1"/>
  <c r="I48" i="21" s="1"/>
  <c r="C23" i="67"/>
  <c r="C29" i="67" s="1"/>
  <c r="J59" i="67" s="1"/>
  <c r="J60" i="67" s="1"/>
  <c r="Q48" i="67" s="1"/>
  <c r="C19" i="15"/>
  <c r="C20" i="15" s="1"/>
  <c r="C26" i="15" s="1"/>
  <c r="C38" i="11"/>
  <c r="C35" i="11"/>
  <c r="H27" i="6"/>
  <c r="R19" i="6"/>
  <c r="C20" i="69"/>
  <c r="C28" i="69" s="1"/>
  <c r="C27" i="69" s="1"/>
  <c r="C39" i="69"/>
  <c r="C43" i="69" s="1"/>
  <c r="C42" i="69"/>
  <c r="B3" i="76"/>
  <c r="J69" i="39"/>
  <c r="K67" i="39"/>
  <c r="U7" i="21"/>
  <c r="AB7" i="21"/>
  <c r="T48" i="21" s="1"/>
  <c r="G48" i="21" s="1"/>
  <c r="J63" i="40"/>
  <c r="I65" i="40"/>
  <c r="K48" i="35"/>
  <c r="L48" i="35" s="1"/>
  <c r="M48" i="35" s="1"/>
  <c r="N48" i="35" s="1"/>
  <c r="O48" i="35" s="1"/>
  <c r="H7" i="35" s="1"/>
  <c r="C27" i="12" l="1"/>
  <c r="C25" i="12" s="1"/>
  <c r="C30" i="12"/>
  <c r="C28" i="12" s="1"/>
  <c r="C19" i="68"/>
  <c r="D37" i="68"/>
  <c r="C37" i="68" s="1"/>
  <c r="C33" i="68" s="1"/>
  <c r="C39" i="68" s="1"/>
  <c r="C43" i="68" s="1"/>
  <c r="C16" i="71"/>
  <c r="D17" i="71"/>
  <c r="W7" i="21"/>
  <c r="AA7" i="21"/>
  <c r="R48" i="21" s="1"/>
  <c r="R49"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15"/>
  <c r="M21" i="67"/>
  <c r="F35" i="15"/>
  <c r="F35" i="67"/>
  <c r="C32" i="12" l="1"/>
  <c r="B2" i="12" s="1"/>
  <c r="B3" i="12" s="1"/>
  <c r="C46" i="68"/>
  <c r="C45" i="68" s="1"/>
  <c r="C42" i="68"/>
  <c r="C41" i="68" s="1"/>
  <c r="C20" i="68"/>
  <c r="C24" i="68"/>
  <c r="E48" i="21"/>
  <c r="E53" i="21" s="1"/>
  <c r="F53" i="21" s="1"/>
  <c r="D16" i="71"/>
  <c r="U16" i="71" s="1"/>
  <c r="T16" i="7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L69" i="39"/>
  <c r="M67" i="39"/>
  <c r="S7" i="35"/>
  <c r="AA7" i="35"/>
  <c r="R38" i="35" s="1"/>
  <c r="C49" i="21"/>
  <c r="C48" i="21"/>
  <c r="G42" i="35"/>
  <c r="H42" i="35" s="1"/>
  <c r="K65" i="40"/>
  <c r="L63" i="40"/>
  <c r="D19" i="9"/>
  <c r="B3" i="69"/>
  <c r="C49" i="68" l="1"/>
  <c r="C51" i="68" s="1"/>
  <c r="C28" i="68"/>
  <c r="C27" i="68" s="1"/>
  <c r="C25" i="68"/>
  <c r="C22" i="68" s="1"/>
  <c r="D102" i="9"/>
  <c r="D21" i="9"/>
  <c r="I53" i="21"/>
  <c r="J53" i="21" s="1"/>
  <c r="E52" i="21"/>
  <c r="F52" i="21" s="1"/>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D20" i="9"/>
  <c r="C31" i="68" l="1"/>
  <c r="C52" i="68" s="1"/>
  <c r="C57" i="68" s="1"/>
  <c r="C56" i="68" s="1"/>
  <c r="D103" i="9"/>
  <c r="C13" i="71"/>
  <c r="D14"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9" i="9"/>
  <c r="B2" i="68" l="1"/>
  <c r="B3" i="68" s="1"/>
  <c r="C102" i="9"/>
  <c r="C21" i="9"/>
  <c r="G19" i="9"/>
  <c r="D22" i="9"/>
  <c r="B3" i="2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C20" i="9"/>
  <c r="D2" i="34"/>
  <c r="L51" i="15"/>
  <c r="D2" i="35"/>
  <c r="D2" i="37"/>
  <c r="D2" i="36"/>
  <c r="G21" i="9" l="1"/>
  <c r="D14" i="74"/>
  <c r="C103" i="9"/>
  <c r="G20" i="9"/>
  <c r="C32" i="9" s="1"/>
  <c r="C35" i="9" s="1"/>
  <c r="C34" i="9" s="1"/>
  <c r="T12" i="7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7" i="1"/>
  <c r="AO11" i="1"/>
  <c r="AO10" i="1"/>
  <c r="AO6" i="1"/>
  <c r="AO9" i="1"/>
  <c r="AO12"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N58" i="9"/>
  <c r="P57" i="9"/>
  <c r="H4" i="52"/>
  <c r="C104" i="9"/>
  <c r="D52" i="9"/>
  <c r="D53" i="9"/>
  <c r="N60" i="9"/>
  <c r="N59" i="9"/>
  <c r="N61" i="9"/>
  <c r="C6" i="74"/>
  <c r="C93" i="9"/>
  <c r="C86" i="9"/>
  <c r="C105" i="9"/>
  <c r="I4" i="52"/>
  <c r="B48" i="72"/>
  <c r="H119" i="9"/>
  <c r="H5" i="52"/>
  <c r="D9" i="52"/>
  <c r="M48" i="9"/>
  <c r="E4" i="52"/>
  <c r="C81" i="9"/>
  <c r="B20" i="72"/>
  <c r="D8" i="52"/>
  <c r="D123" i="9"/>
  <c r="B52" i="72"/>
  <c r="B30" i="72"/>
  <c r="B21" i="72"/>
  <c r="E97" i="9"/>
  <c r="D122" i="9"/>
  <c r="D5" i="53"/>
  <c r="D6" i="53"/>
  <c r="B22" i="72"/>
  <c r="B53" i="72"/>
  <c r="M54" i="9"/>
  <c r="C78" i="9"/>
  <c r="C73" i="9"/>
  <c r="C5" i="74"/>
  <c r="H102" i="9"/>
  <c r="D7" i="53"/>
  <c r="D5" i="52"/>
  <c r="B49" i="72"/>
  <c r="C72" i="9"/>
  <c r="C79" i="9"/>
  <c r="C80" i="9"/>
  <c r="E80" i="9"/>
  <c r="E81" i="9"/>
  <c r="C68" i="9"/>
  <c r="D54" i="9"/>
  <c r="C96" i="9"/>
  <c r="E96" i="9"/>
  <c r="C85" i="9"/>
  <c r="C95" i="9"/>
  <c r="C97" i="9"/>
  <c r="D58" i="9"/>
  <c r="D56" i="9"/>
  <c r="G4" i="52"/>
  <c r="D119" i="9"/>
  <c r="D59" i="9"/>
  <c r="M55" i="9"/>
  <c r="F4" i="52"/>
  <c r="B51" i="72"/>
  <c r="G118" i="9"/>
  <c r="F118" i="9"/>
  <c r="F119" i="9"/>
  <c r="F5" i="52"/>
  <c r="D55" i="9"/>
  <c r="M53" i="9"/>
  <c r="N57" i="9"/>
  <c r="E118" i="9"/>
  <c r="D118" i="9"/>
  <c r="D4" i="52"/>
  <c r="B47" i="72"/>
  <c r="H108" i="9"/>
  <c r="D15" i="53"/>
  <c r="B31" i="72"/>
  <c r="H107" i="9"/>
  <c r="D13" i="53"/>
  <c r="D14" i="53"/>
  <c r="B32" i="72"/>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<sst xmlns="http://schemas.openxmlformats.org/spreadsheetml/2006/main" count="8243" uniqueCount="3572">
  <si>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</si>
  <si>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</si>
  <si>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</si>
  <si>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</si>
  <si>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</si>
  <si>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</si>
  <si>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</si>
  <si>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</si>
  <si>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</si>
  <si>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</si>
  <si>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</si>
  <si>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</si>
  <si>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</si>
  <si>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</si>
  <si>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</si>
  <si>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</si>
  <si>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</si>
  <si>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</si>
  <si>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</si>
  <si>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</si>
  <si>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</si>
  <si>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</si>
  <si>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</si>
  <si>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</si>
  <si>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</si>
  <si>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</si>
  <si>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</si>
  <si>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</si>
  <si>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</si>
  <si>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</si>
  <si>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</si>
  <si>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</si>
  <si>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</si>
  <si>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</si>
  <si>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</si>
  <si>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</si>
  <si>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</si>
  <si>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</si>
  <si>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</si>
  <si>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</si>
  <si>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</si>
  <si>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</si>
  <si>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</si>
  <si>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</si>
  <si>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</si>
  <si>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</si>
  <si>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</si>
  <si>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</si>
  <si>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</si>
  <si>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</si>
  <si>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</si>
  <si>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</si>
  <si>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</si>
  <si>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</si>
  <si>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</si>
  <si>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</si>
  <si>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</si>
  <si>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</si>
  <si>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</si>
  <si>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</si>
  <si>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</si>
  <si>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</si>
  <si>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</si>
  <si>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</si>
  <si>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</si>
  <si>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</si>
  <si>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</si>
  <si>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</si>
  <si>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</si>
  <si>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</si>
  <si>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</si>
  <si>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</si>
  <si>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</si>
  <si>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</si>
  <si>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</si>
  <si>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</si>
  <si>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</si>
  <si>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</si>
  <si>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</si>
  <si>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</si>
  <si>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</si>
  <si>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</si>
  <si>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</si>
  <si>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</si>
  <si>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</si>
  <si>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</si>
  <si>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</si>
  <si>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</si>
  <si>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</si>
  <si>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</si>
  <si>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</si>
  <si>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</si>
  <si>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</si>
  <si>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</si>
  <si>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</si>
  <si>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</si>
  <si>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</si>
  <si>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</si>
  <si>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</si>
  <si>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</si>
  <si>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</si>
  <si>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</si>
  <si>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</si>
  <si>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</si>
  <si>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</si>
  <si>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</si>
  <si>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</si>
  <si>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</si>
  <si>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</si>
  <si>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</si>
  <si>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</si>
  <si>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</si>
  <si>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</si>
  <si>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</si>
  <si>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</si>
  <si>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</si>
  <si>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</si>
  <si>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</si>
  <si>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</si>
  <si>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</si>
  <si>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</si>
  <si>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</si>
  <si>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</si>
  <si>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</si>
  <si>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</si>
  <si>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</si>
  <si>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</si>
  <si>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</si>
  <si>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</si>
  <si>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</si>
  <si>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</si>
  <si>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</si>
  <si>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</si>
  <si>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</si>
  <si>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</si>
  <si>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</si>
  <si>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</si>
  <si>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</si>
  <si>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</si>
  <si>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</si>
  <si>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</si>
  <si>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</si>
  <si>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</si>
  <si>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</si>
  <si>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</si>
  <si>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</si>
  <si>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</si>
  <si>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</si>
  <si>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</si>
  <si>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</si>
  <si>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</si>
  <si>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</si>
  <si>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</si>
  <si>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</si>
  <si>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</si>
  <si>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</si>
  <si>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</si>
  <si>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</si>
  <si>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</si>
  <si>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</si>
  <si>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</si>
  <si>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</si>
  <si>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</si>
  <si>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</si>
  <si>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</si>
  <si>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</si>
  <si>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</si>
  <si>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</si>
  <si>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</si>
  <si>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</si>
  <si>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</si>
  <si>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</si>
  <si>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</si>
  <si>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</si>
  <si>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</si>
  <si>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</si>
  <si>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</si>
  <si>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</si>
  <si>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</si>
  <si>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</si>
  <si>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</si>
  <si>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</si>
  <si>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</si>
  <si>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</si>
  <si>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</si>
  <si>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</si>
  <si>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</si>
  <si>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</si>
  <si>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</si>
  <si>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</si>
  <si>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</si>
  <si>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</si>
  <si>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</si>
  <si>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</si>
  <si>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</si>
  <si>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</si>
  <si>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</si>
  <si>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</si>
  <si>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</si>
  <si>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</si>
  <si>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</si>
  <si>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</si>
  <si>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</si>
  <si>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</si>
  <si>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</si>
  <si>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</si>
  <si>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</si>
  <si>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</si>
  <si>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</si>
  <si>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</si>
  <si>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</si>
  <si>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</si>
  <si>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</si>
  <si>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</si>
  <si>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</si>
  <si>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</si>
  <si>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</si>
  <si>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</si>
  <si>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</si>
  <si>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</si>
  <si>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</si>
  <si>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</si>
  <si>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</si>
  <si>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</si>
  <si>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</si>
  <si>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</si>
  <si>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</si>
  <si>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</si>
  <si>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</si>
  <si>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</si>
  <si>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</si>
  <si>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</si>
  <si>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</si>
  <si>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</si>
  <si>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</si>
  <si>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</si>
  <si>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</si>
  <si>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</si>
  <si>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</si>
  <si>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</si>
  <si>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</si>
  <si>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</si>
  <si>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</si>
  <si>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</si>
  <si>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</si>
  <si>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</si>
  <si>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</si>
  <si>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</si>
  <si>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</si>
  <si>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</si>
  <si>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</si>
  <si>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</si>
  <si>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</si>
  <si>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</si>
  <si>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</si>
  <si>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</si>
  <si>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</si>
  <si>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</si>
  <si>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</si>
  <si>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</si>
  <si>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</si>
  <si>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</si>
  <si>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</si>
  <si>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</si>
  <si>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</si>
  <si>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</si>
  <si>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</si>
  <si>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</si>
  <si>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</si>
  <si>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</si>
  <si>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</si>
  <si>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</si>
  <si>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</si>
  <si>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</si>
  <si>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</si>
  <si>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</si>
  <si>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</si>
  <si>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</si>
  <si>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</si>
  <si>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</si>
  <si>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</si>
  <si>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</si>
  <si>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</si>
  <si>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</si>
  <si>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</si>
  <si>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</si>
  <si>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</si>
  <si>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</si>
  <si>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</si>
  <si>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</si>
  <si>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</si>
  <si>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</si>
  <si>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</si>
  <si>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</si>
  <si>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</si>
  <si>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</si>
  <si>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</si>
  <si>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</si>
  <si>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</si>
  <si>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</si>
  <si>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</si>
  <si>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</si>
  <si>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</si>
  <si>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</si>
  <si>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</si>
  <si>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</si>
  <si>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</si>
  <si>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</si>
  <si>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</si>
  <si>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</si>
  <si>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</si>
  <si>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</si>
  <si>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</si>
  <si>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</si>
  <si>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</si>
  <si>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</si>
  <si>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</si>
  <si>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</si>
  <si>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</si>
  <si>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</si>
  <si>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</si>
  <si>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</si>
  <si>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</si>
  <si>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</si>
  <si>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</si>
  <si>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</si>
  <si>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</si>
  <si>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</si>
  <si>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</si>
  <si>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</si>
  <si>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</si>
  <si>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</si>
  <si>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</si>
  <si>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</si>
  <si>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</si>
  <si>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</si>
  <si>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</si>
  <si>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</si>
  <si>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</si>
  <si>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</si>
  <si>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</si>
  <si>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</si>
  <si>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</si>
  <si>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</si>
  <si>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</si>
  <si>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</si>
  <si>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</si>
  <si>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</si>
  <si>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</si>
  <si>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</si>
  <si>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</si>
  <si>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</si>
  <si>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</si>
  <si>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</si>
  <si>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</si>
  <si>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</si>
  <si>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</si>
  <si>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</si>
  <si>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</si>
  <si>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</si>
  <si>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</si>
  <si>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</si>
  <si>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</si>
  <si>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</si>
  <si>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</si>
  <si>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</si>
  <si>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</si>
  <si>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</si>
  <si>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</si>
  <si>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</si>
  <si>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</si>
  <si>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</si>
  <si>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</si>
  <si>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</si>
  <si>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</si>
  <si>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</si>
  <si>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</si>
  <si>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</si>
  <si>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</si>
  <si>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</si>
  <si>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</si>
  <si>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</si>
  <si>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</si>
  <si>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</si>
  <si>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</si>
  <si>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</si>
  <si>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</si>
  <si>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</si>
  <si>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</si>
  <si>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</si>
  <si>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</si>
  <si>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</si>
  <si>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</si>
  <si>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</si>
  <si>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</si>
  <si>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</si>
  <si>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</si>
  <si>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</si>
  <si>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</si>
  <si>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</si>
  <si>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</si>
  <si>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</si>
  <si>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</si>
  <si>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</si>
  <si>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</si>
  <si>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</si>
  <si>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</si>
  <si>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</si>
  <si>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</si>
  <si>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</si>
  <si>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</si>
  <si>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</si>
  <si>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</si>
  <si>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</si>
  <si>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</si>
  <si>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</si>
  <si>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</si>
  <si>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</si>
  <si>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</si>
  <si>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</si>
  <si>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</si>
  <si>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</si>
  <si>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</si>
  <si>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</si>
  <si>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</si>
  <si>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</si>
  <si>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</si>
  <si>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</si>
  <si>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</si>
  <si>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</si>
  <si>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</si>
  <si>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</si>
  <si>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</si>
  <si>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</si>
  <si>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</si>
  <si>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</si>
  <si>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</si>
  <si>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</si>
  <si>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</si>
  <si>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</si>
  <si>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</si>
  <si>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</si>
  <si>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</si>
  <si>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</si>
  <si>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</si>
  <si>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</si>
  <si>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</si>
  <si>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</si>
  <si>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</si>
  <si>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</si>
  <si>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</si>
  <si>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</si>
  <si>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</si>
  <si>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</si>
  <si>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</si>
  <si>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</si>
  <si>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</si>
  <si>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</si>
  <si>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</si>
  <si>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</si>
  <si>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</si>
  <si>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</si>
  <si>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</si>
  <si>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</si>
  <si>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</si>
  <si>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</si>
  <si>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</si>
  <si>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</si>
  <si>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</si>
  <si>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</si>
  <si>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</si>
  <si>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</si>
  <si>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</si>
  <si>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</si>
  <si>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</si>
  <si>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</si>
  <si>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</si>
  <si>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</si>
  <si>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</si>
  <si>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</si>
  <si>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</si>
  <si>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</si>
  <si>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</si>
  <si>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</si>
  <si>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</si>
  <si>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</si>
  <si>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</si>
  <si>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</si>
  <si>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</si>
  <si>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</si>
  <si>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</si>
  <si>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</si>
  <si>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</si>
  <si>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</si>
  <si>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</si>
  <si>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</si>
  <si>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</si>
  <si>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</si>
  <si>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</si>
  <si>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</si>
  <si>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</si>
  <si>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</si>
  <si>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</si>
  <si>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</si>
  <si>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</si>
  <si>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</si>
  <si>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</si>
  <si>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</si>
  <si>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</si>
  <si>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</si>
  <si>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</si>
  <si>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</si>
  <si>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</si>
  <si>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</si>
  <si>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</si>
  <si>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</si>
  <si>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</si>
  <si>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</si>
  <si>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</si>
  <si>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</si>
  <si>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</si>
  <si>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</si>
  <si>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</si>
  <si>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</si>
  <si>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</si>
  <si>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</si>
  <si>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</si>
  <si>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</si>
  <si>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</si>
  <si>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</si>
  <si>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</si>
  <si>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</si>
  <si>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</si>
  <si>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</si>
  <si>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</si>
  <si>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</si>
  <si>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</si>
  <si>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</si>
  <si>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</si>
  <si>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</si>
  <si>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</si>
  <si>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</si>
  <si>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</si>
  <si>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</si>
  <si>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</si>
  <si>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</si>
  <si>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</si>
  <si>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</si>
  <si>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</si>
  <si>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</si>
  <si>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</si>
  <si>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</si>
  <si>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</si>
  <si>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</si>
  <si>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</si>
  <si>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</si>
  <si>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</si>
  <si>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</si>
  <si>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</si>
  <si>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</si>
  <si>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</si>
  <si>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</si>
  <si>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</si>
  <si>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</si>
  <si>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</si>
  <si>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</si>
  <si>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</si>
  <si>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</si>
  <si>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</si>
  <si>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</si>
  <si>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</si>
  <si>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</si>
  <si>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</si>
  <si>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</si>
  <si>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</si>
  <si>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</si>
  <si>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</si>
  <si>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</si>
  <si>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</si>
  <si>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</si>
  <si>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</si>
  <si>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</si>
  <si>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</si>
  <si>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</si>
  <si>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</si>
  <si>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</si>
  <si>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</si>
  <si>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</si>
  <si>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</si>
  <si>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</si>
  <si>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</si>
  <si>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</si>
  <si>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</si>
  <si>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</si>
  <si>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</si>
  <si>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</si>
  <si>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</si>
  <si>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</si>
  <si>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</si>
  <si>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</si>
  <si>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</si>
  <si>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</si>
  <si>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</si>
  <si>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</si>
  <si>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</si>
  <si>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</si>
  <si>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</si>
  <si>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</si>
  <si>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</si>
  <si>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</si>
  <si>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</si>
  <si>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</si>
  <si>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</si>
  <si>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</si>
  <si>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</si>
  <si>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</si>
  <si>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</si>
  <si>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</si>
  <si>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</si>
  <si>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</si>
  <si>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</si>
  <si>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</si>
  <si>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</si>
  <si>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</si>
  <si>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</si>
  <si>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</si>
  <si>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</si>
  <si>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</si>
  <si>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</si>
  <si>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</si>
  <si>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</si>
  <si>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</si>
  <si>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</si>
  <si>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</si>
  <si>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</si>
  <si>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</si>
  <si>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</si>
  <si>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</si>
  <si>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</si>
  <si>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</si>
  <si>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</si>
  <si>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</si>
  <si>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</si>
  <si>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</si>
  <si>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</si>
  <si>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</si>
  <si>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</si>
  <si>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</si>
  <si>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</si>
  <si>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</si>
  <si>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</si>
  <si>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</si>
  <si>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</si>
  <si>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</si>
  <si>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</si>
  <si>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</si>
  <si>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</si>
  <si>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</si>
  <si>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</si>
  <si>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</si>
  <si>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</si>
  <si>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</si>
  <si>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</si>
  <si>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</si>
  <si>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</si>
  <si>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</si>
  <si>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</si>
  <si>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</si>
  <si>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</si>
  <si>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</si>
  <si>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</si>
  <si>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</si>
  <si>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</si>
  <si>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</si>
  <si>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</si>
  <si>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</si>
  <si>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</si>
  <si>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</si>
  <si>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</si>
  <si>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</si>
  <si>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</si>
  <si>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</si>
  <si>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</si>
  <si>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</si>
  <si>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</si>
  <si>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</si>
  <si>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</si>
  <si>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</si>
  <si>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</si>
  <si>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</si>
  <si>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</si>
  <si>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</si>
  <si>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</si>
  <si>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</si>
  <si>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</si>
  <si>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</si>
  <si>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</si>
  <si>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</si>
  <si>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</si>
  <si>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</si>
  <si>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</si>
  <si>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</si>
  <si>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</si>
  <si>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</si>
  <si>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</si>
  <si>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</si>
  <si>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</si>
  <si>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</si>
  <si>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</si>
  <si>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</si>
  <si>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</si>
  <si>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</si>
  <si>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</si>
  <si>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</si>
  <si>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</si>
  <si>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</si>
  <si>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</si>
  <si>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</si>
  <si>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</si>
  <si>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</si>
  <si>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</si>
  <si>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</si>
  <si>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</si>
  <si>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</si>
  <si>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</si>
  <si>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</si>
  <si>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</si>
  <si>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</si>
  <si>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</si>
  <si>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</si>
  <si>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</si>
  <si>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</si>
  <si>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</si>
  <si>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</si>
  <si>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</si>
  <si>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</si>
  <si>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</si>
  <si>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</si>
  <si>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</si>
  <si>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</si>
  <si>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</si>
  <si>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</si>
  <si>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</si>
  <si>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</si>
  <si>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</si>
  <si>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</si>
  <si>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</si>
  <si>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</si>
  <si>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</si>
  <si>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</si>
  <si>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</si>
  <si>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</si>
  <si>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</si>
  <si>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</si>
  <si>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</si>
  <si>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</si>
  <si>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</si>
  <si>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</si>
  <si>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</si>
  <si>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</si>
  <si>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</si>
  <si>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</si>
  <si>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</si>
  <si>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</si>
  <si>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</si>
  <si>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</si>
  <si>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</si>
  <si>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</si>
  <si>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</si>
  <si>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</si>
  <si>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</si>
  <si>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</si>
  <si>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</si>
  <si>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</si>
  <si>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</si>
  <si>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</si>
  <si>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</si>
  <si>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</si>
  <si>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</si>
  <si>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</si>
  <si>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</si>
  <si>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</si>
  <si>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</si>
  <si>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</si>
  <si>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</si>
  <si>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</si>
  <si>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</si>
  <si>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</si>
  <si>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</si>
  <si>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</si>
  <si>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</si>
  <si>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</si>
  <si>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</si>
  <si>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</si>
  <si>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</si>
  <si>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</si>
  <si>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</si>
  <si>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</si>
  <si>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</si>
  <si>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</si>
  <si>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</si>
  <si>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</si>
  <si>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</si>
  <si>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</si>
  <si>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</si>
  <si>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</si>
  <si>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</si>
  <si>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</si>
  <si>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</si>
  <si>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</si>
  <si>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</si>
  <si>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</si>
  <si>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</si>
  <si>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</si>
  <si>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</si>
  <si>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</si>
  <si>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</si>
  <si>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</si>
  <si>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</si>
  <si>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</si>
  <si>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</si>
  <si>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</si>
  <si>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</si>
  <si>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</si>
  <si>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</si>
  <si>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</si>
  <si>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</si>
  <si>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</si>
  <si>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</si>
  <si>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</si>
  <si>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</si>
  <si>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</si>
  <si>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</si>
  <si>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</si>
  <si>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</si>
  <si>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</si>
  <si>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</si>
  <si>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</si>
  <si>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</si>
  <si>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</si>
  <si>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</si>
  <si>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</si>
  <si>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</si>
  <si>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</si>
  <si>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</si>
  <si>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</si>
  <si>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</si>
  <si>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</si>
  <si>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</si>
  <si>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</si>
  <si>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</si>
  <si>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</si>
  <si>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</si>
  <si>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</si>
  <si>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</si>
  <si>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</si>
  <si>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</si>
  <si>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</si>
  <si>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</si>
  <si>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</si>
  <si>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</si>
  <si>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</si>
  <si>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</si>
  <si>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</si>
  <si>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</si>
  <si>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</si>
  <si>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</si>
  <si>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</si>
  <si>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</si>
  <si>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</si>
  <si>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</si>
  <si>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</si>
  <si>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</si>
  <si>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</si>
  <si>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</si>
  <si>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</si>
  <si>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</si>
  <si>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</si>
  <si>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</si>
  <si>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</si>
  <si>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</si>
  <si>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</si>
  <si>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</si>
  <si>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</si>
  <si>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</si>
  <si>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</si>
  <si>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</si>
  <si>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</si>
  <si>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</si>
  <si>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</si>
  <si>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</si>
  <si>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</si>
  <si>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</si>
  <si>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</si>
  <si>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</si>
  <si>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</si>
  <si>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</si>
  <si>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</si>
  <si>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</si>
  <si>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</si>
  <si>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</si>
  <si>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</si>
  <si>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</si>
  <si>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</si>
  <si>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</si>
  <si>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</si>
  <si>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</si>
  <si>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</si>
  <si>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</si>
  <si>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</si>
  <si>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</si>
  <si>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</si>
  <si>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</si>
  <si>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</si>
  <si>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</si>
  <si>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</si>
  <si>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</si>
  <si>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</si>
  <si>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</si>
  <si>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</si>
  <si>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</si>
  <si>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</si>
  <si>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</si>
  <si>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</si>
  <si>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</si>
  <si>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</si>
  <si>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</si>
  <si>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</si>
  <si>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</si>
  <si>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</si>
  <si>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</si>
  <si>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</si>
  <si>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</si>
  <si>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</si>
  <si>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</si>
  <si>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</si>
  <si>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</si>
  <si>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</si>
  <si>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</si>
  <si>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</si>
  <si>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</si>
  <si>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</si>
  <si>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</si>
  <si>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</si>
  <si>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</si>
  <si>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</si>
  <si>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</si>
  <si>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</si>
  <si>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</si>
  <si>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</si>
  <si>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</si>
  <si>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</si>
  <si>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</si>
  <si>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</si>
  <si>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</si>
  <si>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</si>
  <si>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</si>
  <si>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</si>
  <si>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</si>
  <si>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</si>
  <si>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</si>
  <si>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</si>
  <si>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</si>
  <si>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</si>
  <si>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</si>
  <si>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</si>
  <si>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</si>
  <si>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</si>
  <si>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</si>
  <si>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</si>
  <si>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</si>
  <si>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</si>
  <si>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</si>
  <si>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</si>
  <si>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</si>
  <si>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</si>
  <si>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</si>
  <si>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</si>
  <si>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</si>
  <si>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</si>
  <si>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</si>
  <si>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</si>
  <si>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</si>
  <si>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</si>
  <si>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</si>
  <si>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</si>
  <si>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</si>
  <si>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</si>
  <si>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</si>
  <si>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</si>
  <si>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</si>
  <si>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</si>
  <si>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</si>
  <si>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</si>
  <si>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</si>
  <si>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</si>
  <si>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</si>
  <si>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</si>
  <si>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</si>
  <si>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</si>
  <si>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</si>
  <si>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</si>
  <si>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</si>
  <si>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</si>
  <si>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</si>
  <si>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</si>
  <si>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</si>
  <si>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</si>
  <si>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</si>
  <si>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</si>
  <si>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</si>
  <si>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</si>
  <si>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</si>
  <si>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</si>
  <si>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</si>
  <si>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</si>
  <si>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</si>
  <si>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</si>
  <si>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</si>
  <si>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</si>
  <si>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</si>
  <si>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</si>
  <si>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</si>
  <si>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</si>
  <si>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</si>
  <si>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</si>
  <si>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</si>
  <si>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</si>
  <si>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</si>
  <si>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</si>
  <si>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</si>
  <si>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</si>
  <si>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</si>
  <si>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</si>
  <si>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</si>
  <si>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</si>
  <si>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</si>
  <si>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</si>
  <si>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</si>
  <si>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</si>
  <si>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</si>
  <si>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</si>
  <si>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</si>
  <si>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</si>
  <si>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</si>
  <si>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</si>
  <si>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</si>
  <si>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</si>
  <si>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</si>
  <si>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</si>
  <si>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</si>
  <si>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</si>
  <si>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</si>
  <si>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</si>
  <si>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</si>
  <si>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</si>
  <si>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</si>
  <si>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</si>
  <si>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</si>
  <si>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</si>
  <si>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</si>
  <si>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</si>
  <si>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</si>
  <si>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</si>
  <si>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</si>
  <si>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</si>
  <si>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</si>
  <si>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</si>
  <si>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</si>
  <si>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</si>
  <si>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</si>
  <si>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</si>
  <si>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</si>
  <si>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</si>
  <si>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</si>
  <si>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</si>
  <si>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</si>
  <si>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</si>
  <si>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</si>
  <si>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</si>
  <si>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</si>
  <si>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</si>
  <si>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</si>
  <si>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</si>
  <si>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</si>
  <si>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</si>
  <si>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</si>
  <si>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</si>
  <si>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</si>
  <si>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</si>
  <si>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</si>
  <si>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</si>
  <si>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</si>
  <si>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</si>
  <si>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</si>
  <si>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</si>
  <si>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</si>
  <si>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</si>
  <si>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</si>
  <si>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</si>
  <si>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</si>
  <si>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</si>
  <si>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</si>
  <si>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</si>
  <si>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</si>
  <si>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</si>
  <si>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</si>
  <si>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</si>
  <si>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</si>
  <si>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</si>
  <si>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</si>
  <si>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</si>
  <si>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</si>
  <si>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</si>
  <si>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</si>
  <si>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</si>
  <si>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</si>
  <si>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</si>
  <si>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</si>
  <si>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</si>
  <si>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</si>
  <si>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</si>
  <si>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</si>
  <si>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</si>
  <si>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</si>
  <si>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</si>
  <si>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</si>
  <si>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</si>
  <si>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</si>
  <si>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</si>
  <si>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</si>
  <si>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</si>
  <si>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</si>
  <si>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</si>
  <si>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</si>
  <si>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</si>
  <si>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</si>
  <si>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</si>
  <si>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</si>
  <si>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</si>
  <si>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</si>
  <si>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</si>
  <si>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</si>
  <si>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</si>
  <si>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</si>
  <si>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</si>
  <si>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</si>
  <si>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</si>
  <si>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</si>
  <si>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</si>
  <si>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</si>
  <si>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</si>
  <si>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</si>
  <si>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</si>
  <si>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</si>
  <si>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</si>
  <si>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</si>
  <si>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</si>
  <si>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</si>
  <si>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</si>
  <si>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</si>
  <si>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</si>
  <si>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</si>
  <si>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</si>
  <si>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</si>
  <si>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</si>
  <si>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</si>
  <si>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</si>
  <si>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</si>
  <si>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</si>
  <si>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</si>
  <si>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</si>
  <si>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</si>
  <si>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</si>
  <si>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</si>
  <si>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</si>
  <si>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</si>
  <si>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</si>
  <si>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</si>
  <si>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</si>
  <si>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</si>
  <si>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</si>
  <si>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</si>
  <si>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</si>
  <si>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</si>
  <si>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</si>
  <si>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</si>
  <si>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</si>
  <si>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</si>
  <si>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</si>
  <si>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</si>
  <si>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</si>
  <si>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</si>
  <si>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</si>
  <si>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</si>
  <si>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</si>
  <si>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</si>
  <si>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</si>
  <si>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</si>
  <si>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</si>
  <si>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</si>
  <si>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</si>
  <si>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</si>
  <si>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</si>
  <si>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</si>
  <si>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</si>
  <si>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</si>
  <si>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</si>
  <si>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</si>
  <si>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</si>
  <si>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</si>
  <si>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</si>
  <si>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</si>
  <si>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</si>
  <si>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</si>
  <si>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</si>
  <si>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</si>
  <si>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</si>
  <si>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</si>
  <si>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</si>
  <si>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</si>
  <si>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</si>
  <si>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</si>
  <si>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</si>
  <si>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</si>
  <si>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</si>
  <si>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</si>
  <si>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</si>
  <si>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</si>
  <si>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</si>
  <si>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</si>
  <si>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</si>
  <si>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</si>
  <si>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</si>
  <si>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</si>
  <si>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</si>
  <si>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</si>
  <si>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</si>
  <si>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</si>
  <si>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</si>
  <si>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</si>
  <si>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</si>
  <si>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</si>
  <si>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</si>
  <si>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</si>
  <si>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</si>
  <si>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</si>
  <si>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</si>
  <si>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</si>
  <si>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</si>
  <si>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</si>
  <si>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</si>
  <si>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</si>
  <si>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</si>
  <si>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</si>
  <si>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</si>
  <si>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</si>
  <si>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</si>
  <si>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</si>
  <si>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</si>
  <si>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</si>
  <si>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</si>
  <si>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</si>
  <si>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</si>
  <si>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</si>
  <si>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</si>
  <si>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</si>
  <si>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</si>
  <si>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</si>
  <si>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</si>
  <si>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</si>
  <si>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</si>
  <si>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</si>
  <si>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</si>
  <si>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</si>
  <si>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</si>
  <si>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</si>
  <si>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</si>
  <si>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</si>
  <si>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</si>
  <si>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</si>
  <si>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</si>
  <si>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</si>
  <si>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</si>
  <si>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</si>
  <si>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</si>
  <si>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</si>
  <si>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</si>
  <si>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</si>
  <si>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</si>
  <si>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</si>
  <si>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</si>
  <si>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</si>
  <si>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</si>
  <si>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</si>
  <si>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</si>
  <si>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</si>
  <si>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</si>
  <si>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</si>
  <si>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</si>
  <si>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</si>
  <si>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</si>
  <si>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</si>
  <si>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</si>
  <si>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</si>
  <si>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</si>
  <si>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</si>
  <si>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</si>
  <si>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</si>
  <si>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</si>
  <si>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</si>
  <si>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</si>
  <si>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</si>
  <si>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</si>
  <si>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</si>
  <si>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</si>
  <si>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</si>
  <si>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</si>
  <si>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</si>
  <si>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</si>
  <si>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</si>
  <si>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</si>
  <si>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</si>
  <si>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</si>
  <si>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</si>
  <si>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</si>
  <si>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</si>
  <si>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</si>
  <si>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</si>
  <si>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</si>
  <si>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</si>
  <si>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</si>
  <si>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</si>
  <si>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</si>
  <si>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</si>
  <si>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</si>
  <si>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</si>
  <si>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</si>
  <si>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</si>
  <si>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</si>
  <si>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</si>
  <si>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</si>
  <si>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</si>
  <si>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</si>
  <si>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</si>
  <si>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</si>
  <si>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</si>
  <si>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</si>
  <si>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</si>
  <si>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</si>
  <si>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</si>
  <si>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</si>
  <si>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</si>
  <si>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</si>
  <si>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</si>
  <si>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</si>
  <si>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</si>
  <si>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</si>
  <si>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</si>
  <si>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</si>
  <si>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</si>
  <si>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</si>
  <si>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</si>
  <si>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</si>
  <si>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</si>
  <si>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</si>
  <si>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</si>
  <si>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</si>
  <si>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</si>
  <si>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</si>
  <si>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</si>
  <si>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</si>
  <si>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</si>
  <si>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</si>
  <si>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</si>
  <si>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</si>
  <si>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</si>
  <si>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</si>
  <si>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</si>
  <si>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</si>
  <si>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</si>
  <si>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</si>
  <si>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</si>
  <si>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</si>
  <si>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</si>
  <si>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</si>
  <si>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</si>
  <si>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</si>
  <si>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</si>
  <si>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</si>
  <si>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</si>
  <si>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</si>
  <si>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</si>
  <si>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</si>
  <si>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</si>
  <si>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</si>
  <si>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</si>
  <si>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</si>
  <si>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</si>
  <si>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</si>
  <si>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</si>
  <si>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</si>
  <si>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</si>
  <si>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</si>
  <si>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</si>
  <si>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</si>
  <si>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</si>
  <si>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</si>
  <si>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</si>
  <si>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</si>
  <si>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</si>
  <si>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</si>
  <si>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</si>
  <si>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</si>
  <si>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</si>
  <si>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</si>
  <si>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</si>
  <si>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</si>
  <si>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</si>
  <si>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</si>
  <si>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</si>
  <si>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</si>
  <si>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</si>
  <si>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</si>
  <si>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</si>
  <si>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</si>
  <si>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</si>
  <si>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</si>
  <si>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</si>
  <si>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</si>
  <si>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</si>
  <si>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</si>
  <si>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</si>
  <si>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</si>
  <si>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</si>
  <si>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</si>
  <si>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</si>
  <si>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</si>
  <si>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</si>
  <si>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</si>
  <si>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</si>
  <si>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</si>
  <si>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</si>
  <si>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</si>
  <si>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</si>
  <si>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</si>
  <si>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</si>
  <si>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</si>
  <si>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</si>
  <si>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</si>
  <si>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</si>
  <si>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</si>
  <si>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</si>
  <si>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</si>
  <si>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</si>
  <si>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</si>
  <si>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</si>
  <si>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</si>
  <si>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</si>
  <si>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</si>
  <si>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</si>
  <si>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</si>
  <si>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</si>
  <si>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</si>
  <si>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</si>
  <si>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</si>
  <si>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</si>
  <si>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</si>
  <si>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</si>
  <si>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</si>
  <si>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</si>
  <si>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</si>
  <si>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</si>
  <si>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</si>
  <si>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</si>
  <si>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</si>
  <si>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</si>
  <si>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</si>
  <si>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</si>
  <si>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</si>
  <si>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</si>
  <si>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</si>
  <si>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</si>
  <si>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</si>
  <si>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</si>
  <si>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</si>
  <si>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</si>
  <si>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</si>
  <si>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</si>
  <si>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</si>
  <si>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</si>
  <si>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</si>
  <si>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</si>
  <si>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</si>
  <si>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</si>
  <si>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</si>
  <si>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</si>
  <si>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</si>
  <si>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</si>
  <si>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</si>
  <si>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</si>
  <si>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</si>
  <si>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</si>
  <si>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</si>
  <si>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</si>
  <si>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</si>
  <si>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</si>
  <si>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</si>
  <si>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</si>
  <si>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</si>
  <si>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</si>
  <si>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</si>
  <si>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</si>
  <si>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</si>
  <si>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</si>
  <si>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</si>
  <si>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</si>
  <si>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</si>
  <si>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</si>
  <si>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</si>
  <si>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</si>
  <si>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</si>
  <si>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</si>
  <si>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</si>
  <si>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</si>
  <si>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</si>
  <si>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</si>
  <si>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</si>
  <si>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</si>
  <si>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</si>
  <si>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</si>
  <si>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</si>
  <si>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</si>
  <si>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</si>
  <si>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</si>
  <si>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</si>
  <si>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</si>
  <si>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</si>
  <si>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</si>
  <si>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</si>
  <si>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</si>
  <si>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</si>
  <si>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</si>
  <si>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</si>
  <si>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</si>
  <si>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</si>
  <si>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</si>
  <si>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</si>
  <si>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</si>
  <si>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</si>
  <si>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</si>
  <si>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</si>
  <si>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</si>
  <si>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</si>
  <si>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</si>
  <si>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</si>
  <si>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</si>
  <si>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</si>
  <si>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</si>
  <si>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</si>
  <si>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</si>
  <si>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</si>
  <si>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</si>
  <si>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</si>
  <si>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</si>
  <si>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</si>
  <si>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</si>
  <si>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</si>
  <si>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</si>
  <si>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</si>
  <si>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</si>
  <si>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</si>
  <si>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</si>
  <si>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</si>
  <si>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</si>
  <si>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</si>
  <si>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</si>
  <si>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</si>
  <si>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</si>
  <si>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</si>
  <si>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</si>
  <si>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</si>
  <si>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</si>
  <si>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</si>
  <si>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</si>
  <si>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</si>
  <si>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</si>
  <si>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</si>
  <si>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</si>
  <si>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</si>
  <si>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</si>
  <si>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</si>
  <si>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</si>
  <si>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</si>
  <si>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</si>
  <si>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</si>
  <si>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</si>
  <si>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</si>
  <si>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</si>
  <si>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</si>
  <si>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</si>
  <si>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</si>
  <si>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</si>
  <si>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</si>
  <si>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</si>
  <si>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</si>
  <si>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</si>
  <si>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</si>
  <si>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</si>
  <si>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</si>
  <si>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</si>
  <si>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</si>
  <si>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</si>
  <si>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</si>
  <si>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</si>
  <si>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</si>
  <si>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</si>
  <si>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</si>
  <si>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</si>
  <si>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</si>
  <si>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</si>
  <si>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</si>
  <si>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</si>
  <si>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</si>
  <si>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</si>
  <si>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</si>
  <si>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</si>
  <si>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</si>
  <si>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</si>
  <si>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</si>
  <si>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</si>
  <si>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</si>
  <si>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</si>
  <si>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</si>
  <si>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</si>
  <si>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</si>
  <si>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</si>
  <si>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</si>
  <si>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</si>
  <si>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</si>
  <si>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</si>
  <si>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</si>
  <si>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</si>
  <si>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</si>
  <si>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</si>
  <si>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</si>
  <si>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</si>
  <si>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</si>
  <si>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</si>
  <si>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</si>
  <si>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</si>
  <si>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</si>
  <si>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</si>
  <si>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</si>
  <si>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</si>
  <si>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</si>
  <si>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</si>
  <si>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</si>
  <si>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</si>
  <si>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</si>
  <si>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</si>
  <si>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</si>
  <si>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</si>
  <si>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</si>
  <si>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</si>
  <si>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</si>
  <si>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</si>
  <si>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</si>
  <si>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</si>
  <si>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</si>
  <si>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</si>
  <si>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</si>
  <si>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</si>
  <si>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</si>
  <si>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</si>
  <si>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</si>
  <si>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</si>
  <si>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</si>
  <si>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</si>
  <si>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</si>
  <si>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</si>
  <si>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</si>
  <si>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</si>
  <si>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</si>
  <si>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</si>
  <si>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</si>
  <si>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</si>
  <si>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</si>
  <si>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</si>
  <si>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</si>
  <si>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</si>
  <si>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</si>
  <si>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</si>
  <si>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</si>
  <si>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</si>
  <si>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</si>
  <si>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</si>
  <si>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</si>
  <si>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</si>
  <si>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</si>
  <si>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</si>
  <si>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</si>
  <si>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</si>
  <si>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</si>
  <si>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</si>
  <si>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</si>
  <si>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</si>
  <si>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</si>
  <si>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</si>
  <si>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</si>
  <si>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</si>
  <si>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</si>
  <si>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</si>
  <si>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</si>
  <si>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</si>
  <si>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</si>
  <si>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</si>
  <si>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</si>
  <si>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</si>
  <si>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</si>
  <si>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</si>
  <si>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</si>
  <si>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</si>
  <si>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</si>
  <si>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</si>
  <si>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</si>
  <si>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</si>
  <si>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</si>
  <si>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</si>
  <si>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</si>
  <si>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</si>
  <si>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</si>
  <si>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</si>
  <si>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</si>
  <si>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</si>
  <si>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</si>
  <si>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</si>
  <si>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</si>
  <si>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</si>
  <si>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</si>
  <si>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</si>
  <si>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</si>
  <si>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</si>
  <si>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</si>
  <si>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</si>
  <si>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</si>
  <si>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</si>
  <si>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</si>
  <si>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</si>
  <si>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</si>
  <si>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</si>
  <si>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</si>
  <si>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</si>
  <si>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</si>
  <si>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</si>
  <si>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</si>
  <si>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</si>
  <si>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</si>
  <si>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</si>
  <si>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</si>
  <si>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</si>
  <si>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</si>
  <si>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</si>
  <si>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</si>
  <si>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</si>
  <si>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</si>
  <si>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</si>
  <si>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</si>
  <si>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</si>
  <si>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</si>
  <si>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</si>
  <si>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</si>
  <si>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</si>
  <si>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</si>
  <si>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</si>
  <si>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</si>
  <si>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</si>
  <si>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</si>
  <si>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</si>
  <si>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</si>
  <si>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</si>
  <si>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</si>
  <si>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</si>
  <si>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</si>
  <si>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</si>
  <si>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</si>
  <si>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</si>
  <si>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</si>
  <si>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</si>
  <si>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</si>
  <si>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</si>
  <si>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</si>
  <si>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</si>
  <si>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</si>
  <si>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</si>
  <si>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</si>
  <si>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</si>
  <si>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</si>
  <si>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</si>
  <si>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</si>
  <si>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</si>
  <si>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</si>
  <si>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</si>
  <si>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</si>
  <si>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</si>
  <si>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</si>
  <si>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</si>
  <si>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</si>
  <si>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</si>
  <si>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</si>
  <si>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</si>
  <si>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</si>
  <si>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</si>
  <si>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</si>
  <si>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</si>
  <si>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</si>
  <si>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</si>
  <si>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</si>
  <si>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</si>
  <si>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</si>
  <si>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</si>
  <si>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</si>
  <si>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</si>
  <si>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</si>
  <si>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</si>
  <si>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</si>
  <si>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</si>
  <si>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</si>
  <si>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</si>
  <si>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</si>
  <si>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</si>
  <si>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</si>
  <si>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</si>
  <si>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</si>
  <si>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</si>
  <si>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</si>
  <si>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</si>
  <si>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</si>
  <si>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</si>
  <si>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</si>
  <si>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</si>
  <si>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</si>
  <si>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</si>
  <si>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</si>
  <si>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</si>
  <si>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</si>
  <si>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</si>
  <si>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</si>
  <si>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</si>
  <si>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</si>
  <si>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</si>
  <si>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</si>
  <si>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</si>
  <si>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</si>
  <si>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</si>
  <si>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</si>
  <si>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</si>
  <si>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</si>
  <si>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</si>
  <si>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</si>
  <si>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</si>
  <si>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</si>
  <si>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</si>
  <si>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</si>
  <si>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</si>
  <si>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</si>
  <si>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</si>
  <si>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</si>
  <si>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</si>
  <si>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</si>
  <si>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</si>
  <si>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</si>
  <si>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</si>
  <si>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</si>
  <si>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</si>
  <si>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</si>
  <si>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</si>
  <si>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</si>
  <si>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</si>
  <si>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</si>
  <si>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</si>
  <si>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</si>
  <si>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</si>
  <si>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</si>
  <si>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</si>
  <si>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</si>
  <si>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</si>
  <si>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</si>
  <si>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</si>
  <si>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</si>
  <si>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</si>
  <si>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</si>
  <si>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</si>
  <si>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</si>
  <si>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</si>
  <si>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</si>
  <si>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</si>
  <si>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</si>
  <si>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</si>
  <si>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</si>
  <si>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</si>
  <si>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</si>
  <si>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</si>
  <si>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</si>
  <si>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</si>
  <si>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</si>
  <si>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</si>
  <si>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</si>
  <si>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</si>
  <si>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</si>
  <si>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</si>
  <si>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</si>
  <si>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</si>
  <si>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</si>
  <si>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</si>
  <si>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</si>
  <si>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</si>
  <si>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</si>
  <si>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</si>
  <si>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</si>
  <si>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</si>
  <si>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</si>
  <si>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</si>
  <si>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</si>
  <si>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</si>
  <si>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</si>
  <si>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</si>
  <si>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</si>
  <si>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</si>
  <si>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</si>
  <si>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</si>
  <si>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</si>
  <si>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</si>
  <si>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</si>
  <si>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</si>
  <si>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</si>
  <si>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</si>
  <si>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</si>
  <si>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</si>
  <si>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</si>
  <si>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</si>
  <si>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</si>
  <si>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</si>
  <si>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</si>
  <si>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</si>
  <si>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</si>
  <si>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</si>
  <si>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</si>
  <si>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</si>
  <si>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</si>
  <si>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</si>
  <si>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</si>
  <si>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</si>
  <si>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</si>
  <si>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</si>
  <si>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</si>
  <si>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</si>
  <si>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</si>
  <si>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</si>
  <si>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</si>
  <si>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</si>
  <si>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</si>
  <si>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</si>
  <si>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</si>
  <si>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</si>
  <si>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</si>
  <si>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</si>
  <si>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</si>
  <si>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</si>
  <si>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</si>
  <si>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</si>
  <si>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</si>
  <si>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</si>
  <si>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</si>
  <si>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</si>
  <si>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</si>
  <si>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</si>
  <si>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</si>
  <si>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</si>
  <si>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</si>
  <si>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</si>
  <si>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</si>
  <si>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</si>
  <si>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</si>
  <si>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</si>
  <si>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</si>
  <si>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</si>
  <si>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</si>
  <si>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</si>
  <si>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</si>
  <si>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</si>
  <si>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</si>
  <si>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</si>
  <si>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</si>
  <si>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</si>
  <si>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</si>
  <si>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</si>
  <si>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</si>
  <si>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</si>
  <si>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</si>
  <si>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</si>
  <si>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</si>
  <si>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</si>
  <si>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</si>
  <si>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</si>
  <si>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</si>
  <si>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</si>
  <si>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</si>
  <si>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</si>
  <si>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</si>
  <si>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</si>
  <si>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</si>
  <si>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</si>
  <si>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</si>
  <si>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</si>
  <si>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</si>
  <si>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</si>
  <si>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</si>
  <si>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</si>
  <si>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</si>
  <si>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</si>
  <si>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</si>
  <si>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</si>
  <si>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</si>
  <si>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</si>
  <si>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</si>
  <si>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</si>
  <si>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</si>
  <si>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</si>
  <si>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</si>
  <si>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</si>
  <si>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</si>
  <si>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</si>
  <si>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</si>
  <si>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</si>
  <si>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</si>
  <si>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</si>
  <si>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</si>
  <si>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</si>
  <si>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</si>
  <si>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</si>
  <si>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</si>
  <si>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</si>
  <si>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</si>
  <si>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</si>
  <si>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</si>
  <si>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</si>
  <si>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</si>
  <si>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</si>
  <si>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</si>
  <si>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</si>
  <si>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</si>
  <si>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</si>
  <si>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</si>
  <si>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</si>
  <si>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</si>
  <si>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</si>
  <si>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</si>
  <si>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</si>
  <si>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</si>
  <si>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</si>
  <si>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</si>
  <si>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</si>
  <si>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</si>
  <si>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</si>
  <si>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</si>
  <si>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</si>
  <si>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</si>
  <si>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</si>
  <si>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</si>
  <si>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</si>
  <si>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</si>
  <si>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</si>
  <si>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</si>
  <si>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</si>
  <si>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</si>
  <si>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</si>
  <si>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</si>
  <si>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</si>
  <si>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</si>
  <si>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</si>
  <si>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</si>
  <si>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</si>
  <si>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</si>
  <si>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</si>
  <si>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</si>
  <si>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</si>
  <si>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</si>
  <si>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</si>
  <si>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</si>
  <si>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</si>
  <si>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</si>
  <si>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</si>
  <si>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</si>
  <si>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</si>
  <si>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</si>
  <si>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</si>
  <si>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</si>
  <si>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</si>
  <si>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</si>
  <si>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</si>
  <si>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</si>
  <si>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</si>
  <si>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</si>
  <si>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</si>
  <si>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</si>
  <si>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</si>
  <si>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</si>
  <si>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</si>
  <si>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</si>
  <si>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</si>
  <si>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</si>
  <si>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</si>
  <si>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</si>
  <si>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</si>
  <si>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</si>
  <si>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</si>
  <si>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</si>
  <si>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</si>
  <si>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</si>
  <si>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</si>
  <si>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</si>
  <si>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</si>
  <si>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</si>
  <si>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</si>
  <si>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</si>
  <si>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</si>
  <si>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</si>
  <si>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</si>
  <si>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</si>
  <si>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</si>
  <si>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</si>
  <si>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</si>
  <si>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</si>
  <si>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</si>
  <si>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</si>
  <si>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</si>
  <si>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</si>
  <si>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</si>
  <si>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</si>
  <si>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</si>
  <si>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</si>
  <si>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</si>
  <si>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</si>
  <si>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</si>
  <si>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</si>
  <si>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</si>
  <si>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</si>
  <si>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</si>
  <si>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</si>
  <si>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</si>
  <si>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</si>
  <si>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</si>
  <si>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</si>
  <si>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</si>
  <si>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</si>
  <si>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</si>
  <si>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</si>
  <si>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</si>
  <si>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</si>
  <si>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</si>
  <si>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</si>
  <si>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</si>
  <si>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</si>
  <si>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</si>
  <si>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</si>
  <si>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</si>
  <si>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</si>
  <si>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</si>
  <si>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</si>
  <si>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</si>
  <si>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</si>
  <si>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</si>
  <si>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</si>
  <si>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</si>
  <si>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</si>
  <si>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</si>
  <si>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</si>
  <si>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</si>
  <si>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</si>
  <si>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</si>
  <si>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</si>
  <si>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</si>
  <si>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</si>
  <si>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</si>
  <si>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</si>
  <si>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</si>
  <si>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</si>
  <si>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</si>
  <si>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</si>
  <si>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</si>
  <si>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</si>
  <si>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</si>
  <si>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</si>
  <si>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</si>
  <si>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</si>
  <si>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</si>
  <si>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</si>
  <si>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</si>
  <si>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</si>
  <si>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</si>
  <si>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</si>
  <si>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</si>
  <si>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</si>
  <si>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</si>
  <si>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</si>
  <si>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</si>
  <si>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</si>
  <si>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</si>
  <si>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</si>
  <si>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</si>
  <si>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</si>
  <si>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</si>
  <si>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</si>
  <si>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</si>
  <si>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</si>
  <si>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</si>
  <si>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</si>
  <si>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</si>
  <si>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</si>
  <si>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</si>
  <si>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</si>
  <si>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</si>
  <si>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</si>
  <si>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</si>
  <si>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</si>
  <si>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</si>
  <si>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</si>
  <si>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</si>
  <si>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</si>
  <si>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</si>
  <si>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</si>
  <si>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</si>
  <si>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</si>
  <si>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</si>
  <si>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</si>
  <si>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</si>
  <si>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</si>
  <si>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</si>
  <si>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</si>
  <si>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</si>
  <si>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</si>
  <si>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</si>
  <si>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</si>
  <si>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</si>
  <si>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</si>
  <si>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</si>
  <si>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</si>
  <si>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</si>
  <si>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</si>
  <si>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</si>
  <si>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</si>
  <si>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</si>
  <si>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</si>
  <si>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</si>
  <si>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</si>
  <si>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</si>
  <si>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</si>
  <si>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</si>
  <si>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</si>
  <si>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</si>
  <si>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</si>
  <si>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</si>
  <si>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</si>
  <si>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</si>
  <si>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</si>
  <si>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</si>
  <si>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</si>
  <si>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</si>
  <si>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</si>
  <si>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</si>
  <si>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</si>
  <si>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</si>
  <si>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</si>
  <si>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</si>
  <si>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</si>
  <si>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</si>
  <si>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</si>
  <si>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</si>
  <si>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</si>
  <si>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</si>
  <si>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</si>
  <si>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</si>
  <si>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</si>
  <si>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</si>
  <si>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</si>
  <si>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</si>
  <si>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</si>
  <si>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</si>
  <si>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</si>
  <si>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</si>
  <si>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</si>
  <si>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</si>
  <si>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</si>
  <si>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</si>
  <si>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</si>
  <si>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</si>
  <si>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</si>
  <si>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</si>
  <si>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</si>
  <si>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</si>
  <si>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</si>
  <si>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</si>
  <si>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</si>
  <si>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</si>
  <si>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</si>
  <si>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</si>
  <si>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</si>
  <si>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</si>
  <si>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</si>
  <si>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</si>
  <si>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</si>
  <si>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</si>
  <si>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</si>
  <si>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</si>
  <si>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</si>
  <si>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</si>
  <si>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</si>
  <si>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</si>
  <si>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</si>
  <si>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</si>
  <si>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</si>
  <si>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</si>
  <si>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</si>
  <si>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</si>
  <si>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</si>
  <si>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</si>
  <si>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</si>
  <si>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</si>
  <si>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</si>
  <si>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</si>
  <si>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</si>
  <si>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</si>
  <si>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</si>
  <si>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</si>
  <si>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</si>
  <si>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</si>
  <si>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</si>
  <si>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</si>
  <si>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</si>
  <si>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</si>
  <si>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</si>
  <si>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</si>
  <si>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</si>
  <si>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</si>
  <si>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</si>
  <si>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</si>
  <si>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</si>
  <si>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</si>
  <si>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</si>
  <si>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</si>
  <si>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</si>
  <si>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</si>
  <si>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</si>
  <si>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</si>
  <si>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</si>
  <si>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</si>
  <si>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</si>
  <si>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</si>
  <si>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</si>
  <si>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</si>
  <si>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</si>
  <si>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</si>
  <si>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</si>
  <si>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</si>
  <si>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</si>
  <si>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</si>
  <si>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</si>
  <si>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</si>
  <si>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</si>
  <si>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</si>
  <si>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</si>
  <si>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</si>
  <si>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</si>
  <si>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</si>
  <si>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</si>
  <si>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</si>
  <si>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</si>
  <si>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</si>
  <si>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</si>
  <si>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</si>
  <si>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</si>
  <si>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</si>
  <si>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</si>
  <si>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</si>
  <si>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</si>
  <si>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</si>
  <si>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</si>
  <si>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</si>
  <si>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</si>
  <si>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</si>
  <si>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</si>
  <si>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</si>
  <si>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</si>
  <si>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</si>
  <si>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</si>
  <si>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</si>
  <si>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</si>
  <si>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</si>
  <si>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</si>
  <si>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</si>
  <si>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</si>
  <si>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</si>
  <si>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</si>
  <si>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</si>
  <si>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</si>
  <si>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</si>
  <si>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</si>
  <si>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</si>
  <si>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</si>
  <si>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</si>
  <si>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</si>
  <si>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</si>
  <si>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</si>
  <si>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</si>
  <si>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</si>
  <si>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</si>
  <si>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</si>
  <si>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</si>
  <si>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</si>
  <si>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</si>
  <si>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</si>
  <si>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</si>
  <si>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</si>
  <si>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</si>
  <si>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</si>
  <si>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</si>
  <si>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</si>
  <si>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</si>
  <si>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</si>
  <si>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</si>
  <si>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</si>
  <si>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</si>
  <si>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</si>
  <si>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</si>
  <si>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</si>
  <si>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</si>
  <si>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</si>
  <si>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</si>
  <si>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</si>
  <si>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</si>
  <si>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</si>
  <si>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</si>
  <si>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</si>
  <si>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</si>
  <si>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</si>
  <si>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</si>
  <si>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</si>
  <si>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</si>
  <si>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</si>
  <si>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</si>
  <si>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</si>
  <si>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</si>
  <si>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</si>
  <si>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</si>
  <si>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</si>
  <si>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</si>
  <si>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</si>
  <si>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</si>
  <si>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</si>
  <si>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</si>
  <si>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</si>
  <si>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</si>
  <si>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</si>
  <si>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</si>
  <si>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</si>
  <si>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</si>
  <si>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</si>
  <si>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</si>
  <si>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</si>
  <si>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</si>
  <si>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</si>
  <si>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</si>
  <si>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</si>
  <si>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</si>
  <si>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</si>
  <si>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</si>
  <si>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</si>
  <si>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</si>
  <si>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</si>
  <si>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</si>
  <si>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</si>
  <si>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</si>
  <si>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</si>
  <si>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</si>
  <si>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</si>
  <si>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</si>
  <si>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</si>
  <si>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</si>
  <si>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</si>
  <si>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</si>
  <si>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</si>
  <si>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</si>
  <si>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</si>
  <si>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</si>
  <si>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</si>
  <si>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</si>
  <si>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</si>
  <si>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</si>
  <si>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</si>
  <si>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</si>
  <si>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</si>
  <si>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</si>
  <si>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</si>
  <si>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</si>
  <si>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</si>
  <si>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</si>
  <si>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</si>
  <si>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</si>
  <si>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</si>
  <si>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</si>
  <si>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</si>
  <si>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</si>
  <si>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</si>
  <si>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</si>
  <si>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</si>
  <si>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</si>
  <si>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</si>
  <si>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</si>
  <si>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</si>
  <si>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</si>
  <si>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</si>
  <si>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</si>
  <si>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</si>
  <si>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</si>
  <si>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</si>
  <si>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</si>
  <si>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</si>
  <si>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</si>
  <si>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</si>
  <si>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</si>
  <si>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</si>
  <si>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</si>
  <si>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</si>
  <si>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</si>
  <si>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</si>
  <si>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</si>
  <si>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</si>
  <si>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</si>
  <si>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</si>
  <si>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</si>
  <si>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</si>
  <si>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</si>
  <si>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</si>
  <si>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</si>
  <si>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</si>
  <si>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</si>
  <si>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</si>
  <si>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</si>
  <si>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</si>
  <si>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</si>
  <si>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</si>
  <si>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</si>
  <si>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</si>
  <si>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</si>
  <si>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</si>
  <si>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</si>
  <si>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</si>
  <si>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</si>
  <si>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</si>
  <si>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</si>
  <si>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</si>
  <si>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</si>
  <si>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</si>
  <si>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</si>
  <si>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</si>
  <si>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</si>
  <si>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</si>
  <si>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</si>
  <si>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</si>
  <si>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</si>
  <si>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</si>
  <si>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</si>
  <si>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</si>
  <si>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</si>
  <si>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</si>
  <si>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</si>
  <si>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</si>
  <si>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</si>
  <si>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</si>
  <si>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</si>
  <si>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</si>
  <si>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</si>
  <si>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</si>
  <si>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</si>
  <si>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</si>
  <si>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</si>
  <si>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</si>
  <si>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</si>
  <si>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</si>
  <si>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</si>
  <si>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</si>
  <si>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</si>
  <si>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</si>
  <si>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</si>
  <si>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</si>
  <si>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</si>
  <si>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</si>
  <si>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</si>
  <si>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</si>
  <si>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</si>
  <si>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</si>
  <si>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</si>
  <si>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</si>
  <si>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</si>
  <si>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</si>
  <si>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</si>
  <si>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</si>
  <si>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</si>
  <si>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</si>
  <si>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</si>
  <si>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</si>
  <si>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</si>
  <si>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</si>
  <si>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</si>
  <si>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</si>
  <si>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</si>
  <si>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</si>
  <si>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</si>
  <si>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</si>
  <si>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</si>
  <si>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</si>
  <si>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</si>
  <si>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</si>
  <si>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</si>
  <si>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</si>
  <si>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</si>
  <si>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</si>
  <si>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</si>
  <si>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</si>
  <si>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</si>
  <si>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</si>
  <si>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</si>
  <si>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</si>
  <si>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</si>
  <si>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</si>
  <si>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</si>
  <si>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</si>
  <si>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</si>
  <si>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</si>
  <si>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</si>
  <si>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</si>
  <si>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</si>
  <si>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</si>
  <si>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</si>
  <si>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</si>
  <si>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</si>
  <si>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</si>
  <si>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</si>
  <si>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</si>
  <si>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</si>
  <si>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</si>
  <si>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</si>
  <si>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</si>
  <si>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</si>
  <si>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</si>
  <si>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</si>
  <si>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</si>
  <si>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</si>
  <si>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</si>
  <si>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</si>
  <si>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</si>
  <si>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</si>
  <si>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</si>
  <si>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</si>
  <si>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</si>
  <si>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</si>
  <si>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</si>
  <si>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</si>
  <si>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</si>
  <si>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</si>
  <si>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</si>
  <si>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</si>
  <si>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</si>
  <si>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</si>
  <si>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</si>
  <si>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</si>
  <si>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</si>
  <si>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</si>
  <si>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</si>
  <si>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</si>
  <si>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</si>
  <si>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</si>
  <si>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</si>
  <si>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</si>
  <si>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</si>
  <si>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</si>
  <si>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</si>
  <si>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</si>
  <si>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</si>
  <si>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</si>
  <si>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</si>
  <si>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</si>
  <si>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</si>
  <si>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</si>
  <si>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</si>
  <si>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</si>
  <si>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</si>
  <si>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</si>
  <si>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</si>
  <si>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</si>
  <si>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</si>
  <si>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</si>
  <si>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</si>
  <si>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</si>
  <si>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</si>
  <si>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</si>
  <si>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</si>
  <si>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</si>
  <si>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</si>
  <si>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</si>
  <si>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</si>
  <si>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</si>
  <si>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</si>
  <si>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</si>
  <si>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</si>
  <si>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</si>
  <si>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</si>
  <si>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</si>
  <si>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</si>
  <si>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</si>
  <si>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</si>
  <si>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</si>
  <si>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</si>
  <si>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</si>
  <si>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</si>
  <si>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</si>
  <si>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</si>
  <si>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</si>
  <si>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</si>
  <si>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</si>
  <si>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</si>
  <si>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</si>
  <si>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</si>
  <si>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</si>
  <si>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</si>
  <si>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</si>
  <si>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</si>
  <si>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</si>
  <si>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</si>
  <si>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</si>
  <si>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</si>
  <si>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</si>
  <si>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</si>
  <si>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</si>
  <si>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</si>
  <si>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</si>
  <si>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</si>
  <si>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</si>
  <si>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</si>
  <si>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</si>
  <si>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</si>
  <si>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</si>
  <si>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</si>
  <si>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</si>
  <si>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</si>
  <si>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</si>
  <si>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</si>
  <si>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</si>
  <si>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</si>
  <si>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</si>
  <si>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</si>
  <si>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</si>
  <si>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</si>
  <si>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</si>
  <si>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</si>
  <si>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</si>
  <si>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</si>
  <si>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</si>
  <si>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</si>
  <si>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</si>
  <si>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</si>
  <si>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</si>
  <si>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</si>
  <si>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</si>
  <si>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</si>
  <si>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</si>
  <si>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</si>
  <si>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</si>
  <si>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</si>
  <si>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</si>
  <si>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</si>
  <si>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</si>
  <si>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</si>
  <si>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</si>
  <si>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</si>
  <si>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</si>
  <si>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</si>
  <si>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</si>
  <si>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</si>
  <si>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</si>
  <si>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</si>
  <si>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</si>
  <si>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</si>
  <si>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</si>
  <si>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</si>
  <si>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</si>
  <si>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</si>
  <si>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</si>
  <si>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</si>
  <si>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</si>
  <si>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</si>
  <si>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</si>
  <si>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</si>
  <si>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</si>
  <si>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</si>
  <si>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</si>
  <si>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</si>
  <si>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</si>
  <si>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</si>
  <si>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</si>
  <si>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</si>
  <si>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</si>
  <si>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</si>
  <si>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</si>
  <si>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</si>
  <si>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</si>
  <si>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</si>
  <si>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</si>
  <si>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</si>
  <si>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</si>
  <si>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</si>
  <si>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</si>
  <si>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</si>
  <si>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</si>
  <si>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</si>
  <si>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</si>
  <si>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</si>
  <si>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</si>
  <si>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</si>
  <si>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</si>
  <si>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</si>
  <si>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</si>
  <si>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</si>
  <si>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</si>
  <si>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</si>
  <si>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</si>
  <si>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</si>
  <si>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</si>
  <si>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</si>
  <si>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</si>
  <si>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</si>
  <si>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</si>
  <si>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</si>
  <si>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</si>
  <si>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</si>
  <si>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</si>
  <si>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</si>
  <si>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</si>
  <si>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</si>
  <si>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</si>
  <si>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</si>
  <si>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</si>
  <si>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</si>
  <si>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</si>
  <si>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</si>
  <si>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</si>
  <si>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</si>
  <si>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</si>
  <si>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</si>
  <si>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</si>
  <si>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</si>
  <si>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</si>
  <si>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</si>
  <si>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</si>
  <si>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</si>
  <si>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</si>
  <si>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</si>
  <si>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</si>
  <si>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</si>
  <si>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</si>
  <si>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</si>
  <si>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</si>
  <si>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</si>
  <si>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</si>
  <si>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</si>
  <si>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</si>
  <si>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</si>
  <si>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</si>
  <si>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</si>
  <si>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</si>
  <si>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</si>
  <si>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</si>
  <si>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</si>
  <si>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</si>
  <si>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</si>
  <si>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</si>
  <si>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</si>
  <si>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</si>
  <si>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</si>
  <si>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</si>
  <si>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</si>
  <si>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</si>
  <si>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</si>
  <si>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</si>
  <si>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</si>
  <si>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</si>
  <si>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</si>
  <si>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</si>
  <si>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</si>
  <si>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</si>
  <si>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</si>
  <si>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</si>
  <si>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</si>
  <si>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</si>
  <si>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</si>
  <si>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</si>
  <si>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</si>
  <si>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</si>
  <si>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</si>
  <si>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</si>
  <si>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</si>
  <si>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</si>
  <si>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</si>
  <si>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</si>
  <si>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</si>
  <si>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</si>
  <si>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</si>
  <si>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</si>
  <si>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</si>
  <si>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</si>
  <si>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</si>
  <si>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</si>
  <si>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</si>
  <si>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</si>
  <si>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</si>
  <si>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</si>
  <si>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</si>
  <si>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</si>
  <si>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</si>
  <si>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</si>
  <si>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</si>
  <si>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</si>
  <si>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</si>
  <si>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</si>
  <si>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</si>
  <si>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</si>
  <si>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</si>
  <si>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</si>
  <si>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</si>
  <si>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</si>
  <si>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</si>
  <si>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</si>
  <si>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</si>
  <si>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</si>
  <si>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</si>
  <si>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</si>
  <si>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</si>
  <si>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</si>
  <si>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</si>
  <si>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</si>
  <si>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</si>
  <si>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</si>
  <si>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</si>
  <si>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</si>
  <si>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</si>
  <si>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</si>
  <si>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</si>
  <si>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</si>
  <si>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</si>
  <si>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</si>
  <si>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</si>
  <si>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</si>
  <si>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</si>
  <si>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</si>
  <si>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</si>
  <si>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</si>
  <si>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</si>
  <si>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</si>
  <si>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</si>
  <si>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</si>
  <si>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</si>
  <si>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</si>
  <si>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</si>
  <si>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</si>
  <si>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</si>
  <si>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</si>
  <si>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</si>
  <si>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</si>
  <si>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</si>
  <si>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</si>
  <si>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</si>
  <si>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</si>
  <si>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</si>
  <si>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</si>
  <si>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</si>
  <si>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</si>
  <si>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</si>
  <si>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</si>
  <si>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</si>
  <si>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</si>
  <si>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</si>
  <si>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</si>
  <si>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</si>
  <si>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</si>
  <si>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</si>
  <si>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</si>
  <si>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</si>
  <si>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</si>
  <si>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</si>
  <si>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</si>
  <si>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</si>
  <si>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</si>
  <si>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</si>
  <si>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</si>
  <si>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</si>
  <si>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</si>
  <si>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</si>
  <si>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</si>
  <si>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</si>
  <si>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</si>
  <si>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</si>
  <si>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</si>
  <si>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</si>
  <si>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</si>
  <si>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</si>
  <si>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</si>
  <si>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</si>
  <si>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</si>
  <si>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</si>
  <si>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</si>
  <si>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</si>
  <si>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</si>
  <si>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</si>
  <si>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</si>
  <si>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</si>
  <si>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</si>
  <si>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</si>
  <si>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</si>
  <si>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</si>
  <si>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</si>
  <si>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</si>
  <si>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</si>
  <si>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</si>
  <si>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</si>
  <si>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</si>
  <si>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</si>
  <si>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</si>
  <si>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</si>
  <si>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</si>
  <si>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</si>
  <si>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</si>
  <si>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</si>
  <si>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</si>
  <si>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</si>
  <si>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</si>
  <si>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</si>
  <si>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</si>
  <si>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</si>
  <si>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</si>
  <si>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</si>
  <si>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</si>
  <si>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</si>
  <si>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</si>
  <si>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</si>
  <si>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</si>
  <si>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</si>
  <si>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</si>
  <si>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</si>
  <si>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</si>
  <si>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</si>
  <si>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</si>
  <si>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</si>
  <si>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</si>
  <si>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</si>
  <si>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</si>
  <si>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</si>
  <si>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</si>
  <si>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</si>
  <si>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</si>
  <si>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</si>
  <si>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</si>
  <si>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</si>
  <si>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</si>
  <si>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</si>
  <si>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</si>
  <si>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</si>
  <si>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</si>
  <si>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</si>
  <si>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</si>
  <si>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</si>
  <si>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</si>
  <si>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</si>
  <si>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</si>
  <si>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</si>
  <si>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</si>
  <si>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</si>
  <si>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</si>
  <si>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</si>
  <si>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</si>
  <si>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</si>
  <si>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</si>
  <si>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</si>
  <si>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</si>
  <si>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</si>
  <si>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</si>
  <si>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</si>
  <si>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</si>
  <si>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</si>
  <si>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</si>
  <si>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</si>
  <si>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</si>
  <si>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</si>
  <si>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</si>
  <si>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</si>
  <si>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</si>
  <si>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</si>
  <si>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</si>
  <si>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</si>
  <si>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</si>
  <si>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</si>
  <si>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</si>
  <si>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</si>
  <si>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</si>
  <si>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</si>
  <si>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</si>
  <si>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</si>
  <si>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</si>
  <si>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</si>
  <si>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</si>
  <si>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</si>
  <si>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</si>
  <si>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</si>
  <si>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</si>
  <si>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</si>
  <si>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</si>
  <si>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</si>
  <si>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</si>
  <si>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</si>
  <si>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</si>
  <si>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</si>
  <si>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</si>
  <si>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</si>
  <si>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</si>
  <si>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</si>
  <si>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</si>
  <si>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</si>
  <si>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</si>
  <si>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</si>
  <si>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</si>
  <si>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</si>
  <si>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</si>
  <si>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</si>
  <si>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</si>
  <si>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</si>
  <si>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</si>
  <si>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</si>
  <si>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</si>
  <si>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</si>
  <si>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</si>
  <si>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</si>
  <si>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</si>
  <si>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</si>
  <si>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</si>
  <si>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</si>
  <si>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</si>
  <si>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</si>
  <si>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</si>
  <si>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</si>
  <si>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</si>
  <si>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</si>
  <si>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</si>
  <si>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</si>
  <si>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</si>
  <si>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</si>
  <si>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</si>
  <si>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</si>
  <si>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</si>
  <si>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</si>
  <si>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</si>
  <si>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</si>
  <si>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</si>
  <si>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</si>
  <si>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</si>
  <si>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</si>
  <si>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</si>
  <si>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</si>
  <si>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</si>
  <si>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</si>
  <si>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</si>
  <si>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</si>
  <si>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</si>
  <si>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</si>
  <si>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</si>
  <si>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</si>
  <si>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</si>
  <si>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</si>
  <si>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</si>
  <si>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</si>
  <si>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</si>
  <si>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</si>
  <si>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</si>
  <si>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</si>
  <si>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</si>
  <si>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</si>
  <si>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</si>
  <si>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</si>
  <si>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</si>
  <si>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</si>
  <si>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</si>
  <si>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</si>
  <si>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</si>
  <si>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</si>
  <si>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</si>
  <si>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</si>
  <si>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</si>
  <si>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</si>
  <si>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</si>
  <si>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</si>
  <si>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</si>
  <si>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</si>
  <si>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</si>
  <si>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</si>
  <si>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</si>
  <si>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</si>
  <si>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</si>
  <si>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</si>
  <si>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</si>
  <si>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</si>
  <si>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</si>
  <si>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</si>
  <si>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</si>
  <si>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</si>
  <si>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</si>
  <si>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</si>
  <si>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</si>
  <si>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</si>
  <si>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</si>
  <si>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</si>
  <si>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</si>
  <si>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</si>
  <si>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</si>
  <si>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</si>
  <si>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</si>
  <si>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</si>
  <si>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</si>
  <si>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</si>
  <si>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</si>
  <si>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</si>
  <si>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</si>
  <si>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</si>
  <si>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</si>
  <si>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</si>
  <si>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</si>
  <si>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</si>
  <si>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</si>
  <si>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</si>
  <si>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</si>
  <si>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</si>
  <si>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</si>
  <si>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</si>
  <si>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</si>
  <si>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</si>
  <si>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</si>
  <si>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</si>
  <si>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</si>
  <si>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</si>
  <si>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</si>
  <si>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</si>
  <si>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</si>
  <si>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</si>
  <si>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</si>
  <si>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</si>
  <si>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</si>
  <si>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</si>
  <si>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</si>
  <si>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</si>
  <si>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</si>
  <si>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</si>
  <si>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</si>
  <si>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</si>
  <si>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</si>
  <si>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</si>
  <si>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</si>
  <si>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</si>
  <si>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</si>
  <si>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</si>
  <si>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</si>
  <si>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</si>
  <si>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</si>
  <si>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</si>
  <si>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</si>
  <si>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</si>
  <si>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</si>
  <si>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</si>
  <si>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</si>
  <si>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</si>
  <si>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</si>
  <si>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</si>
  <si>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</si>
  <si>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</si>
  <si>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</si>
  <si>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</si>
  <si>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</si>
  <si>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</si>
  <si>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</si>
  <si>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</si>
  <si>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</si>
  <si>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</si>
  <si>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</si>
  <si>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</si>
  <si>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</si>
  <si>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</si>
  <si>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</si>
  <si>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</si>
  <si>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</si>
  <si>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</si>
  <si>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</si>
  <si>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</si>
  <si>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</si>
  <si>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</si>
  <si>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</si>
  <si>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</si>
  <si>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</si>
  <si>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</si>
  <si>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</si>
  <si>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</si>
  <si>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</si>
  <si>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</si>
  <si>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</si>
  <si>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</si>
  <si>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</si>
  <si>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</si>
  <si>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</si>
  <si>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</si>
  <si>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</si>
  <si>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</si>
  <si>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</si>
  <si>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</si>
  <si>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</si>
  <si>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</si>
  <si>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</si>
  <si>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</si>
  <si>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</si>
  <si>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</si>
  <si>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</si>
  <si>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</si>
  <si>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</si>
  <si>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</si>
  <si>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</si>
  <si>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</si>
  <si>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</si>
  <si>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</si>
  <si>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</si>
  <si>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</si>
  <si>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</si>
  <si>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</si>
  <si>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</si>
  <si>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</si>
  <si>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</si>
  <si>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</si>
  <si>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</si>
  <si>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</si>
  <si>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</si>
  <si>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</si>
  <si>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</si>
  <si>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</si>
  <si>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</si>
  <si>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</si>
  <si>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</si>
  <si>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</si>
  <si>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</si>
  <si>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</si>
  <si>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</si>
  <si>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</si>
  <si>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</si>
  <si>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</si>
  <si>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</si>
  <si>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</si>
  <si>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</si>
  <si>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</si>
  <si>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</si>
  <si>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</si>
  <si>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</si>
  <si>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</si>
  <si>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</si>
  <si>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</si>
  <si>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</si>
  <si>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</si>
  <si>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</si>
  <si>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</si>
  <si>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</si>
  <si>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</si>
  <si>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</si>
  <si>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北京市</t>
  </si>
  <si>
    <t>自然人</t>
  </si>
  <si>
    <t>核定资产</t>
  </si>
  <si>
    <t>房地产市场价值</t>
  </si>
  <si>
    <t>住宅</t>
  </si>
  <si>
    <t>地上</t>
  </si>
  <si>
    <t>是</t>
  </si>
  <si>
    <t>住宅</t>
    <phoneticPr fontId="7" type="noConversion"/>
  </si>
  <si>
    <t>成新度</t>
  </si>
  <si>
    <t>利息：取LPR加浮动点数</t>
  </si>
  <si>
    <t>单套模式</t>
  </si>
  <si>
    <t>售价</t>
  </si>
  <si>
    <t>正常</t>
  </si>
  <si>
    <t>住宅</t>
    <phoneticPr fontId="24" type="noConversion"/>
  </si>
  <si>
    <t>楼层</t>
    <phoneticPr fontId="24" type="noConversion"/>
  </si>
  <si>
    <t>钢混</t>
  </si>
  <si>
    <t>钢混</t>
    <phoneticPr fontId="24" type="noConversion"/>
  </si>
  <si>
    <t>高级</t>
    <phoneticPr fontId="24" type="noConversion"/>
  </si>
  <si>
    <t>中高级</t>
    <phoneticPr fontId="24" type="noConversion"/>
  </si>
  <si>
    <t>精装修</t>
    <phoneticPr fontId="24" type="noConversion"/>
  </si>
  <si>
    <t>普通装修</t>
  </si>
  <si>
    <t>普通装修</t>
    <phoneticPr fontId="24" type="noConversion"/>
  </si>
  <si>
    <t>高层板楼</t>
  </si>
  <si>
    <t>高层板楼</t>
    <phoneticPr fontId="24" type="noConversion"/>
  </si>
  <si>
    <t>七通</t>
  </si>
  <si>
    <t>七通</t>
    <phoneticPr fontId="24" type="noConversion"/>
  </si>
  <si>
    <t>平层</t>
  </si>
  <si>
    <t>平层</t>
    <phoneticPr fontId="24" type="noConversion"/>
  </si>
  <si>
    <t>跃层</t>
    <phoneticPr fontId="24" type="noConversion"/>
  </si>
  <si>
    <t>简单装修</t>
    <phoneticPr fontId="24" type="noConversion"/>
  </si>
  <si>
    <t>南北</t>
  </si>
  <si>
    <t>建成年代</t>
    <phoneticPr fontId="24" type="noConversion"/>
  </si>
  <si>
    <t>较好</t>
  </si>
  <si>
    <t>物业公司管理</t>
  </si>
  <si>
    <t>物业公司管理</t>
    <phoneticPr fontId="24" type="noConversion"/>
  </si>
  <si>
    <t>东南</t>
    <phoneticPr fontId="24" type="noConversion"/>
  </si>
  <si>
    <t>西南</t>
    <phoneticPr fontId="24" type="noConversion"/>
  </si>
  <si>
    <t>比较法-住宅</t>
  </si>
  <si>
    <t>成本法 (元)</t>
  </si>
  <si>
    <t>已包含在土地取得成本中</t>
  </si>
  <si>
    <t>朝阳区林萃路1号院3号楼10层1单元1001</t>
    <phoneticPr fontId="3" type="noConversion"/>
  </si>
  <si>
    <t>南北东</t>
    <phoneticPr fontId="24" type="noConversion"/>
  </si>
  <si>
    <t>南北</t>
    <phoneticPr fontId="24" type="noConversion"/>
  </si>
  <si>
    <t>南北西</t>
    <phoneticPr fontId="24" type="noConversion"/>
  </si>
  <si>
    <t>序号</t>
  </si>
  <si>
    <t>   </t>
  </si>
  <si>
    <t>协议号</t>
  </si>
  <si>
    <t>委托方</t>
  </si>
  <si>
    <t>区县</t>
  </si>
  <si>
    <t>房屋坐落</t>
  </si>
  <si>
    <t>物业名称</t>
  </si>
  <si>
    <t>勘察人</t>
  </si>
  <si>
    <t>产权性质</t>
  </si>
  <si>
    <t>建筑面积</t>
  </si>
  <si>
    <t>房屋用途</t>
  </si>
  <si>
    <t>总层数</t>
  </si>
  <si>
    <t>所在楼层</t>
  </si>
  <si>
    <t>产权年代</t>
  </si>
  <si>
    <t>现场年代</t>
  </si>
  <si>
    <t>证明年代</t>
  </si>
  <si>
    <t>土地证号</t>
  </si>
  <si>
    <t>成交单价</t>
  </si>
  <si>
    <t>评估单价</t>
  </si>
  <si>
    <t>评估总价</t>
  </si>
  <si>
    <t>估价时点</t>
  </si>
  <si>
    <t>  </t>
  </si>
  <si>
    <t>2013-3-06354-RA</t>
  </si>
  <si>
    <t>李雪晨</t>
  </si>
  <si>
    <t>北京市朝阳区</t>
  </si>
  <si>
    <t>倚林佳园19号楼12-502号、跃层</t>
  </si>
  <si>
    <t>倚林佳园</t>
  </si>
  <si>
    <t>王仑</t>
  </si>
  <si>
    <t>商品房</t>
  </si>
  <si>
    <t>2013-3-04478-RA</t>
  </si>
  <si>
    <t>张彤</t>
  </si>
  <si>
    <t>倚林佳园13号楼3-101号、跃层、门廊</t>
  </si>
  <si>
    <t>高小萌</t>
  </si>
  <si>
    <t>2013-3-00154-RA</t>
  </si>
  <si>
    <t>涂平</t>
  </si>
  <si>
    <t>倚林佳园17号楼2单元101号、跃层、门廊</t>
  </si>
  <si>
    <t>高轶群</t>
  </si>
  <si>
    <t>王雨</t>
  </si>
  <si>
    <t>2012-3-11297-RA</t>
  </si>
  <si>
    <t>段燕虹</t>
  </si>
  <si>
    <t>倚林佳园3号楼5单元101号、跃层</t>
  </si>
  <si>
    <t>解国明</t>
  </si>
  <si>
    <t>2012-3-10974-RA</t>
  </si>
  <si>
    <t>田容</t>
  </si>
  <si>
    <t>倚林佳园19号楼8-302号</t>
  </si>
  <si>
    <t>2012-3-09803-RA</t>
  </si>
  <si>
    <t>王洋</t>
  </si>
  <si>
    <t>倚林佳园24号楼8-302号</t>
  </si>
  <si>
    <t>10（-02）</t>
  </si>
  <si>
    <t>2012-3-07137-RA</t>
  </si>
  <si>
    <t>张中宇</t>
  </si>
  <si>
    <t>倚林家园19号楼1-202号</t>
  </si>
  <si>
    <t>2013-3-18904-RA</t>
  </si>
  <si>
    <t>敬明旻</t>
  </si>
  <si>
    <t>林萃路9号院5号楼10层6单元1002号</t>
  </si>
  <si>
    <t>京师园</t>
  </si>
  <si>
    <t>刘可</t>
  </si>
  <si>
    <t>21（-2）</t>
  </si>
  <si>
    <t>2013"年"9"月"25"日"</t>
  </si>
  <si>
    <t>2012-3-05628-RB</t>
  </si>
  <si>
    <t>刘磊光</t>
  </si>
  <si>
    <t>林萃路9号院5号楼2层9单元0201号</t>
  </si>
  <si>
    <t>2013-3-00245-RA</t>
  </si>
  <si>
    <t>石秦、郭雪娇</t>
  </si>
  <si>
    <t>林萃西里41号楼13层1303号</t>
  </si>
  <si>
    <t>澳林PARK国际公寓</t>
  </si>
  <si>
    <t>24（-2）</t>
  </si>
  <si>
    <t>2012-3-07575-RA</t>
  </si>
  <si>
    <t>周速华</t>
  </si>
  <si>
    <t>林萃西里41号楼203号</t>
  </si>
  <si>
    <t>24（-02）</t>
  </si>
  <si>
    <t>杨力</t>
  </si>
  <si>
    <t>林萃西里18号4层1单元401号</t>
  </si>
  <si>
    <t>澳林观邸</t>
  </si>
  <si>
    <t>袁征</t>
  </si>
  <si>
    <t>6（-1）</t>
  </si>
  <si>
    <t>2013-3-02741-RA</t>
  </si>
  <si>
    <t>王艳峰</t>
  </si>
  <si>
    <t>林萃西里28号楼1-402号</t>
  </si>
  <si>
    <t>澳林春天</t>
  </si>
  <si>
    <t>13（-02）</t>
  </si>
  <si>
    <t>2012-3-14922-RA</t>
  </si>
  <si>
    <t>宁珅、杨岩</t>
  </si>
  <si>
    <t>林萃西里30号楼10层3-1002号</t>
  </si>
  <si>
    <t>13（-2）</t>
  </si>
  <si>
    <t>2013-3-02729-RA</t>
  </si>
  <si>
    <t>孟思</t>
  </si>
  <si>
    <t>林萃东路2号院7号楼8层2单元801号</t>
  </si>
  <si>
    <t>国奥村</t>
  </si>
  <si>
    <t>9（-1）</t>
  </si>
  <si>
    <t>2013-3-02367-RA</t>
  </si>
  <si>
    <t>张钧</t>
  </si>
  <si>
    <t>林萃东路2号院7号楼9层1单元901号</t>
  </si>
  <si>
    <t>2013-3-02365-RA</t>
  </si>
  <si>
    <t>郭具中</t>
  </si>
  <si>
    <t>林萃东路2号院7号楼2层2单元202号</t>
  </si>
  <si>
    <t>2013-3-02078-RB</t>
  </si>
  <si>
    <t>王柳青</t>
  </si>
  <si>
    <t>林萃东路2号院15号楼2层2单元202号</t>
  </si>
  <si>
    <t>2012-3-15661-RA</t>
  </si>
  <si>
    <t>杨宝青</t>
  </si>
  <si>
    <t>林萃东路1号院3号楼1层1单元101号</t>
  </si>
  <si>
    <t>2012-3-12504-RA</t>
  </si>
  <si>
    <t>于纳、武庆</t>
  </si>
  <si>
    <t>林萃东路1号院13号楼5层1单元501号</t>
  </si>
  <si>
    <t>史晓东</t>
  </si>
  <si>
    <t>2012-3-12401-RA</t>
  </si>
  <si>
    <t>王中华</t>
  </si>
  <si>
    <t>林萃东路2号院9号楼2层2单元202号</t>
  </si>
  <si>
    <t>2012-3-11382-RA</t>
  </si>
  <si>
    <t>周国允</t>
  </si>
  <si>
    <t>林萃东路2号院10号楼1层1单元102号</t>
  </si>
  <si>
    <t>06（-01）</t>
  </si>
  <si>
    <t>2012-3-05486-RA</t>
  </si>
  <si>
    <t>武力</t>
  </si>
  <si>
    <t>林萃东路1号院12号楼9层1单元901号</t>
  </si>
  <si>
    <t>2012-3-05185-RA</t>
  </si>
  <si>
    <t>邱宁</t>
  </si>
  <si>
    <t>林萃东路1号院4号楼4层3单元402号</t>
  </si>
  <si>
    <t>2012-3-04052-RA</t>
  </si>
  <si>
    <t>崔健</t>
  </si>
  <si>
    <t>林萃东路2号院5号楼6层1单元601号</t>
  </si>
  <si>
    <t>2012-3-03903-RA</t>
  </si>
  <si>
    <t>王雪莹</t>
  </si>
  <si>
    <t>林萃东路1号院22号楼2层2单元202号</t>
  </si>
  <si>
    <t>2012-3-03381-RA</t>
  </si>
  <si>
    <t>张琪</t>
  </si>
  <si>
    <t>林萃东路1号院3号楼8层2单元801号</t>
  </si>
  <si>
    <t>2012-3-03367-RA</t>
  </si>
  <si>
    <t>于海明</t>
  </si>
  <si>
    <t>林萃东路2号院5号楼4层2单元402号</t>
  </si>
  <si>
    <t>一般</t>
  </si>
  <si>
    <t>多层板楼</t>
  </si>
  <si>
    <t>多层板楼</t>
    <phoneticPr fontId="24" type="noConversion"/>
  </si>
  <si>
    <r>
      <t>10/18</t>
    </r>
    <r>
      <rPr>
        <sz val="11"/>
        <color indexed="8"/>
        <rFont val="宋体"/>
        <family val="3"/>
        <charset val="134"/>
      </rPr>
      <t>（中层）</t>
    </r>
    <phoneticPr fontId="24" type="noConversion"/>
  </si>
  <si>
    <r>
      <t>2/6</t>
    </r>
    <r>
      <rPr>
        <sz val="11"/>
        <color indexed="8"/>
        <rFont val="宋体"/>
        <family val="3"/>
        <charset val="134"/>
      </rPr>
      <t>（低层）</t>
    </r>
    <phoneticPr fontId="24" type="noConversion"/>
  </si>
  <si>
    <r>
      <t>5/6</t>
    </r>
    <r>
      <rPr>
        <sz val="11"/>
        <color indexed="8"/>
        <rFont val="宋体"/>
        <family val="3"/>
        <charset val="134"/>
      </rPr>
      <t>（高层）</t>
    </r>
    <phoneticPr fontId="24" type="noConversion"/>
  </si>
  <si>
    <r>
      <t>4/6</t>
    </r>
    <r>
      <rPr>
        <sz val="11"/>
        <color indexed="8"/>
        <rFont val="宋体"/>
        <family val="3"/>
        <charset val="134"/>
      </rPr>
      <t>（中层）</t>
    </r>
    <phoneticPr fontId="24" type="noConversion"/>
  </si>
  <si>
    <t>砖混</t>
    <phoneticPr fontId="24" type="noConversion"/>
  </si>
  <si>
    <t>毛坯</t>
  </si>
  <si>
    <t>毛坯</t>
    <phoneticPr fontId="24" type="noConversion"/>
  </si>
  <si>
    <t>倚林佳园19号楼5-202号</t>
    <phoneticPr fontId="134" type="noConversion"/>
  </si>
  <si>
    <t>2012-3-14810-RA</t>
    <phoneticPr fontId="134" type="noConversion"/>
  </si>
  <si>
    <t>2013-3-03150-RA</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</si>
</sst>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7"/>
      <color rgb="FF000000"/>
      <name val="Microsoft YaHei"/>
      <family val="2"/>
      <charset val="134"/>
    </font>
    <font>
      <sz val="7"/>
      <color rgb="FF333333"/>
      <name val="Microsoft YaHei"/>
      <family val="2"/>
      <charset val="134"/>
    </font>
    <font>
      <sz val="10"/>
      <color rgb="FF333333"/>
      <name val="Microsoft YaHei"/>
      <family val="2"/>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DFDC0"/>
        <bgColor indexed="64"/>
      </patternFill>
    </fill>
    <fill>
      <patternFill patternType="solid">
        <fgColor rgb="FFF7F7F7"/>
        <bgColor indexed="64"/>
      </patternFill>
    </fill>
    <fill>
      <patternFill patternType="solid">
        <fgColor rgb="FFEAF6FC"/>
        <bgColor indexed="64"/>
      </patternFill>
    </fill>
    <fill>
      <patternFill patternType="solid">
        <fgColor theme="9" tint="0.79998168889431442"/>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style="medium">
        <color rgb="FFCCCCCC"/>
      </bottom>
      <diagonal/>
    </border>
    <border>
      <left style="medium">
        <color rgb="FFCCCCCC"/>
      </left>
      <right style="medium">
        <color rgb="FFCCCCCC"/>
      </right>
      <top/>
      <bottom style="medium">
        <color rgb="FFCCCCCC"/>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4" fillId="9" borderId="24" xfId="0" applyNumberFormat="1" applyFont="1" applyFill="1" applyBorder="1" applyAlignment="1" applyProtection="1">
      <alignment horizontal="center" vertical="center" wrapText="1"/>
    </xf>
    <xf numFmtId="9" fontId="44" fillId="9" borderId="37" xfId="0" applyNumberFormat="1" applyFont="1" applyFill="1" applyBorder="1" applyAlignment="1" applyProtection="1">
      <alignment horizontal="center" vertical="center" wrapText="1"/>
      <protection locked="0"/>
    </xf>
    <xf numFmtId="0" fontId="44" fillId="9" borderId="5" xfId="0" applyNumberFormat="1" applyFont="1" applyFill="1" applyBorder="1" applyAlignment="1" applyProtection="1">
      <alignment horizontal="center" vertical="center" wrapText="1"/>
    </xf>
    <xf numFmtId="9" fontId="44" fillId="9" borderId="23" xfId="0" applyNumberFormat="1" applyFont="1" applyFill="1" applyBorder="1" applyAlignment="1" applyProtection="1">
      <alignment horizontal="center" vertical="center" wrapText="1"/>
      <protection locked="0"/>
    </xf>
    <xf numFmtId="9" fontId="44" fillId="9" borderId="3" xfId="0" applyNumberFormat="1" applyFont="1" applyFill="1" applyBorder="1" applyAlignment="1" applyProtection="1">
      <alignment horizontal="center" vertical="center" wrapText="1"/>
      <protection locked="0"/>
    </xf>
    <xf numFmtId="0" fontId="269" fillId="22" borderId="176" xfId="0" applyFont="1" applyFill="1" applyBorder="1" applyAlignment="1">
      <alignment horizontal="center" vertical="center" wrapText="1"/>
    </xf>
    <xf numFmtId="0" fontId="270" fillId="12" borderId="177" xfId="0" applyFont="1" applyFill="1" applyBorder="1" applyAlignment="1">
      <alignment horizontal="center" vertical="center" wrapText="1"/>
    </xf>
    <xf numFmtId="0" fontId="271" fillId="12" borderId="177" xfId="0" applyFont="1" applyFill="1" applyBorder="1" applyAlignment="1">
      <alignment horizontal="center" vertical="center" wrapText="1"/>
    </xf>
    <xf numFmtId="14" fontId="270" fillId="12" borderId="177" xfId="0" applyNumberFormat="1" applyFont="1" applyFill="1" applyBorder="1" applyAlignment="1">
      <alignment horizontal="center" vertical="center" wrapText="1"/>
    </xf>
    <xf numFmtId="0" fontId="270" fillId="23" borderId="177" xfId="0" applyFont="1" applyFill="1" applyBorder="1" applyAlignment="1">
      <alignment horizontal="center" vertical="center" wrapText="1"/>
    </xf>
    <xf numFmtId="0" fontId="271" fillId="23" borderId="177" xfId="0" applyFont="1" applyFill="1" applyBorder="1" applyAlignment="1">
      <alignment horizontal="center" vertical="center" wrapText="1"/>
    </xf>
    <xf numFmtId="14" fontId="270" fillId="23" borderId="177" xfId="0" applyNumberFormat="1" applyFont="1" applyFill="1" applyBorder="1" applyAlignment="1">
      <alignment horizontal="center" vertical="center" wrapText="1"/>
    </xf>
    <xf numFmtId="58" fontId="270" fillId="12" borderId="177" xfId="0" applyNumberFormat="1" applyFont="1" applyFill="1" applyBorder="1" applyAlignment="1">
      <alignment horizontal="center" vertical="center" wrapText="1"/>
    </xf>
    <xf numFmtId="0" fontId="270" fillId="24" borderId="177" xfId="0" applyFont="1" applyFill="1" applyBorder="1" applyAlignment="1">
      <alignment horizontal="center" vertical="center" wrapText="1"/>
    </xf>
    <xf numFmtId="0" fontId="271" fillId="24" borderId="177" xfId="0" applyFont="1" applyFill="1" applyBorder="1" applyAlignment="1">
      <alignment horizontal="center" vertical="center" wrapText="1"/>
    </xf>
    <xf numFmtId="14" fontId="270" fillId="24" borderId="177" xfId="0" applyNumberFormat="1" applyFont="1" applyFill="1" applyBorder="1" applyAlignment="1">
      <alignment horizontal="center" vertical="center" wrapText="1"/>
    </xf>
    <xf numFmtId="0" fontId="270" fillId="12" borderId="176" xfId="0" applyFont="1" applyFill="1" applyBorder="1" applyAlignment="1">
      <alignment horizontal="center" vertical="center" wrapText="1"/>
    </xf>
    <xf numFmtId="0" fontId="271" fillId="12" borderId="176" xfId="0" applyFont="1" applyFill="1" applyBorder="1" applyAlignment="1">
      <alignment horizontal="center" vertical="center" wrapText="1"/>
    </xf>
    <xf numFmtId="14" fontId="270" fillId="12" borderId="176" xfId="0" applyNumberFormat="1" applyFont="1" applyFill="1" applyBorder="1" applyAlignment="1">
      <alignment horizontal="center" vertical="center" wrapText="1"/>
    </xf>
    <xf numFmtId="0" fontId="270" fillId="23" borderId="176" xfId="0" applyFont="1" applyFill="1" applyBorder="1" applyAlignment="1">
      <alignment horizontal="center" vertical="center" wrapText="1"/>
    </xf>
    <xf numFmtId="0" fontId="271" fillId="23" borderId="176" xfId="0" applyFont="1" applyFill="1" applyBorder="1" applyAlignment="1">
      <alignment horizontal="center" vertical="center" wrapText="1"/>
    </xf>
    <xf numFmtId="14" fontId="270" fillId="23" borderId="176" xfId="0" applyNumberFormat="1" applyFont="1" applyFill="1" applyBorder="1" applyAlignment="1">
      <alignment horizontal="center" vertical="center" wrapText="1"/>
    </xf>
    <xf numFmtId="0" fontId="270" fillId="25" borderId="177" xfId="0" applyFont="1" applyFill="1" applyBorder="1" applyAlignment="1">
      <alignment horizontal="center" vertical="center" wrapText="1"/>
    </xf>
    <xf numFmtId="0" fontId="271" fillId="25" borderId="177" xfId="0" applyFont="1" applyFill="1" applyBorder="1" applyAlignment="1">
      <alignment horizontal="center" vertical="center" wrapText="1"/>
    </xf>
    <xf numFmtId="14" fontId="270" fillId="25" borderId="177" xfId="0" applyNumberFormat="1" applyFont="1" applyFill="1" applyBorder="1" applyAlignment="1">
      <alignment horizontal="center" vertical="center" wrapText="1"/>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ill>
        <patternFill patternType="solid">
          <fgColor rgb="FFFDE9D9"/>
          <bgColor rgb="FF00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31</xdr:row>
      <xdr:rowOff>137160</xdr:rowOff>
    </xdr:from>
    <xdr:to>
      <xdr:col>3</xdr:col>
      <xdr:colOff>571500</xdr:colOff>
      <xdr:row>64</xdr:row>
      <xdr:rowOff>176543</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508760"/>
          <a:ext cx="2400300" cy="607442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8212;&#8212;&#22522;&#20934;&#22320;&#20215;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地价（废）"/>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18">
          <cell r="C18">
            <v>9081</v>
          </cell>
        </row>
      </sheetData>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估价对象为北京市房地产，为所有。根据《国有土地使用证》[]，估价对象（分摊）出让国有建设用地使用权面积为0平方米，建筑面积为275.65平方米。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估价对象为北京市房地产,属开发建设的，该项目尚在开发建设中。根据《国有土地使用证》[]，估价对象（分摊）出让国有建设用地使用权面积为0平方米，规划建筑面积为275.65平方米。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2013年3月23日</v>
      </c>
    </row>
    <row r="13" spans="1:2" s="1203" customFormat="1">
      <c r="A13" s="1201" t="s">
        <v>529</v>
      </c>
      <c r="B13" s="1202" t="str">
        <f>'预评函-1'!A18</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6.2" thickBot="1">
      <c r="A18" s="1204" t="s">
        <v>534</v>
      </c>
      <c r="B18" s="1205" t="str">
        <f>'预评函-1'!A24</f>
        <v>本次评估采用的主估价方法为比较法和成本法。</v>
      </c>
    </row>
    <row r="19" spans="1:2" s="1200" customFormat="1" ht="16.2"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ht="31.2">
      <c r="A42" s="1201" t="s">
        <v>590</v>
      </c>
      <c r="B42" s="1202" t="str">
        <f>'预评函-3'!B2</f>
        <v>建筑面积</v>
      </c>
    </row>
    <row r="43" spans="1:2" s="1203" customFormat="1">
      <c r="A43" s="1201" t="s">
        <v>591</v>
      </c>
      <c r="B43" s="1202">
        <f>'预评函-3'!B4</f>
        <v>275.64999999999998</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
      </c>
    </row>
    <row r="58" spans="1:2" s="1200" customFormat="1" ht="16.2"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2578</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2579</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2013年3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1"/>
      <c r="B54" s="1554" t="s">
        <v>385</v>
      </c>
      <c r="C54" s="1551" t="s">
        <v>583</v>
      </c>
    </row>
    <row r="55" spans="1:4">
      <c r="A55" s="3521"/>
      <c r="B55" s="1554" t="s">
        <v>386</v>
      </c>
      <c r="C55" s="1551" t="s">
        <v>584</v>
      </c>
    </row>
    <row r="56" spans="1:4">
      <c r="A56" s="3521"/>
      <c r="B56" s="1554" t="s">
        <v>387</v>
      </c>
      <c r="C56" s="1551" t="s">
        <v>588</v>
      </c>
    </row>
    <row r="57" spans="1:4">
      <c r="A57" s="352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6"/>
    <col min="8" max="8" width="5.44140625" style="3016" customWidth="1"/>
    <col min="9" max="13" width="9.44140625" style="3058" customWidth="1"/>
    <col min="14" max="18" width="9.44140625" style="3016" customWidth="1"/>
    <col min="19" max="16384" width="15.21875" style="3016"/>
  </cols>
  <sheetData>
    <row r="1" spans="1:18">
      <c r="A1" s="3013" t="s">
        <v>2501</v>
      </c>
      <c r="B1" s="3014"/>
      <c r="C1" s="3014"/>
      <c r="D1" s="3014"/>
      <c r="E1" s="3014"/>
      <c r="F1" s="3015"/>
      <c r="I1" s="3437" t="s">
        <v>2594</v>
      </c>
      <c r="J1" s="3226"/>
      <c r="K1" s="3226"/>
      <c r="L1" s="3226"/>
      <c r="M1" s="3226"/>
      <c r="N1" s="3438"/>
      <c r="O1" s="3438"/>
      <c r="P1" s="3438"/>
      <c r="Q1" s="3438"/>
      <c r="R1" s="3438"/>
    </row>
    <row r="2" spans="1:18">
      <c r="A2" s="3017"/>
      <c r="B2" s="3018"/>
      <c r="C2" s="3018"/>
      <c r="D2" s="3018"/>
      <c r="E2" s="3018"/>
      <c r="F2" s="3019"/>
      <c r="I2" s="3522" t="s">
        <v>2581</v>
      </c>
      <c r="J2" s="3522"/>
      <c r="K2" s="3522"/>
      <c r="L2" s="3522"/>
      <c r="M2" s="3522"/>
      <c r="N2" s="3522"/>
      <c r="O2" s="3522"/>
      <c r="P2" s="3522"/>
      <c r="Q2" s="3522"/>
      <c r="R2" s="3522"/>
    </row>
    <row r="3" spans="1:18">
      <c r="A3" s="3020" t="s">
        <v>2502</v>
      </c>
      <c r="B3" s="3021">
        <f>项目基本情况!D3</f>
        <v>41356</v>
      </c>
      <c r="C3" s="3023"/>
      <c r="D3" s="3023"/>
      <c r="E3" s="3023"/>
      <c r="F3" s="3019"/>
      <c r="I3" s="3439"/>
      <c r="J3" s="3439" t="s">
        <v>2585</v>
      </c>
      <c r="K3" s="3439" t="s">
        <v>2586</v>
      </c>
      <c r="L3" s="3439" t="s">
        <v>2587</v>
      </c>
      <c r="M3" s="3439" t="s">
        <v>2588</v>
      </c>
      <c r="N3" s="3440" t="s">
        <v>2589</v>
      </c>
      <c r="O3" s="3440" t="s">
        <v>2590</v>
      </c>
      <c r="P3" s="3440" t="s">
        <v>2591</v>
      </c>
      <c r="Q3" s="3440" t="s">
        <v>2592</v>
      </c>
      <c r="R3" s="3440" t="s">
        <v>2593</v>
      </c>
    </row>
    <row r="4" spans="1:18">
      <c r="A4" s="3020" t="s">
        <v>2503</v>
      </c>
      <c r="B4" s="3023" t="s">
        <v>2504</v>
      </c>
      <c r="C4" s="3023" t="s">
        <v>2505</v>
      </c>
      <c r="D4" s="3023" t="s">
        <v>2506</v>
      </c>
      <c r="E4" s="3023" t="s">
        <v>2507</v>
      </c>
      <c r="F4" s="3019"/>
      <c r="I4" s="3439" t="s">
        <v>2582</v>
      </c>
      <c r="J4" s="3439">
        <v>80</v>
      </c>
      <c r="K4" s="3439">
        <v>70</v>
      </c>
      <c r="L4" s="3439">
        <v>20</v>
      </c>
      <c r="M4" s="3439">
        <v>30</v>
      </c>
      <c r="N4" s="3023">
        <v>45</v>
      </c>
      <c r="O4" s="3023">
        <v>60</v>
      </c>
      <c r="P4" s="3023">
        <v>50</v>
      </c>
      <c r="Q4" s="3023">
        <v>20</v>
      </c>
      <c r="R4" s="3023">
        <v>375</v>
      </c>
    </row>
    <row r="5" spans="1:18">
      <c r="A5" s="3024">
        <v>40</v>
      </c>
      <c r="B5" s="3021">
        <v>46375</v>
      </c>
      <c r="C5" s="3023">
        <f>ROUNDDOWN(MIN((B5-B3)/365,A5),2)</f>
        <v>13.75</v>
      </c>
      <c r="D5" s="3025">
        <f>IF(ISERROR(ROUND(POWER(1+E5,A5-C5)*(POWER(1+E5,C5)-1)/(POWER(1+E5,A5)-1),3)),0,ROUND(POWER(1+E5,A5-C5)*(POWER(1+E5,C5)-1)/(POWER(1+E5,A5)-1),4))</f>
        <v>0.52649999999999997</v>
      </c>
      <c r="E5" s="3026">
        <v>0.04</v>
      </c>
      <c r="F5" s="3019"/>
      <c r="I5" s="3439" t="s">
        <v>2583</v>
      </c>
      <c r="J5" s="3439">
        <v>70</v>
      </c>
      <c r="K5" s="3439">
        <v>60</v>
      </c>
      <c r="L5" s="3439">
        <v>15</v>
      </c>
      <c r="M5" s="3439">
        <v>25</v>
      </c>
      <c r="N5" s="3023">
        <v>40</v>
      </c>
      <c r="O5" s="3023">
        <v>50</v>
      </c>
      <c r="P5" s="3023">
        <v>40</v>
      </c>
      <c r="Q5" s="3023">
        <v>15</v>
      </c>
      <c r="R5" s="3023">
        <v>315</v>
      </c>
    </row>
    <row r="6" spans="1:18">
      <c r="A6" s="3024">
        <v>50</v>
      </c>
      <c r="B6" s="3021">
        <v>50028</v>
      </c>
      <c r="C6" s="3023">
        <f>ROUNDDOWN(MIN((B6-B3)/365,A6),2)</f>
        <v>23.75</v>
      </c>
      <c r="D6" s="3025">
        <f>IF(ISERROR(ROUND(POWER(1+E6,A6-C6)*(POWER(1+E6,C6)-1)/(POWER(1+E6,A6)-1),3)),0,ROUND(POWER(1+E6,A6-C6)*(POWER(1+E6,C6)-1)/(POWER(1+E6,A6)-1),4))</f>
        <v>0.70530000000000004</v>
      </c>
      <c r="E6" s="3026">
        <v>0.04</v>
      </c>
      <c r="F6" s="3019"/>
      <c r="I6" s="3439" t="s">
        <v>2584</v>
      </c>
      <c r="J6" s="3439">
        <v>60</v>
      </c>
      <c r="K6" s="3439">
        <v>50</v>
      </c>
      <c r="L6" s="3439">
        <v>10</v>
      </c>
      <c r="M6" s="3439">
        <v>20</v>
      </c>
      <c r="N6" s="3023">
        <v>35</v>
      </c>
      <c r="O6" s="3023">
        <v>40</v>
      </c>
      <c r="P6" s="3023">
        <v>30</v>
      </c>
      <c r="Q6" s="3023">
        <v>10</v>
      </c>
      <c r="R6" s="3023">
        <v>255</v>
      </c>
    </row>
    <row r="7" spans="1:18">
      <c r="A7" s="3024">
        <v>70</v>
      </c>
      <c r="B7" s="3021">
        <v>57333</v>
      </c>
      <c r="C7" s="3023">
        <f>ROUNDDOWN(MIN((B7-B3)/365,A7),2)</f>
        <v>43.77</v>
      </c>
      <c r="D7" s="3025">
        <f>IF(ISERROR(ROUND(POWER(1+E7,A7-C7)*(POWER(1+E7,C7)-1)/(POWER(1+E7,A7)-1),3)),0,ROUND(POWER(1+E7,A7-C7)*(POWER(1+E7,C7)-1)/(POWER(1+E7,A7)-1),4))</f>
        <v>0.87660000000000005</v>
      </c>
      <c r="E7" s="3026">
        <v>0.04</v>
      </c>
      <c r="F7" s="3019"/>
    </row>
    <row r="8" spans="1:18">
      <c r="A8" s="3017"/>
      <c r="B8" s="3018"/>
      <c r="C8" s="3018"/>
      <c r="D8" s="3018"/>
      <c r="E8" s="3018"/>
      <c r="F8" s="3019"/>
    </row>
    <row r="9" spans="1:18">
      <c r="A9" s="3020" t="s">
        <v>2508</v>
      </c>
      <c r="B9" s="3023"/>
      <c r="C9" s="3023"/>
      <c r="D9" s="3023"/>
      <c r="E9" s="3023"/>
      <c r="F9" s="3027"/>
    </row>
    <row r="10" spans="1:18">
      <c r="A10" s="3020" t="s">
        <v>2509</v>
      </c>
      <c r="B10" s="3023"/>
      <c r="C10" s="3023"/>
      <c r="D10" s="3023" t="s">
        <v>2507</v>
      </c>
      <c r="E10" s="3023"/>
      <c r="F10" s="3027" t="s">
        <v>2506</v>
      </c>
    </row>
    <row r="11" spans="1:18">
      <c r="A11" s="3020" t="s">
        <v>2510</v>
      </c>
      <c r="B11" s="3028">
        <v>70</v>
      </c>
      <c r="C11" s="3023" t="s">
        <v>2511</v>
      </c>
      <c r="D11" s="3029">
        <v>4.4999999999999998E-2</v>
      </c>
      <c r="E11" s="3023" t="s">
        <v>2512</v>
      </c>
      <c r="F11" s="3030">
        <f>ROUND(1-(1/(POWER(1+D11,B11))),4)</f>
        <v>0.95409999999999995</v>
      </c>
    </row>
    <row r="12" spans="1:18">
      <c r="A12" s="3020" t="s">
        <v>2513</v>
      </c>
      <c r="B12" s="3028">
        <v>40</v>
      </c>
      <c r="C12" s="3023" t="s">
        <v>2514</v>
      </c>
      <c r="D12" s="3029">
        <v>4.4999999999999998E-2</v>
      </c>
      <c r="E12" s="3023" t="s">
        <v>2515</v>
      </c>
      <c r="F12" s="3030">
        <f>ROUND(1-(1/(POWER(1+D12,B12))),4)</f>
        <v>0.82809999999999995</v>
      </c>
    </row>
    <row r="13" spans="1:18">
      <c r="A13" s="3020" t="s">
        <v>2516</v>
      </c>
      <c r="B13" s="3023"/>
      <c r="C13" s="3023"/>
      <c r="D13" s="3018"/>
      <c r="E13" s="3018"/>
      <c r="F13" s="3019"/>
    </row>
    <row r="14" spans="1:18">
      <c r="A14" s="3020" t="s">
        <v>2517</v>
      </c>
      <c r="B14" s="3028">
        <v>5000</v>
      </c>
      <c r="C14" s="3022"/>
      <c r="D14" s="3018"/>
      <c r="E14" s="3018"/>
      <c r="F14" s="3019"/>
    </row>
    <row r="15" spans="1:18">
      <c r="A15" s="3020" t="s">
        <v>2518</v>
      </c>
      <c r="B15" s="3023">
        <f>ROUND(B14*F12/F11,2)</f>
        <v>4339.6899999999996</v>
      </c>
      <c r="C15" s="3023">
        <f>ROUND(F12/F11,4)</f>
        <v>0.8679</v>
      </c>
      <c r="D15" s="3018"/>
      <c r="E15" s="3018"/>
      <c r="F15" s="3019"/>
    </row>
    <row r="16" spans="1:18">
      <c r="A16" s="3020" t="s">
        <v>2519</v>
      </c>
      <c r="B16" s="3023"/>
      <c r="C16" s="3023"/>
      <c r="D16" s="3018"/>
      <c r="E16" s="3018"/>
      <c r="F16" s="3019"/>
    </row>
    <row r="17" spans="1:13">
      <c r="A17" s="3020" t="s">
        <v>2518</v>
      </c>
      <c r="B17" s="3029">
        <v>4810</v>
      </c>
      <c r="C17" s="3022"/>
      <c r="D17" s="3018"/>
      <c r="E17" s="3018"/>
      <c r="F17" s="3019"/>
    </row>
    <row r="18" spans="1:13" ht="15" thickBot="1">
      <c r="A18" s="3031" t="s">
        <v>2517</v>
      </c>
      <c r="B18" s="3032">
        <f>ROUND(B17*F11/F12,2)</f>
        <v>5541.87</v>
      </c>
      <c r="C18" s="3032">
        <f>ROUND(F11/F12,4)</f>
        <v>1.1521999999999999</v>
      </c>
      <c r="D18" s="3033"/>
      <c r="E18" s="3033"/>
      <c r="F18" s="3034"/>
    </row>
    <row r="19" spans="1:13" ht="15" thickBot="1"/>
    <row r="20" spans="1:13" s="3069" customFormat="1" ht="15" thickTop="1">
      <c r="A20" s="3066" t="s">
        <v>2520</v>
      </c>
      <c r="B20" s="3067"/>
      <c r="C20" s="3067"/>
      <c r="D20" s="3067"/>
      <c r="E20" s="3067"/>
      <c r="F20" s="3067"/>
      <c r="G20" s="3068"/>
      <c r="I20" s="3070" t="s">
        <v>2565</v>
      </c>
      <c r="J20" s="3070" t="s">
        <v>2570</v>
      </c>
      <c r="K20" s="3070"/>
      <c r="L20" s="3070"/>
      <c r="M20" s="3070"/>
    </row>
    <row r="21" spans="1:13">
      <c r="A21" s="3035"/>
      <c r="B21" s="3036" t="s">
        <v>2521</v>
      </c>
      <c r="C21" s="3036" t="s">
        <v>2522</v>
      </c>
      <c r="D21" s="3036" t="s">
        <v>2523</v>
      </c>
      <c r="E21" s="3036" t="s">
        <v>2524</v>
      </c>
      <c r="F21" s="3036" t="s">
        <v>2525</v>
      </c>
      <c r="G21" s="3037" t="s">
        <v>2526</v>
      </c>
      <c r="I21" s="3058">
        <v>5</v>
      </c>
      <c r="J21" s="3058">
        <v>54.2</v>
      </c>
    </row>
    <row r="22" spans="1:13">
      <c r="A22" s="3035" t="s">
        <v>2527</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2528</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2568</v>
      </c>
      <c r="M23" s="3058" t="s">
        <v>2569</v>
      </c>
    </row>
    <row r="24" spans="1:13">
      <c r="A24" s="3035" t="s">
        <v>2529</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2567</v>
      </c>
      <c r="M24" s="3058">
        <v>10</v>
      </c>
    </row>
    <row r="25" spans="1:13">
      <c r="A25" s="3035" t="s">
        <v>2530</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2571</v>
      </c>
      <c r="M25" s="3058">
        <v>8</v>
      </c>
    </row>
    <row r="26" spans="1:13">
      <c r="A26" s="3040"/>
      <c r="B26" s="3041"/>
      <c r="C26" s="3041"/>
      <c r="D26" s="3041"/>
      <c r="E26" s="3041"/>
      <c r="F26" s="3041"/>
      <c r="G26" s="3042"/>
      <c r="I26" s="3058">
        <v>30</v>
      </c>
      <c r="J26" s="3058">
        <v>90.5</v>
      </c>
      <c r="K26" s="3058">
        <f t="shared" si="2"/>
        <v>4.2000000000000028</v>
      </c>
      <c r="L26" s="3058" t="s">
        <v>2572</v>
      </c>
      <c r="M26" s="3058">
        <v>5</v>
      </c>
    </row>
    <row r="27" spans="1:13">
      <c r="A27" s="3040" t="s">
        <v>2531</v>
      </c>
      <c r="B27" s="3041"/>
      <c r="C27" s="3041"/>
      <c r="D27" s="3041"/>
      <c r="E27" s="3041"/>
      <c r="F27" s="3041"/>
      <c r="G27" s="3042"/>
      <c r="I27" s="3058">
        <v>35</v>
      </c>
      <c r="J27" s="3058">
        <v>93.8</v>
      </c>
      <c r="K27" s="3058">
        <f t="shared" si="2"/>
        <v>3.2999999999999972</v>
      </c>
      <c r="L27" s="3058" t="s">
        <v>2573</v>
      </c>
      <c r="M27" s="3058">
        <v>3</v>
      </c>
    </row>
    <row r="28" spans="1:13">
      <c r="A28" s="3040" t="s">
        <v>2532</v>
      </c>
      <c r="B28" s="3041"/>
      <c r="C28" s="3041"/>
      <c r="D28" s="3041"/>
      <c r="E28" s="3041"/>
      <c r="F28" s="3041"/>
      <c r="G28" s="3042"/>
      <c r="I28" s="3058">
        <v>40</v>
      </c>
      <c r="J28" s="3058">
        <v>96.4</v>
      </c>
      <c r="K28" s="3058">
        <f t="shared" si="2"/>
        <v>2.6000000000000085</v>
      </c>
      <c r="L28" s="3058" t="s">
        <v>2574</v>
      </c>
      <c r="M28" s="3058">
        <v>2</v>
      </c>
    </row>
    <row r="29" spans="1:13">
      <c r="A29" s="3040" t="s">
        <v>2533</v>
      </c>
      <c r="B29" s="3041"/>
      <c r="C29" s="3041"/>
      <c r="D29" s="3041"/>
      <c r="E29" s="3041"/>
      <c r="F29" s="3041"/>
      <c r="G29" s="3042"/>
      <c r="I29" s="3058">
        <v>45</v>
      </c>
      <c r="J29" s="3058">
        <v>98.4</v>
      </c>
      <c r="K29" s="3058">
        <f t="shared" si="2"/>
        <v>2</v>
      </c>
    </row>
    <row r="30" spans="1:13">
      <c r="A30" s="3040" t="s">
        <v>2534</v>
      </c>
      <c r="B30" s="3041"/>
      <c r="C30" s="3041"/>
      <c r="D30" s="3041"/>
      <c r="E30" s="3041"/>
      <c r="F30" s="3041"/>
      <c r="G30" s="3042"/>
      <c r="I30" s="3058">
        <v>50</v>
      </c>
      <c r="J30" s="3058">
        <v>100</v>
      </c>
      <c r="K30" s="3058">
        <f t="shared" si="2"/>
        <v>1.5999999999999943</v>
      </c>
    </row>
    <row r="31" spans="1:13">
      <c r="A31" s="3040" t="s">
        <v>2535</v>
      </c>
      <c r="B31" s="3041"/>
      <c r="C31" s="3041"/>
      <c r="D31" s="3041"/>
      <c r="E31" s="3041"/>
      <c r="F31" s="3041"/>
      <c r="G31" s="3042"/>
      <c r="I31" s="3058" t="s">
        <v>2566</v>
      </c>
    </row>
    <row r="32" spans="1:13">
      <c r="A32" s="3040" t="s">
        <v>2536</v>
      </c>
      <c r="B32" s="3041"/>
      <c r="C32" s="3041"/>
      <c r="D32" s="3041"/>
      <c r="E32" s="3041"/>
      <c r="F32" s="3041"/>
      <c r="G32" s="3042"/>
    </row>
    <row r="33" spans="1:13">
      <c r="A33" s="3040" t="s">
        <v>2537</v>
      </c>
      <c r="B33" s="3041"/>
      <c r="C33" s="3041"/>
      <c r="D33" s="3041"/>
      <c r="E33" s="3041"/>
      <c r="F33" s="3041"/>
      <c r="G33" s="3042"/>
      <c r="I33" s="3058" t="s">
        <v>2565</v>
      </c>
      <c r="J33" s="3058" t="s">
        <v>2575</v>
      </c>
    </row>
    <row r="34" spans="1:13">
      <c r="A34" s="3040" t="s">
        <v>2538</v>
      </c>
      <c r="B34" s="3041"/>
      <c r="C34" s="3041"/>
      <c r="D34" s="3041"/>
      <c r="E34" s="3041"/>
      <c r="F34" s="3041"/>
      <c r="G34" s="3042"/>
      <c r="I34" s="3058">
        <v>5</v>
      </c>
      <c r="J34" s="3058">
        <v>55.1</v>
      </c>
    </row>
    <row r="35" spans="1:13">
      <c r="A35" s="3040" t="s">
        <v>2539</v>
      </c>
      <c r="B35" s="3041"/>
      <c r="C35" s="3041"/>
      <c r="D35" s="3041"/>
      <c r="E35" s="3041"/>
      <c r="F35" s="3041"/>
      <c r="G35" s="3042"/>
      <c r="I35" s="3058">
        <v>10</v>
      </c>
      <c r="J35" s="3058">
        <v>67</v>
      </c>
      <c r="K35" s="3058">
        <f>J35-J34</f>
        <v>11.899999999999999</v>
      </c>
    </row>
    <row r="36" spans="1:13">
      <c r="A36" s="3040" t="s">
        <v>2540</v>
      </c>
      <c r="B36" s="3041"/>
      <c r="C36" s="3041"/>
      <c r="D36" s="3041"/>
      <c r="E36" s="3041"/>
      <c r="F36" s="3041"/>
      <c r="G36" s="3042"/>
      <c r="I36" s="3058">
        <v>15</v>
      </c>
      <c r="J36" s="3058">
        <v>76.3</v>
      </c>
      <c r="K36" s="3058">
        <f t="shared" ref="K36:K41" si="3">J36-J35</f>
        <v>9.2999999999999972</v>
      </c>
      <c r="L36" s="3058" t="s">
        <v>2568</v>
      </c>
      <c r="M36" s="3058" t="s">
        <v>2569</v>
      </c>
    </row>
    <row r="37" spans="1:13">
      <c r="A37" s="3040" t="s">
        <v>2541</v>
      </c>
      <c r="B37" s="3041"/>
      <c r="C37" s="3041"/>
      <c r="D37" s="3041"/>
      <c r="E37" s="3041"/>
      <c r="F37" s="3041"/>
      <c r="G37" s="3042"/>
      <c r="I37" s="3058">
        <v>20</v>
      </c>
      <c r="J37" s="3058">
        <v>83.6</v>
      </c>
      <c r="K37" s="3058">
        <f t="shared" si="3"/>
        <v>7.2999999999999972</v>
      </c>
      <c r="L37" s="3058" t="s">
        <v>2567</v>
      </c>
      <c r="M37" s="3058">
        <v>10</v>
      </c>
    </row>
    <row r="38" spans="1:13">
      <c r="A38" s="3040" t="s">
        <v>2542</v>
      </c>
      <c r="B38" s="3041"/>
      <c r="C38" s="3041"/>
      <c r="D38" s="3041"/>
      <c r="E38" s="3041"/>
      <c r="F38" s="3041"/>
      <c r="G38" s="3042"/>
      <c r="I38" s="3058">
        <v>25</v>
      </c>
      <c r="J38" s="3058">
        <v>89.3</v>
      </c>
      <c r="K38" s="3058">
        <f t="shared" si="3"/>
        <v>5.7000000000000028</v>
      </c>
      <c r="L38" s="3058" t="s">
        <v>2571</v>
      </c>
      <c r="M38" s="3058">
        <v>8</v>
      </c>
    </row>
    <row r="39" spans="1:13">
      <c r="A39" s="3040"/>
      <c r="B39" s="3041"/>
      <c r="C39" s="3041"/>
      <c r="D39" s="3041"/>
      <c r="E39" s="3041"/>
      <c r="F39" s="3041"/>
      <c r="G39" s="3042"/>
      <c r="I39" s="3058">
        <v>30</v>
      </c>
      <c r="J39" s="3058">
        <v>93.8</v>
      </c>
      <c r="K39" s="3058">
        <f t="shared" si="3"/>
        <v>4.5</v>
      </c>
      <c r="L39" s="3058" t="s">
        <v>2572</v>
      </c>
      <c r="M39" s="3058">
        <v>6</v>
      </c>
    </row>
    <row r="40" spans="1:13">
      <c r="A40" s="3043" t="s">
        <v>2543</v>
      </c>
      <c r="B40" s="3044"/>
      <c r="C40" s="3044"/>
      <c r="D40" s="3044"/>
      <c r="E40" s="3044"/>
      <c r="F40" s="3044"/>
      <c r="G40" s="3045"/>
      <c r="I40" s="3058">
        <v>35</v>
      </c>
      <c r="J40" s="3058">
        <v>97.2</v>
      </c>
      <c r="K40" s="3058">
        <f t="shared" si="3"/>
        <v>3.4000000000000057</v>
      </c>
      <c r="L40" s="3058" t="s">
        <v>2573</v>
      </c>
      <c r="M40" s="3058">
        <v>3</v>
      </c>
    </row>
    <row r="41" spans="1:13">
      <c r="A41" s="3046" t="s">
        <v>2544</v>
      </c>
      <c r="B41" s="3047" t="s">
        <v>2545</v>
      </c>
      <c r="C41" s="3048" t="s">
        <v>2546</v>
      </c>
      <c r="D41" s="3048" t="s">
        <v>2547</v>
      </c>
      <c r="E41" s="3049"/>
      <c r="F41" s="3050"/>
      <c r="G41" s="3051"/>
      <c r="I41" s="3058">
        <v>40</v>
      </c>
      <c r="J41" s="3058">
        <v>100</v>
      </c>
      <c r="K41" s="3058">
        <f t="shared" si="3"/>
        <v>2.7999999999999972</v>
      </c>
    </row>
    <row r="42" spans="1:13">
      <c r="A42" s="3046" t="s">
        <v>2548</v>
      </c>
      <c r="B42" s="3047" t="s">
        <v>2549</v>
      </c>
      <c r="C42" s="3048" t="s">
        <v>2550</v>
      </c>
      <c r="D42" s="3052" t="s">
        <v>2551</v>
      </c>
      <c r="E42" s="3044" t="s">
        <v>2552</v>
      </c>
      <c r="F42" s="3044"/>
      <c r="G42" s="3045"/>
    </row>
    <row r="43" spans="1:13">
      <c r="A43" s="3046" t="s">
        <v>2553</v>
      </c>
      <c r="B43" s="3047" t="s">
        <v>2554</v>
      </c>
      <c r="C43" s="3048" t="s">
        <v>2555</v>
      </c>
      <c r="D43" s="3048" t="s">
        <v>2556</v>
      </c>
      <c r="E43" s="3049" t="s">
        <v>2557</v>
      </c>
      <c r="F43" s="3050"/>
      <c r="G43" s="3051"/>
      <c r="I43" s="3058" t="s">
        <v>2565</v>
      </c>
      <c r="J43" s="3058" t="s">
        <v>2576</v>
      </c>
    </row>
    <row r="44" spans="1:13">
      <c r="A44" s="3046" t="s">
        <v>2558</v>
      </c>
      <c r="B44" s="3047" t="s">
        <v>2559</v>
      </c>
      <c r="C44" s="3048" t="s">
        <v>2560</v>
      </c>
      <c r="D44" s="3052">
        <v>0.5</v>
      </c>
      <c r="E44" s="3049" t="s">
        <v>2561</v>
      </c>
      <c r="F44" s="3050"/>
      <c r="G44" s="3051"/>
      <c r="I44" s="3058">
        <v>30</v>
      </c>
      <c r="J44" s="3058">
        <v>81.7</v>
      </c>
    </row>
    <row r="45" spans="1:13" ht="15" thickBot="1">
      <c r="A45" s="3053" t="s">
        <v>2562</v>
      </c>
      <c r="B45" s="3054" t="s">
        <v>2549</v>
      </c>
      <c r="C45" s="3055" t="s">
        <v>2549</v>
      </c>
      <c r="D45" s="3055" t="s">
        <v>2563</v>
      </c>
      <c r="E45" s="3056" t="s">
        <v>2564</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13" sqref="C13"/>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531" t="str">
        <f>IF(B10="北京市","北京市",C10)&amp;F10&amp;IF(结果表!G1="在建","出让国有建设用地使用权及在建建筑物",IF(结果表!G1="土地","出让国有建设用地使用权",))&amp;B9&amp;"预评估"</f>
        <v>北京市房地产市场价值预评估</v>
      </c>
      <c r="C1" s="3532"/>
      <c r="D1" s="3532"/>
      <c r="E1" s="3532"/>
      <c r="F1" s="3532"/>
      <c r="G1" s="3532"/>
      <c r="H1" s="3532"/>
      <c r="I1" s="353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41356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3386</v>
      </c>
      <c r="C8" s="2390"/>
      <c r="D8" s="3534" t="s">
        <v>2177</v>
      </c>
      <c r="E8" s="2391"/>
      <c r="F8" s="2392"/>
      <c r="G8" s="2663"/>
      <c r="H8" s="2663"/>
      <c r="I8" s="2663"/>
      <c r="J8" s="2439"/>
      <c r="K8" s="2614"/>
      <c r="L8" s="2613"/>
      <c r="M8" s="2613"/>
      <c r="N8" s="2439"/>
      <c r="O8" s="2450"/>
      <c r="P8" s="2439"/>
      <c r="Q8" s="2439"/>
      <c r="R8" s="2439"/>
    </row>
    <row r="9" spans="1:30" ht="13.8" thickBot="1">
      <c r="A9" s="2393" t="s">
        <v>2178</v>
      </c>
      <c r="B9" s="2394" t="s">
        <v>3387</v>
      </c>
      <c r="C9" s="2395"/>
      <c r="D9" s="3535"/>
      <c r="E9" s="2394"/>
      <c r="F9" s="2396"/>
      <c r="G9" s="2665"/>
      <c r="H9" s="2665"/>
      <c r="I9" s="2665"/>
      <c r="J9" s="2439"/>
      <c r="K9" s="2616"/>
      <c r="L9" s="2613"/>
      <c r="M9" s="2613"/>
      <c r="N9" s="2439"/>
      <c r="O9" s="2450"/>
      <c r="P9" s="2439"/>
      <c r="Q9" s="2439"/>
      <c r="R9" s="2439"/>
    </row>
    <row r="10" spans="1:30" ht="13.8" thickTop="1">
      <c r="A10" s="2397" t="s">
        <v>2179</v>
      </c>
      <c r="B10" s="2398" t="s">
        <v>3384</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3385</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2577</v>
      </c>
      <c r="J12" s="3062"/>
      <c r="K12" s="2613"/>
      <c r="L12" s="2613"/>
      <c r="M12" s="2439"/>
      <c r="N12" s="2450"/>
      <c r="O12" s="2439"/>
      <c r="P12" s="2439"/>
      <c r="Q12" s="2439"/>
      <c r="AD12" s="1745"/>
    </row>
    <row r="13" spans="1:30">
      <c r="A13" s="3423" t="s">
        <v>3333</v>
      </c>
      <c r="B13" s="2407" t="s">
        <v>2190</v>
      </c>
      <c r="C13" s="856">
        <v>66176</v>
      </c>
      <c r="D13" s="856"/>
      <c r="E13" s="856"/>
      <c r="F13" s="856"/>
      <c r="G13" s="856"/>
      <c r="H13" s="856"/>
      <c r="I13" s="856"/>
      <c r="J13" s="3062"/>
      <c r="K13" s="2613"/>
      <c r="L13" s="2613"/>
      <c r="M13" s="2439"/>
      <c r="N13" s="2450"/>
      <c r="O13" s="2439"/>
      <c r="P13" s="2439"/>
      <c r="Q13" s="2439"/>
      <c r="AD13" s="1745"/>
    </row>
    <row r="14" spans="1:30">
      <c r="A14" s="1081"/>
      <c r="B14" s="2407" t="s">
        <v>2191</v>
      </c>
      <c r="C14" s="2408">
        <v>70</v>
      </c>
      <c r="D14" s="2408"/>
      <c r="E14" s="2408"/>
      <c r="F14" s="2408"/>
      <c r="G14" s="2408"/>
      <c r="H14" s="2408"/>
      <c r="I14" s="2408"/>
      <c r="J14" s="3063"/>
      <c r="K14" s="2613"/>
      <c r="L14" s="2613"/>
      <c r="M14" s="2439"/>
      <c r="N14" s="2450"/>
      <c r="O14" s="2439"/>
      <c r="P14" s="2439"/>
      <c r="Q14" s="2439"/>
      <c r="AD14" s="1745"/>
    </row>
    <row r="15" spans="1:30">
      <c r="A15" s="320"/>
      <c r="B15" s="2409" t="s">
        <v>2192</v>
      </c>
      <c r="C15" s="2410">
        <f>IF(A13="出让",IF(C13="","",ROUNDDOWN(MIN((C13-$D$3)/365,C14),2)),C14)</f>
        <v>68</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1"/>
      <c r="C16" s="3542"/>
      <c r="D16" s="3543"/>
      <c r="E16" s="2413" t="s">
        <v>2194</v>
      </c>
      <c r="F16" s="3544"/>
      <c r="G16" s="3545"/>
      <c r="H16" s="3545"/>
      <c r="I16" s="3546"/>
      <c r="J16" s="2439"/>
      <c r="K16" s="2617"/>
      <c r="L16" s="2451"/>
      <c r="M16" s="2451"/>
      <c r="N16" s="2509"/>
      <c r="O16" s="2451"/>
      <c r="P16" s="2509"/>
      <c r="Q16" s="2439"/>
      <c r="R16" s="2439"/>
    </row>
    <row r="17" spans="1:28">
      <c r="A17" s="313" t="s">
        <v>2195</v>
      </c>
      <c r="B17" s="302" t="s">
        <v>2196</v>
      </c>
      <c r="C17" s="8">
        <f>'数据-汇总表'!E3</f>
        <v>275.64999999999998</v>
      </c>
      <c r="D17" s="2322" t="s">
        <v>2197</v>
      </c>
      <c r="E17" s="3547" t="s">
        <v>2198</v>
      </c>
      <c r="F17" s="3548"/>
      <c r="G17" s="3548"/>
      <c r="H17" s="3548"/>
      <c r="I17" s="3549"/>
      <c r="J17" s="2439"/>
      <c r="K17" s="2618"/>
      <c r="L17" s="2451"/>
      <c r="M17" s="2451"/>
      <c r="N17" s="2509"/>
      <c r="O17" s="2451"/>
      <c r="P17" s="2509"/>
      <c r="Q17" s="2439"/>
      <c r="R17" s="2439"/>
      <c r="S17" s="2439"/>
      <c r="T17" s="2439"/>
      <c r="U17" s="2439"/>
      <c r="V17" s="2439"/>
    </row>
    <row r="18" spans="1:28" ht="24.6" thickBot="1">
      <c r="A18" s="2414" t="s">
        <v>2199</v>
      </c>
      <c r="B18" s="1090" t="s">
        <v>2200</v>
      </c>
      <c r="C18" s="2415">
        <f>'数据-汇总表'!D3</f>
        <v>0</v>
      </c>
      <c r="D18" s="1092" t="s">
        <v>2201</v>
      </c>
      <c r="E18" s="3550" t="s">
        <v>2202</v>
      </c>
      <c r="F18" s="3551"/>
      <c r="G18" s="3551"/>
      <c r="H18" s="3551"/>
      <c r="I18" s="3552"/>
      <c r="J18" s="2439"/>
      <c r="K18" s="2618"/>
      <c r="L18" s="2451"/>
      <c r="M18" s="2451"/>
      <c r="N18" s="2509"/>
      <c r="O18" s="2451"/>
      <c r="P18" s="2509"/>
      <c r="Q18" s="2439"/>
      <c r="R18" s="2439"/>
      <c r="S18" s="2439"/>
      <c r="T18" s="2439"/>
      <c r="U18" s="2439"/>
      <c r="V18" s="2439"/>
    </row>
    <row r="19" spans="1:28" ht="37.200000000000003"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7" t="s">
        <v>2206</v>
      </c>
      <c r="C20" s="3538"/>
      <c r="D20" s="3539" t="s">
        <v>2207</v>
      </c>
      <c r="E20" s="3540"/>
      <c r="F20" s="2647" t="s">
        <v>1056</v>
      </c>
      <c r="G20" s="2664"/>
      <c r="H20" s="2664"/>
      <c r="I20" s="2664"/>
      <c r="J20" s="2439"/>
      <c r="K20" s="353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36.6" thickBot="1">
      <c r="A21" s="2632"/>
      <c r="B21" s="2633" t="s">
        <v>2209</v>
      </c>
      <c r="C21" s="2634" t="s">
        <v>1057</v>
      </c>
      <c r="D21" s="1568" t="s">
        <v>2210</v>
      </c>
      <c r="E21" s="2635" t="s">
        <v>1057</v>
      </c>
      <c r="F21" s="2648"/>
      <c r="G21" s="2664"/>
      <c r="H21" s="2664"/>
      <c r="I21" s="2664"/>
      <c r="J21" s="2439"/>
      <c r="K21" s="353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36.6" thickBot="1">
      <c r="A22" s="2632"/>
      <c r="B22" s="2636" t="s">
        <v>2211</v>
      </c>
      <c r="C22" s="2634" t="s">
        <v>1058</v>
      </c>
      <c r="D22" s="2663"/>
      <c r="E22" s="2663"/>
      <c r="F22" s="2663"/>
      <c r="G22" s="2664"/>
      <c r="H22" s="2664"/>
      <c r="I22" s="2664"/>
      <c r="J22" s="2439"/>
      <c r="K22" s="353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8"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8"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2580</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8"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4"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2">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275.64999999999998</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275.64999999999998</v>
      </c>
      <c r="H5" s="13">
        <f t="shared" ref="H5:AT5" si="0">SUM(H13:H656)</f>
        <v>275.64999999999998</v>
      </c>
      <c r="I5" s="13">
        <f t="shared" si="0"/>
        <v>275.64999999999998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275.64999999999998</v>
      </c>
      <c r="BA5" s="15">
        <f t="shared" si="1"/>
        <v>275.64999999999998</v>
      </c>
      <c r="BB5" s="15">
        <f t="shared" si="1"/>
        <v>275.64999999999998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3389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3388</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c r="D13" s="1625" t="s">
        <v>3390</v>
      </c>
      <c r="E13" s="13">
        <f>IF($C$3="是",ROUND($A$3*G13/$B$3,2),ROUND($A$3*(G13-AT13)/$B$3,2))</f>
        <v>0</v>
      </c>
      <c r="F13" s="29"/>
      <c r="G13" s="30">
        <f>H13+AC13+AT13</f>
        <v>275.64999999999998</v>
      </c>
      <c r="H13" s="17">
        <f>SUMIF(I$12:AB$12,"总值",I13:AB13)</f>
        <v>275.64999999999998</v>
      </c>
      <c r="I13" s="1626">
        <v>275.64999999999998</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275.64999999999998</v>
      </c>
      <c r="BA13" s="13">
        <f>SUM(BB13:BK13)</f>
        <v>275.64999999999998</v>
      </c>
      <c r="BB13" s="13">
        <f>IF($D13="是",I13-J13,0)</f>
        <v>275.64999999999998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M40" sqref="M39:M4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9"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62" t="s">
        <v>1131</v>
      </c>
      <c r="B2" s="3562"/>
      <c r="C2" s="3562"/>
      <c r="D2" s="796" t="s">
        <v>1107</v>
      </c>
      <c r="E2" s="1639" t="s">
        <v>1108</v>
      </c>
      <c r="F2" s="2659"/>
      <c r="G2" s="2650"/>
      <c r="H2" s="2651"/>
      <c r="I2" s="2325" t="s">
        <v>1132</v>
      </c>
      <c r="J2" s="2659"/>
      <c r="K2" s="2659"/>
      <c r="L2" s="2659"/>
      <c r="M2" s="2659"/>
      <c r="N2" s="2661"/>
      <c r="O2" s="2659"/>
      <c r="P2" s="2659"/>
    </row>
    <row r="3" spans="1:16" ht="15" thickBot="1">
      <c r="A3" s="3563" t="s">
        <v>1105</v>
      </c>
      <c r="B3" s="3563"/>
      <c r="C3" s="3563"/>
      <c r="D3" s="43">
        <f>'数据-基础表'!AY6</f>
        <v>0</v>
      </c>
      <c r="E3" s="43">
        <f>'数据-基础表'!AZ5</f>
        <v>275.64999999999998</v>
      </c>
      <c r="F3" s="2659"/>
      <c r="G3" s="1145"/>
      <c r="H3" s="1026" t="s">
        <v>1106</v>
      </c>
      <c r="I3" s="855" t="e">
        <f>ROUND('数据-基础表'!B3/'数据-基础表'!A3,2)</f>
        <v>#DIV/0!</v>
      </c>
      <c r="J3" s="2659"/>
      <c r="K3" s="2659"/>
      <c r="L3" s="2659"/>
      <c r="M3" s="2659"/>
      <c r="N3" s="2661"/>
      <c r="O3" s="2659"/>
      <c r="P3" s="2659"/>
    </row>
    <row r="4" spans="1:16" ht="14.4">
      <c r="A4" s="3564"/>
      <c r="B4" s="3565"/>
      <c r="C4" s="3566"/>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ht="14.4">
      <c r="A5" s="44" t="s">
        <v>1109</v>
      </c>
      <c r="B5" s="3567" t="s">
        <v>1110</v>
      </c>
      <c r="C5" s="3567"/>
      <c r="D5" s="45">
        <f>ROUND($D$3*E5/$E$3,2)</f>
        <v>0</v>
      </c>
      <c r="E5" s="46">
        <f>SUMIF('数据-基础表'!$11:$11,"住宅",'数据-基础表'!$5:$5)</f>
        <v>275.64999999999998</v>
      </c>
      <c r="F5" s="2659"/>
      <c r="G5" s="1145"/>
      <c r="H5" s="1026" t="s">
        <v>1106</v>
      </c>
      <c r="I5" s="855" t="e">
        <f>ROUND(E31/D31,2)</f>
        <v>#DIV/0!</v>
      </c>
      <c r="J5" s="2659"/>
      <c r="K5" s="2659"/>
      <c r="L5" s="2659"/>
      <c r="M5" s="2659"/>
      <c r="N5" s="2659"/>
      <c r="O5" s="2659"/>
      <c r="P5" s="2659"/>
    </row>
    <row r="6" spans="1:16" ht="15" thickBot="1">
      <c r="A6" s="1644"/>
      <c r="B6" s="3567" t="s">
        <v>1111</v>
      </c>
      <c r="C6" s="3567"/>
      <c r="D6" s="45">
        <f>ROUND($D$3*E6/$E$3,2)</f>
        <v>0</v>
      </c>
      <c r="E6" s="46">
        <f>E3-E5</f>
        <v>0</v>
      </c>
      <c r="F6" s="2659"/>
      <c r="G6" s="2653" t="s">
        <v>1112</v>
      </c>
      <c r="H6" s="1146" t="s">
        <v>1113</v>
      </c>
      <c r="I6" s="2654" t="e">
        <f>ROUND(F31/D31,2)</f>
        <v>#DIV/0!</v>
      </c>
      <c r="J6" s="2659"/>
      <c r="K6" s="2659"/>
      <c r="L6" s="2659"/>
      <c r="M6" s="2659"/>
      <c r="N6" s="2659"/>
      <c r="O6" s="2659"/>
      <c r="P6" s="2659"/>
    </row>
    <row r="7" spans="1:16" ht="15" thickBot="1">
      <c r="A7" s="3559"/>
      <c r="B7" s="3560"/>
      <c r="C7" s="3561"/>
      <c r="D7" s="1641" t="s">
        <v>1107</v>
      </c>
      <c r="E7" s="1645" t="s">
        <v>1114</v>
      </c>
      <c r="F7" s="2659"/>
      <c r="G7" s="2655" t="s">
        <v>1115</v>
      </c>
      <c r="H7" s="2656"/>
      <c r="I7" s="2657"/>
      <c r="J7" s="2659"/>
      <c r="K7" s="2659"/>
      <c r="L7" s="2659"/>
      <c r="M7" s="2659"/>
      <c r="N7" s="2659"/>
      <c r="O7" s="2659"/>
      <c r="P7" s="2659"/>
    </row>
    <row r="8" spans="1:16" ht="14.4">
      <c r="A8" s="44" t="s">
        <v>1116</v>
      </c>
      <c r="B8" s="47" t="s">
        <v>1117</v>
      </c>
      <c r="C8" s="45" t="s">
        <v>1118</v>
      </c>
      <c r="D8" s="45">
        <f t="shared" ref="D8:D15" si="0">ROUND($D$3*E8/$E$3,2)</f>
        <v>0</v>
      </c>
      <c r="E8" s="48">
        <f>SUMIF('数据-基础表'!BB10:BK10,"地上",'数据-基础表'!BB5:BK5)</f>
        <v>275.64999999999998</v>
      </c>
      <c r="F8" s="2659"/>
      <c r="G8" s="2660"/>
      <c r="H8" s="2660"/>
      <c r="I8" s="2659"/>
      <c r="J8" s="2659"/>
      <c r="K8" s="2659"/>
      <c r="L8" s="2659"/>
      <c r="M8" s="2659"/>
      <c r="N8" s="2659"/>
      <c r="O8" s="2659"/>
      <c r="P8" s="2659"/>
    </row>
    <row r="9" spans="1:16" ht="14.4">
      <c r="A9" s="1646"/>
      <c r="B9" s="1647"/>
      <c r="C9" s="45" t="s">
        <v>1119</v>
      </c>
      <c r="D9" s="45">
        <f t="shared" si="0"/>
        <v>0</v>
      </c>
      <c r="E9" s="49">
        <v>0</v>
      </c>
      <c r="F9" s="2659"/>
      <c r="G9" s="2660"/>
      <c r="H9" s="2660"/>
      <c r="I9" s="2659"/>
      <c r="J9" s="2659"/>
      <c r="K9" s="2659"/>
      <c r="L9" s="2659"/>
      <c r="M9" s="2659"/>
      <c r="N9" s="2659"/>
      <c r="O9" s="2659"/>
      <c r="P9" s="2659"/>
    </row>
    <row r="10" spans="1:16" ht="14.4">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ht="14.4">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ht="14.4">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ht="14.4">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ht="14.4">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 thickBot="1">
      <c r="A16" s="1644"/>
      <c r="B16" s="1647"/>
      <c r="C16" s="47" t="s">
        <v>1123</v>
      </c>
      <c r="D16" s="47">
        <f>SUM(D8:D15)</f>
        <v>0</v>
      </c>
      <c r="E16" s="50">
        <f>SUM(E8:E15)</f>
        <v>275.64999999999998</v>
      </c>
      <c r="F16" s="2659"/>
      <c r="G16" s="2660"/>
      <c r="H16" s="1648" t="s">
        <v>1135</v>
      </c>
      <c r="I16" s="1649"/>
      <c r="J16" s="1139"/>
      <c r="K16" s="3556" t="s">
        <v>1135</v>
      </c>
      <c r="L16" s="3557"/>
      <c r="M16" s="3557"/>
      <c r="N16" s="3557"/>
      <c r="O16" s="3557"/>
      <c r="P16" s="3558"/>
    </row>
    <row r="17" spans="1:19" ht="14.4">
      <c r="A17" s="1650" t="s">
        <v>1136</v>
      </c>
      <c r="B17" s="1651" t="s">
        <v>1137</v>
      </c>
      <c r="C17" s="1652" t="s">
        <v>1138</v>
      </c>
      <c r="D17" s="1653" t="s">
        <v>1126</v>
      </c>
      <c r="E17" s="1654" t="s">
        <v>1127</v>
      </c>
      <c r="F17" s="1655"/>
      <c r="G17" s="1656"/>
      <c r="H17" s="1657" t="s">
        <v>1139</v>
      </c>
      <c r="I17" s="1658" t="s">
        <v>1124</v>
      </c>
      <c r="J17" s="1139"/>
      <c r="K17" s="3553" t="s">
        <v>1140</v>
      </c>
      <c r="L17" s="3554"/>
      <c r="M17" s="3555"/>
      <c r="N17" s="3553" t="s">
        <v>1141</v>
      </c>
      <c r="O17" s="3554"/>
      <c r="P17" s="355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7" t="s">
        <v>3391</v>
      </c>
      <c r="D19" s="45">
        <f>ROUND($D$3*E19/$E$3,2)</f>
        <v>0</v>
      </c>
      <c r="E19" s="53">
        <f t="shared" ref="E19:E26" si="1">SUM(F19:G19)</f>
        <v>275.64999999999998</v>
      </c>
      <c r="F19" s="2795">
        <f>'数据-基础表'!I13</f>
        <v>275.64999999999998</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275.64999999999998</v>
      </c>
    </row>
    <row r="20" spans="1:19" ht="14.4">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275.64999999999998</v>
      </c>
      <c r="F27" s="1140">
        <f>IF(SUM(F19:F26)=E8,SUM(F19:F26),"地上面积有误")</f>
        <v>275.64999999999998</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275.64999999999998</v>
      </c>
    </row>
    <row r="28" spans="1:19" ht="14.4">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ht="14.4">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4.4">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 thickBot="1">
      <c r="A31" s="1676"/>
      <c r="B31" s="1677"/>
      <c r="C31" s="835" t="s">
        <v>1158</v>
      </c>
      <c r="D31" s="676">
        <f>D27+D30</f>
        <v>0</v>
      </c>
      <c r="E31" s="676">
        <f>E27+E30</f>
        <v>275.64999999999998</v>
      </c>
      <c r="F31" s="677">
        <f>F27+F30</f>
        <v>275.64999999999998</v>
      </c>
      <c r="G31" s="678">
        <f>G27+G30</f>
        <v>0</v>
      </c>
      <c r="H31" s="2659"/>
      <c r="I31" s="2659"/>
      <c r="J31" s="2659"/>
      <c r="K31" s="2659"/>
      <c r="L31" s="2659"/>
      <c r="M31" s="2659"/>
      <c r="N31" s="2659"/>
      <c r="O31" s="2659"/>
      <c r="P31" s="2659"/>
    </row>
    <row r="32" spans="1:19" ht="14.4">
      <c r="A32" s="1643"/>
      <c r="B32" s="1643" t="s">
        <v>1159</v>
      </c>
      <c r="C32" s="1643"/>
      <c r="D32" s="1643"/>
      <c r="E32" s="1053">
        <f>SUMIF(C19:C26,"*住宅*",E19:E26)</f>
        <v>275.64999999999998</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E6" activePane="bottomRight" state="frozen"/>
      <selection activeCell="C50" sqref="C50"/>
      <selection pane="topRight" activeCell="C50" sqref="C50"/>
      <selection pane="bottomLeft" activeCell="C50" sqref="C50"/>
      <selection pane="bottomRight" activeCell="N18" sqref="N18"/>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 thickBot="1">
      <c r="A2" s="1683" t="s">
        <v>1161</v>
      </c>
      <c r="B2" s="1045">
        <f>项目基本情况!D3</f>
        <v>41356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住宅</v>
      </c>
      <c r="B6" s="1713" t="str">
        <f>IF(A6=0,"","经营性")</f>
        <v>经营性</v>
      </c>
      <c r="C6" s="1714" t="s">
        <v>3388</v>
      </c>
      <c r="D6" s="858">
        <f>SUMIF(项目基本情况!C$12:I$12,C6,项目基本情况!C$14:I$14)</f>
        <v>70</v>
      </c>
      <c r="E6" s="857">
        <f>IF(B6="","",SUMIF(项目基本情况!C$12:I$12,C6,项目基本情况!C$13:I$13))</f>
        <v>66176</v>
      </c>
      <c r="F6" s="64">
        <f>SUMIF(项目基本情况!C$12:I$12,C6,项目基本情况!C$15:I$15)</f>
        <v>68</v>
      </c>
      <c r="G6" s="65">
        <f>IF(ISERROR(ROUND(POWER(1+H6,D6-F6)*(POWER(1+H6,F6)-1)/(POWER(1+H6,D6)-1),3)),0,ROUND(POWER(1+H6,D6-F6)*(POWER(1+H6,F6)-1)/(POWER(1+H6,D6)-1),3))</f>
        <v>0</v>
      </c>
      <c r="H6" s="732"/>
      <c r="I6" s="732">
        <v>0.05</v>
      </c>
      <c r="J6" s="66"/>
      <c r="K6" s="1030">
        <f>SUMIF('数据-汇总表'!C$19:C$33,A6,'数据-汇总表'!E$19:E$33)</f>
        <v>275.64999999999998</v>
      </c>
      <c r="L6" s="733">
        <v>3800</v>
      </c>
      <c r="M6" s="67">
        <f t="shared" ref="M6:M14" si="0">ROUND(K6*L6/10000,0)</f>
        <v>105</v>
      </c>
      <c r="N6" s="3455">
        <v>1</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v>2E-3</v>
      </c>
      <c r="AL6" s="79">
        <v>1E-3</v>
      </c>
      <c r="AM6" s="80">
        <v>0.01</v>
      </c>
      <c r="AN6" s="1715" t="s">
        <v>3422</v>
      </c>
      <c r="AO6" s="52">
        <f ca="1">SUMIF(INDIRECT("'"&amp;AN6&amp;"'"&amp;"!A:A"),"总价",INDIRECT("'"&amp;AN6&amp;"'"&amp;"!B:B"))</f>
        <v>590.14700000000005</v>
      </c>
      <c r="AP6" s="1716">
        <f>IF(C6="住宅",K6*L6,0)</f>
        <v>1047469.9999999999</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275.64999999999998</v>
      </c>
      <c r="L16" s="93">
        <f>ROUND(M16*10000/SUM(K6:K14),0)</f>
        <v>3809</v>
      </c>
      <c r="M16" s="93">
        <f>SUM(M6:M14)</f>
        <v>105</v>
      </c>
      <c r="N16" s="94">
        <f>ROUND(SUMPRODUCT(M6:M14,N6:N14)/M16,3)</f>
        <v>1</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f>ROUND(1-(2013-2002)/60,2)</f>
        <v>0.82</v>
      </c>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4">
      <c r="A19" s="1722" t="s">
        <v>1211</v>
      </c>
      <c r="B19" s="103"/>
      <c r="C19" s="2799" t="s">
        <v>2303</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4">
      <c r="A20" s="1723" t="s">
        <v>1212</v>
      </c>
      <c r="B20" s="104">
        <v>2</v>
      </c>
      <c r="C20" s="2800" t="s">
        <v>2301</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4">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4">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4">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4.4"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8.8">
      <c r="A27" s="1727" t="s">
        <v>1220</v>
      </c>
      <c r="B27" s="107">
        <v>160</v>
      </c>
      <c r="C27" s="2801" t="s">
        <v>2305</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0.1</v>
      </c>
      <c r="C33" s="2803" t="s">
        <v>3382</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0.1</v>
      </c>
      <c r="C34" s="2803" t="s">
        <v>2295</v>
      </c>
      <c r="D34" s="2684" t="s">
        <v>2302</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0.03</v>
      </c>
      <c r="C36" s="2803" t="s">
        <v>3383</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4">
      <c r="A37" s="1731" t="s">
        <v>1230</v>
      </c>
      <c r="B37" s="115">
        <v>0.02</v>
      </c>
      <c r="C37" s="2803" t="s">
        <v>2297</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4">
      <c r="A38" s="1729" t="s">
        <v>1231</v>
      </c>
      <c r="B38" s="113">
        <v>0.02</v>
      </c>
      <c r="C38" s="2803" t="s">
        <v>2297</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4">
      <c r="A39" s="1732" t="s">
        <v>1232</v>
      </c>
      <c r="B39" s="317">
        <f ca="1">存贷款利率!I1</f>
        <v>0.03</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8.2" thickBot="1">
      <c r="A40" s="2815" t="s">
        <v>3393</v>
      </c>
      <c r="B40" s="1078">
        <f ca="1">IF(A40="利息：取LPR",存贷款利率!G1,存贷款利率!G1+C40)</f>
        <v>6.1500000000000006E-2</v>
      </c>
      <c r="C40" s="2814">
        <v>0</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4">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4">
      <c r="A42" s="1733" t="s">
        <v>1234</v>
      </c>
      <c r="B42" s="117">
        <v>0.05</v>
      </c>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4">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4">
      <c r="A44" s="1734" t="s">
        <v>1236</v>
      </c>
      <c r="B44" s="119">
        <v>7.0000000000000007E-2</v>
      </c>
      <c r="C44" s="2803" t="s">
        <v>2306</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4">
      <c r="A45" s="1734" t="s">
        <v>1237</v>
      </c>
      <c r="B45" s="117">
        <v>0.03</v>
      </c>
      <c r="C45" s="2802" t="s">
        <v>2298</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4">
      <c r="A46" s="1734" t="s">
        <v>1238</v>
      </c>
      <c r="B46" s="117">
        <v>0.02</v>
      </c>
      <c r="C46" s="2802" t="s">
        <v>2299</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2307</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4">
      <c r="A48" s="1736" t="s">
        <v>1240</v>
      </c>
      <c r="B48" s="121">
        <v>0.03</v>
      </c>
      <c r="C48" s="2802" t="s">
        <v>2298</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2300</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4">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4">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8.8">
      <c r="A53" s="1729" t="s">
        <v>1245</v>
      </c>
      <c r="B53" s="1738"/>
      <c r="C53" s="2661" t="s">
        <v>1246</v>
      </c>
      <c r="D53" s="2804" t="s">
        <v>2304</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4">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4">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4">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4">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4">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4">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4">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4">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4">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10" customWidth="1"/>
    <col min="4" max="4" width="2.6640625" style="2510" customWidth="1"/>
    <col min="5" max="5" width="5.88671875" style="2510" customWidth="1"/>
    <col min="6" max="6" width="27" style="1572" customWidth="1"/>
    <col min="7" max="7" width="27" style="2511" customWidth="1"/>
    <col min="8" max="8" width="11.88671875" style="2491" customWidth="1"/>
    <col min="9" max="9" width="16.77734375" style="2492" customWidth="1"/>
    <col min="10" max="10" width="2.6640625" style="2491" customWidth="1"/>
    <col min="11" max="11" width="11.88671875" style="2491" customWidth="1"/>
    <col min="12" max="12" width="16.77734375" style="2492" customWidth="1"/>
    <col min="13" max="13" width="2.6640625" style="2491" customWidth="1"/>
    <col min="14" max="14" width="11.88671875" style="2491" customWidth="1"/>
    <col min="15" max="15" width="16.77734375" style="2492" customWidth="1"/>
    <col min="16" max="16" width="2.6640625" style="2491" customWidth="1"/>
    <col min="17" max="17" width="11.88671875" style="2491" customWidth="1"/>
    <col min="18" max="18" width="16.77734375" style="2493" customWidth="1"/>
    <col min="19" max="29" width="9" style="799"/>
    <col min="30" max="16384" width="9" style="1686"/>
  </cols>
  <sheetData>
    <row r="1" spans="1:29" s="2457" customFormat="1" ht="18" thickBot="1">
      <c r="A1" s="3568" t="s">
        <v>2286</v>
      </c>
      <c r="B1" s="3569"/>
      <c r="C1" s="3569"/>
      <c r="D1" s="3569"/>
      <c r="E1" s="3569"/>
      <c r="F1" s="3569"/>
      <c r="G1" s="356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4.4"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7.200000000000003">
      <c r="A4" s="2442"/>
      <c r="B4" s="323" t="s">
        <v>2254</v>
      </c>
      <c r="C4" s="2468" t="s">
        <v>2255</v>
      </c>
      <c r="D4" s="2465"/>
      <c r="E4" s="2469"/>
      <c r="F4" s="1373" t="s">
        <v>2256</v>
      </c>
      <c r="G4" s="2470" t="s">
        <v>2257</v>
      </c>
      <c r="H4" s="799"/>
      <c r="I4" s="799"/>
      <c r="J4" s="799"/>
      <c r="K4" s="799"/>
      <c r="L4" s="799"/>
      <c r="M4" s="799"/>
      <c r="N4" s="799"/>
      <c r="O4" s="799"/>
      <c r="P4" s="799"/>
      <c r="Q4" s="799"/>
      <c r="R4" s="799"/>
    </row>
    <row r="5" spans="1:29" ht="37.200000000000003">
      <c r="A5" s="2442"/>
      <c r="B5" s="323" t="s">
        <v>2258</v>
      </c>
      <c r="C5" s="2468" t="s">
        <v>2259</v>
      </c>
      <c r="D5" s="2465"/>
      <c r="E5" s="2469"/>
      <c r="F5" s="323" t="s">
        <v>2260</v>
      </c>
      <c r="G5" s="2470" t="s">
        <v>2261</v>
      </c>
      <c r="H5" s="799"/>
      <c r="I5" s="799"/>
      <c r="J5" s="799"/>
      <c r="K5" s="799"/>
      <c r="L5" s="799"/>
      <c r="M5" s="799"/>
      <c r="N5" s="799"/>
      <c r="O5" s="799"/>
      <c r="P5" s="799"/>
      <c r="Q5" s="799"/>
      <c r="R5" s="799"/>
    </row>
    <row r="6" spans="1:29" ht="48">
      <c r="A6" s="2442"/>
      <c r="B6" s="323" t="s">
        <v>2262</v>
      </c>
      <c r="C6" s="2470" t="s">
        <v>2257</v>
      </c>
      <c r="D6" s="2465"/>
      <c r="E6" s="2469"/>
      <c r="F6" s="323" t="s">
        <v>2263</v>
      </c>
      <c r="G6" s="2470" t="s">
        <v>2264</v>
      </c>
      <c r="H6" s="799"/>
      <c r="I6" s="799"/>
      <c r="J6" s="799"/>
      <c r="K6" s="799"/>
      <c r="L6" s="799"/>
      <c r="M6" s="799"/>
      <c r="N6" s="799"/>
      <c r="O6" s="799"/>
      <c r="P6" s="799"/>
      <c r="Q6" s="799"/>
      <c r="R6" s="799"/>
    </row>
    <row r="7" spans="1:29" ht="36.6"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ht="24">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4.4"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7.399999999999999">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 thickBot="1">
      <c r="A13" s="2490" t="s">
        <v>2287</v>
      </c>
      <c r="B13" s="2484"/>
      <c r="C13" s="2484"/>
      <c r="D13" s="2482"/>
      <c r="E13" s="2484"/>
      <c r="F13" s="2484"/>
      <c r="G13" s="2484"/>
    </row>
    <row r="14" spans="1:29" ht="14.4" thickBot="1">
      <c r="A14" s="2494"/>
      <c r="B14" s="2494"/>
      <c r="C14" s="2495" t="s">
        <v>2270</v>
      </c>
      <c r="D14" s="2465"/>
      <c r="E14" s="2496"/>
      <c r="F14" s="2496"/>
      <c r="G14" s="2460" t="s">
        <v>2271</v>
      </c>
    </row>
    <row r="15" spans="1:29" ht="52.8">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9.6">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9.6">
      <c r="A17" s="2446"/>
      <c r="B17" s="2500" t="s">
        <v>2258</v>
      </c>
      <c r="C17" s="2501" t="str">
        <f>C5</f>
        <v>估价对象位于XX商圈，周边办公楼项目较多，入驻率高，办公集聚程度较好</v>
      </c>
      <c r="D17" s="2471"/>
      <c r="E17" s="2447"/>
      <c r="F17" s="2502" t="s">
        <v>2275</v>
      </c>
      <c r="G17" s="2504"/>
    </row>
    <row r="18" spans="1:18" ht="52.8">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6.4">
      <c r="A19" s="2446"/>
      <c r="B19" s="2502" t="s">
        <v>2276</v>
      </c>
      <c r="C19" s="2504"/>
      <c r="D19" s="2465"/>
      <c r="E19" s="2447"/>
      <c r="F19" s="323" t="s">
        <v>2260</v>
      </c>
      <c r="G19" s="2503" t="str">
        <f>G5</f>
        <v>估价对象所在区域公共配套设施齐备情况</v>
      </c>
    </row>
    <row r="20" spans="1:18" ht="26.4">
      <c r="A20" s="2446"/>
      <c r="B20" s="2502" t="s">
        <v>2277</v>
      </c>
      <c r="C20" s="2501" t="str">
        <f>C9</f>
        <v>区域自然环境：；人文环境；综合评价环境状况一般</v>
      </c>
      <c r="D20" s="2471"/>
      <c r="E20" s="2447"/>
      <c r="F20" s="323" t="s">
        <v>2263</v>
      </c>
      <c r="G20" s="2503" t="str">
        <f>G6</f>
        <v>估价对象所在区域基础设施水平</v>
      </c>
    </row>
    <row r="21" spans="1:18" ht="26.4">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4.4"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4.4"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4"/>
  <cols>
    <col min="1" max="1" width="25" style="2513" customWidth="1"/>
    <col min="2" max="9" width="15.77734375" style="2513" customWidth="1"/>
    <col min="10" max="16384" width="9" style="2513"/>
  </cols>
  <sheetData>
    <row r="1" spans="1:11" ht="16.2">
      <c r="A1" s="2512" t="s">
        <v>665</v>
      </c>
      <c r="B1" s="2512">
        <f>SUM(B14:B23)</f>
        <v>275.64999999999998</v>
      </c>
      <c r="C1" s="2686"/>
      <c r="D1" s="2686"/>
      <c r="E1" s="2686"/>
      <c r="F1" s="2686"/>
      <c r="G1" s="2687"/>
      <c r="H1" s="2688"/>
      <c r="I1" s="2688"/>
      <c r="J1" s="2688"/>
      <c r="K1" s="2688"/>
    </row>
    <row r="2" spans="1:11" ht="16.2">
      <c r="A2" s="2512" t="s">
        <v>653</v>
      </c>
      <c r="B2" s="2512">
        <f>SUM(C14:C23)</f>
        <v>0</v>
      </c>
      <c r="C2" s="2686"/>
      <c r="D2" s="2686"/>
      <c r="E2" s="2686"/>
      <c r="F2" s="2686"/>
      <c r="G2" s="2687"/>
      <c r="H2" s="2688"/>
      <c r="I2" s="2688"/>
      <c r="J2" s="2688"/>
      <c r="K2" s="2688"/>
    </row>
    <row r="3" spans="1:11" ht="15.6">
      <c r="A3" s="2512" t="s">
        <v>662</v>
      </c>
      <c r="B3" s="2514">
        <f>项目基本情况!D3</f>
        <v>41356</v>
      </c>
      <c r="C3" s="2686"/>
      <c r="D3" s="2686"/>
      <c r="E3" s="2686"/>
      <c r="F3" s="2686"/>
      <c r="G3" s="2687"/>
      <c r="H3" s="2688"/>
      <c r="I3" s="2688"/>
      <c r="J3" s="2688"/>
      <c r="K3" s="2688"/>
    </row>
    <row r="4" spans="1:11" ht="31.2">
      <c r="A4" s="2512" t="s">
        <v>661</v>
      </c>
      <c r="B4" s="2512" t="s">
        <v>660</v>
      </c>
      <c r="C4" s="2512" t="s">
        <v>659</v>
      </c>
      <c r="D4" s="2512" t="s">
        <v>658</v>
      </c>
      <c r="E4" s="2686"/>
      <c r="F4" s="2687"/>
      <c r="G4" s="2687"/>
      <c r="H4" s="2688"/>
      <c r="I4" s="2688"/>
      <c r="J4" s="2688"/>
      <c r="K4" s="2688"/>
    </row>
    <row r="5" spans="1:11" ht="15.6">
      <c r="A5" s="2512" t="s">
        <v>657</v>
      </c>
      <c r="B5" s="2512">
        <f ca="1">SUM(D14:D23)</f>
        <v>1036</v>
      </c>
      <c r="C5" s="2512" t="e">
        <f ca="1">IF(B5=D14,结果表!H102,ROUND(B5*10000/$B$1,0))</f>
        <v>#DIV/0!</v>
      </c>
      <c r="D5" s="2512" t="e">
        <f ca="1">ROUND(B5*10000/$B$2,0)</f>
        <v>#DIV/0!</v>
      </c>
      <c r="E5" s="2686"/>
      <c r="F5" s="2687"/>
      <c r="G5" s="2687"/>
      <c r="H5" s="2688"/>
      <c r="I5" s="2688"/>
      <c r="J5" s="2688"/>
      <c r="K5" s="2688"/>
    </row>
    <row r="6" spans="1:11" ht="15.6">
      <c r="A6" s="2512" t="s">
        <v>656</v>
      </c>
      <c r="B6" s="2512">
        <f>SUM(G14:G23)</f>
        <v>0</v>
      </c>
      <c r="C6" s="2512">
        <f ca="1">IF(B6=G14,结果表!H108,ROUND(B6*10000/$B$1,0))</f>
        <v>0</v>
      </c>
      <c r="D6" s="2512" t="e">
        <f>ROUND(B6*10000/$B$2,0)</f>
        <v>#DIV/0!</v>
      </c>
      <c r="E6" s="2686"/>
      <c r="F6" s="2687"/>
      <c r="G6" s="2687"/>
      <c r="H6" s="2688"/>
      <c r="I6" s="2688"/>
      <c r="J6" s="2688"/>
      <c r="K6" s="2688"/>
    </row>
    <row r="7" spans="1:11" ht="15.6">
      <c r="A7" s="2512" t="s">
        <v>664</v>
      </c>
      <c r="B7" s="2512">
        <f>SUM(H14:H23)</f>
        <v>0</v>
      </c>
      <c r="C7" s="2512" t="str">
        <f>IF(B7=H14,结果表!H110,ROUND(B7*10000/$B$1,0))</f>
        <v>——</v>
      </c>
      <c r="D7" s="2512" t="e">
        <f>ROUND(B7*10000/$B$2,0)</f>
        <v>#DIV/0!</v>
      </c>
      <c r="E7" s="2686"/>
      <c r="F7" s="2687"/>
      <c r="G7" s="2687"/>
      <c r="H7" s="2688"/>
      <c r="I7" s="2688"/>
      <c r="J7" s="2688"/>
      <c r="K7" s="2688"/>
    </row>
    <row r="8" spans="1:11" ht="15.6">
      <c r="A8" s="2512" t="s">
        <v>587</v>
      </c>
      <c r="B8" s="2512">
        <f>SUM(I14:I23)</f>
        <v>0</v>
      </c>
      <c r="C8" s="2512" t="str">
        <f>IF(B8=I14,结果表!H112,ROUND(B8*10000/$B$1,0))</f>
        <v>——</v>
      </c>
      <c r="D8" s="2512" t="e">
        <f>ROUND(B8*10000/$B$2,0)</f>
        <v>#DIV/0!</v>
      </c>
      <c r="E8" s="2686"/>
      <c r="F8" s="2687"/>
      <c r="G8" s="2687"/>
      <c r="H8" s="2688"/>
      <c r="I8" s="2688"/>
      <c r="J8" s="2688"/>
      <c r="K8" s="2688"/>
    </row>
    <row r="9" spans="1:11" ht="15.6">
      <c r="A9" s="2512" t="s">
        <v>655</v>
      </c>
      <c r="B9" s="2520"/>
      <c r="C9" s="2686"/>
      <c r="D9" s="2686"/>
      <c r="E9" s="2686"/>
      <c r="F9" s="2687"/>
      <c r="G9" s="2687"/>
      <c r="H9" s="2688"/>
      <c r="I9" s="2688"/>
      <c r="J9" s="2688"/>
      <c r="K9" s="2688"/>
    </row>
    <row r="10" spans="1:11" ht="15.6">
      <c r="A10" s="2512" t="s">
        <v>654</v>
      </c>
      <c r="B10" s="2512">
        <f>IF(E10="",0,ROUND(B1*(E10*365/G10)/10000,0))</f>
        <v>0</v>
      </c>
      <c r="C10" s="2512" t="s">
        <v>3357</v>
      </c>
      <c r="D10" s="2512" t="s">
        <v>3358</v>
      </c>
      <c r="E10" s="3441"/>
      <c r="F10" s="3445" t="s">
        <v>3359</v>
      </c>
      <c r="G10" s="3442"/>
      <c r="H10" s="2688"/>
      <c r="I10" s="2688"/>
      <c r="J10" s="2688"/>
      <c r="K10" s="2688"/>
    </row>
    <row r="11" spans="1:11" ht="15.6">
      <c r="A11" s="2512" t="s">
        <v>670</v>
      </c>
      <c r="B11" s="2520"/>
      <c r="C11" s="2686"/>
      <c r="D11" s="2686"/>
      <c r="E11" s="2686"/>
      <c r="F11" s="2687"/>
      <c r="G11" s="2687"/>
      <c r="H11" s="2688"/>
      <c r="I11" s="2688"/>
      <c r="J11" s="2688"/>
      <c r="K11" s="2688"/>
    </row>
    <row r="12" spans="1:11" ht="15.6">
      <c r="A12" s="2686"/>
      <c r="B12" s="2686"/>
      <c r="C12" s="2686"/>
      <c r="D12" s="2686"/>
      <c r="E12" s="2686"/>
      <c r="F12" s="2687"/>
      <c r="G12" s="2687"/>
      <c r="H12" s="2688"/>
      <c r="I12" s="2688"/>
      <c r="J12" s="2688"/>
      <c r="K12" s="2688"/>
    </row>
    <row r="13" spans="1:11" ht="31.8">
      <c r="A13" s="2515" t="s">
        <v>669</v>
      </c>
      <c r="B13" s="2516" t="s">
        <v>666</v>
      </c>
      <c r="C13" s="2516" t="s">
        <v>668</v>
      </c>
      <c r="D13" s="2516" t="s">
        <v>667</v>
      </c>
      <c r="E13" s="2512" t="s">
        <v>659</v>
      </c>
      <c r="F13" s="2512" t="s">
        <v>658</v>
      </c>
      <c r="G13" s="2516" t="s">
        <v>652</v>
      </c>
      <c r="H13" s="2516" t="s">
        <v>663</v>
      </c>
      <c r="I13" s="2516" t="s">
        <v>651</v>
      </c>
      <c r="J13" s="2687"/>
      <c r="K13" s="2688"/>
    </row>
    <row r="14" spans="1:11" ht="15.6">
      <c r="A14" s="2517" t="s">
        <v>650</v>
      </c>
      <c r="B14" s="2518">
        <f>'数据-汇总表'!F19</f>
        <v>275.64999999999998</v>
      </c>
      <c r="C14" s="2518"/>
      <c r="D14" s="2518">
        <f ca="1">结果表!G19</f>
        <v>1036</v>
      </c>
      <c r="E14" s="2518">
        <f ca="1">ROUND(D14*10000/B14,0)</f>
        <v>37584</v>
      </c>
      <c r="F14" s="2518" t="e">
        <f ca="1">ROUND(D14*10000/C14,0)</f>
        <v>#DIV/0!</v>
      </c>
      <c r="G14" s="2518"/>
      <c r="H14" s="2518"/>
      <c r="I14" s="2518"/>
      <c r="J14" s="2687"/>
      <c r="K14" s="2688"/>
    </row>
    <row r="15" spans="1:11" ht="15.6">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5.6">
      <c r="A16" s="2517" t="s">
        <v>648</v>
      </c>
      <c r="B16" s="2519"/>
      <c r="C16" s="2519"/>
      <c r="D16" s="2519"/>
      <c r="E16" s="2518" t="e">
        <f t="shared" si="0"/>
        <v>#DIV/0!</v>
      </c>
      <c r="F16" s="2518" t="e">
        <f t="shared" si="1"/>
        <v>#DIV/0!</v>
      </c>
      <c r="G16" s="1331"/>
      <c r="H16" s="1331"/>
      <c r="I16" s="2519"/>
      <c r="J16" s="2688"/>
      <c r="K16" s="2688"/>
    </row>
    <row r="17" spans="1:11" ht="15.6">
      <c r="A17" s="2517" t="s">
        <v>647</v>
      </c>
      <c r="B17" s="2519"/>
      <c r="C17" s="2519"/>
      <c r="D17" s="2519"/>
      <c r="E17" s="2518" t="e">
        <f t="shared" si="0"/>
        <v>#DIV/0!</v>
      </c>
      <c r="F17" s="2518" t="e">
        <f t="shared" si="1"/>
        <v>#DIV/0!</v>
      </c>
      <c r="G17" s="1331"/>
      <c r="H17" s="1331"/>
      <c r="I17" s="2519"/>
      <c r="J17" s="2688"/>
      <c r="K17" s="2688"/>
    </row>
    <row r="18" spans="1:11" ht="15.6">
      <c r="A18" s="2517" t="s">
        <v>646</v>
      </c>
      <c r="B18" s="2519"/>
      <c r="C18" s="2519"/>
      <c r="D18" s="2519"/>
      <c r="E18" s="2518" t="e">
        <f t="shared" si="0"/>
        <v>#DIV/0!</v>
      </c>
      <c r="F18" s="2518" t="e">
        <f t="shared" si="1"/>
        <v>#DIV/0!</v>
      </c>
      <c r="G18" s="2519"/>
      <c r="H18" s="2519"/>
      <c r="I18" s="2519"/>
      <c r="J18" s="2688"/>
      <c r="K18" s="2688"/>
    </row>
    <row r="19" spans="1:11" ht="15.6">
      <c r="A19" s="2517" t="s">
        <v>645</v>
      </c>
      <c r="B19" s="2519"/>
      <c r="C19" s="2519"/>
      <c r="D19" s="2519"/>
      <c r="E19" s="2518" t="e">
        <f t="shared" si="0"/>
        <v>#DIV/0!</v>
      </c>
      <c r="F19" s="2518" t="e">
        <f t="shared" si="1"/>
        <v>#DIV/0!</v>
      </c>
      <c r="G19" s="2519"/>
      <c r="H19" s="2519"/>
      <c r="I19" s="2519"/>
      <c r="J19" s="2688"/>
      <c r="K19" s="2688"/>
    </row>
    <row r="20" spans="1:11" ht="15.6">
      <c r="A20" s="2517" t="s">
        <v>644</v>
      </c>
      <c r="B20" s="2519"/>
      <c r="C20" s="2519"/>
      <c r="D20" s="2519"/>
      <c r="E20" s="2518" t="e">
        <f t="shared" si="0"/>
        <v>#DIV/0!</v>
      </c>
      <c r="F20" s="2518" t="e">
        <f t="shared" si="1"/>
        <v>#DIV/0!</v>
      </c>
      <c r="G20" s="2519"/>
      <c r="H20" s="2519"/>
      <c r="I20" s="2519"/>
      <c r="J20" s="2688"/>
      <c r="K20" s="2688"/>
    </row>
    <row r="21" spans="1:11" ht="15.6">
      <c r="A21" s="2517" t="s">
        <v>643</v>
      </c>
      <c r="B21" s="2519"/>
      <c r="C21" s="2519"/>
      <c r="D21" s="2519"/>
      <c r="E21" s="2518" t="e">
        <f t="shared" si="0"/>
        <v>#DIV/0!</v>
      </c>
      <c r="F21" s="2518" t="e">
        <f t="shared" si="1"/>
        <v>#DIV/0!</v>
      </c>
      <c r="G21" s="2519"/>
      <c r="H21" s="2519"/>
      <c r="I21" s="2519"/>
      <c r="J21" s="2688"/>
      <c r="K21" s="2688"/>
    </row>
    <row r="22" spans="1:11" ht="15.6">
      <c r="A22" s="2517" t="s">
        <v>642</v>
      </c>
      <c r="B22" s="2519"/>
      <c r="C22" s="2519"/>
      <c r="D22" s="2519"/>
      <c r="E22" s="2518" t="e">
        <f t="shared" si="0"/>
        <v>#DIV/0!</v>
      </c>
      <c r="F22" s="2518" t="e">
        <f t="shared" si="1"/>
        <v>#DIV/0!</v>
      </c>
      <c r="G22" s="2519"/>
      <c r="H22" s="2519"/>
      <c r="I22" s="2519"/>
      <c r="J22" s="2688"/>
      <c r="K22" s="2688"/>
    </row>
    <row r="23" spans="1:11" ht="15.6">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70" zoomScaleNormal="100" zoomScaleSheetLayoutView="70" zoomScalePageLayoutView="80" workbookViewId="0">
      <selection activeCell="C5" sqref="C5:C7"/>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4" t="str">
        <f>项目基本情况!S2</f>
        <v>北京市房地产</v>
      </c>
      <c r="B2" s="3605"/>
      <c r="C2" s="3605"/>
      <c r="D2" s="3605"/>
      <c r="E2" s="3605"/>
      <c r="F2" s="3605"/>
      <c r="G2" s="3605"/>
      <c r="H2" s="3605"/>
      <c r="I2" s="3606"/>
    </row>
    <row r="3" spans="1:12" ht="13.2">
      <c r="A3" s="3608" t="s">
        <v>1264</v>
      </c>
      <c r="B3" s="3609"/>
      <c r="C3" s="3609"/>
      <c r="D3" s="3609"/>
      <c r="E3" s="3609"/>
      <c r="F3" s="3609"/>
      <c r="G3" s="3609"/>
      <c r="H3" s="3609"/>
      <c r="I3" s="3609"/>
    </row>
    <row r="4" spans="1:12" ht="14.4">
      <c r="A4" s="1754" t="s">
        <v>1265</v>
      </c>
      <c r="B4" s="1755" t="s">
        <v>1266</v>
      </c>
      <c r="C4" s="1756" t="s">
        <v>3421</v>
      </c>
      <c r="D4" s="1756" t="s">
        <v>3422</v>
      </c>
      <c r="E4" s="3610" t="s">
        <v>1267</v>
      </c>
      <c r="F4" s="3611"/>
      <c r="G4" s="3611"/>
      <c r="H4" s="3611"/>
      <c r="I4" s="3612"/>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84" t="s">
        <v>1268</v>
      </c>
      <c r="B5" s="3571">
        <v>25</v>
      </c>
      <c r="C5" s="3587">
        <v>8</v>
      </c>
      <c r="D5" s="3607">
        <f>10-C5</f>
        <v>2</v>
      </c>
      <c r="E5" s="131" t="s">
        <v>1269</v>
      </c>
      <c r="F5" s="1757"/>
      <c r="G5" s="1757"/>
      <c r="H5" s="1757"/>
      <c r="I5" s="1373"/>
    </row>
    <row r="6" spans="1:12" ht="13.2">
      <c r="A6" s="3584"/>
      <c r="B6" s="3571"/>
      <c r="C6" s="3588"/>
      <c r="D6" s="3607"/>
      <c r="E6" s="131" t="s">
        <v>1270</v>
      </c>
      <c r="F6" s="1757"/>
      <c r="G6" s="1757"/>
      <c r="H6" s="1757"/>
      <c r="I6" s="1373"/>
    </row>
    <row r="7" spans="1:12" ht="13.2">
      <c r="A7" s="3584"/>
      <c r="B7" s="3571"/>
      <c r="C7" s="3589"/>
      <c r="D7" s="3607"/>
      <c r="E7" s="131" t="s">
        <v>1271</v>
      </c>
      <c r="F7" s="1757"/>
      <c r="G7" s="1757"/>
      <c r="H7" s="1757"/>
      <c r="I7" s="1373"/>
    </row>
    <row r="8" spans="1:12" ht="13.2">
      <c r="A8" s="3584" t="s">
        <v>1272</v>
      </c>
      <c r="B8" s="3571">
        <v>15</v>
      </c>
      <c r="C8" s="3587"/>
      <c r="D8" s="3607"/>
      <c r="E8" s="131" t="s">
        <v>1273</v>
      </c>
      <c r="F8" s="1757"/>
      <c r="G8" s="1757"/>
      <c r="H8" s="1757"/>
      <c r="I8" s="1373"/>
    </row>
    <row r="9" spans="1:12" ht="13.2">
      <c r="A9" s="3584"/>
      <c r="B9" s="3571"/>
      <c r="C9" s="3589"/>
      <c r="D9" s="3607"/>
      <c r="E9" s="131" t="s">
        <v>1274</v>
      </c>
      <c r="F9" s="1757"/>
      <c r="G9" s="1757"/>
      <c r="H9" s="1757"/>
      <c r="I9" s="1373"/>
    </row>
    <row r="10" spans="1:12" ht="13.2">
      <c r="A10" s="3584" t="s">
        <v>1275</v>
      </c>
      <c r="B10" s="3571">
        <v>15</v>
      </c>
      <c r="C10" s="3587"/>
      <c r="D10" s="3607"/>
      <c r="E10" s="131" t="s">
        <v>1276</v>
      </c>
      <c r="F10" s="1757"/>
      <c r="G10" s="1757"/>
      <c r="H10" s="1757"/>
      <c r="I10" s="1373"/>
    </row>
    <row r="11" spans="1:12" ht="13.2">
      <c r="A11" s="3584"/>
      <c r="B11" s="3571"/>
      <c r="C11" s="3589"/>
      <c r="D11" s="3607"/>
      <c r="E11" s="131" t="s">
        <v>1277</v>
      </c>
      <c r="F11" s="1757"/>
      <c r="G11" s="1757"/>
      <c r="H11" s="1757"/>
      <c r="I11" s="1373"/>
    </row>
    <row r="12" spans="1:12" ht="13.2">
      <c r="A12" s="3584" t="s">
        <v>1278</v>
      </c>
      <c r="B12" s="3571">
        <v>15</v>
      </c>
      <c r="C12" s="3587"/>
      <c r="D12" s="3607"/>
      <c r="E12" s="131" t="s">
        <v>1279</v>
      </c>
      <c r="F12" s="1757"/>
      <c r="G12" s="1757"/>
      <c r="H12" s="1757"/>
      <c r="I12" s="1373"/>
    </row>
    <row r="13" spans="1:12" ht="13.2">
      <c r="A13" s="3584"/>
      <c r="B13" s="3571"/>
      <c r="C13" s="3589"/>
      <c r="D13" s="3607"/>
      <c r="E13" s="131" t="s">
        <v>1280</v>
      </c>
      <c r="F13" s="1757"/>
      <c r="G13" s="1757"/>
      <c r="H13" s="1757"/>
      <c r="I13" s="1373"/>
    </row>
    <row r="14" spans="1:12" ht="13.2">
      <c r="A14" s="3584" t="s">
        <v>1281</v>
      </c>
      <c r="B14" s="3571">
        <v>30</v>
      </c>
      <c r="C14" s="3587"/>
      <c r="D14" s="3607"/>
      <c r="E14" s="131" t="s">
        <v>1282</v>
      </c>
      <c r="F14" s="1757"/>
      <c r="G14" s="1757"/>
      <c r="H14" s="1757"/>
      <c r="I14" s="1373"/>
    </row>
    <row r="15" spans="1:12" ht="13.2">
      <c r="A15" s="3584"/>
      <c r="B15" s="3571"/>
      <c r="C15" s="3588"/>
      <c r="D15" s="3607"/>
      <c r="E15" s="131" t="s">
        <v>1283</v>
      </c>
      <c r="F15" s="1757"/>
      <c r="G15" s="1757"/>
      <c r="H15" s="1757"/>
      <c r="I15" s="1373"/>
    </row>
    <row r="16" spans="1:12" ht="13.2">
      <c r="A16" s="3584"/>
      <c r="B16" s="3571"/>
      <c r="C16" s="3589"/>
      <c r="D16" s="3607"/>
      <c r="E16" s="131" t="s">
        <v>1284</v>
      </c>
      <c r="F16" s="1757"/>
      <c r="G16" s="1757"/>
      <c r="H16" s="1757"/>
      <c r="I16" s="1373"/>
    </row>
    <row r="17" spans="1:36" ht="14.4">
      <c r="A17" s="1758" t="s">
        <v>1285</v>
      </c>
      <c r="B17" s="56"/>
      <c r="C17" s="132">
        <f>SUM(C5:C16)</f>
        <v>8</v>
      </c>
      <c r="D17" s="132">
        <f>SUM(D5:D16)</f>
        <v>2</v>
      </c>
      <c r="E17" s="129"/>
      <c r="F17" s="129"/>
      <c r="G17" s="129"/>
      <c r="H17" s="129"/>
      <c r="I17" s="129"/>
      <c r="K17" s="302"/>
      <c r="L17" s="302" t="s">
        <v>1286</v>
      </c>
      <c r="M17" s="302" t="s">
        <v>1287</v>
      </c>
    </row>
    <row r="18" spans="1:36" ht="31.95" customHeight="1" thickBot="1">
      <c r="A18" s="1759" t="s">
        <v>1288</v>
      </c>
      <c r="B18" s="1760"/>
      <c r="C18" s="133">
        <f>ROUND(C17/SUM(C17:D17),2)</f>
        <v>0.8</v>
      </c>
      <c r="D18" s="133">
        <f>1-C18</f>
        <v>0.19999999999999996</v>
      </c>
      <c r="E18" s="3594" t="s">
        <v>2131</v>
      </c>
      <c r="F18" s="3595"/>
      <c r="G18" s="3595"/>
      <c r="H18" s="3595"/>
      <c r="I18" s="3595"/>
      <c r="K18" s="302" t="s">
        <v>1289</v>
      </c>
      <c r="L18" s="302">
        <f>IF(C1="",'数据-汇总表'!E3,SUMIF(项目类型,C1,'数据-汇总表'!E17:E26)+SUMIF(项目类型,C1,'数据-汇总表'!I17:I26))</f>
        <v>275.64999999999998</v>
      </c>
      <c r="M18" s="302">
        <f>IF(C1="",'数据-汇总表'!E3,SUMIF(项目类型,C1,'数据-汇总表'!E17:E26))</f>
        <v>275.64999999999998</v>
      </c>
    </row>
    <row r="19" spans="1:36" ht="14.4">
      <c r="A19" s="1761" t="s">
        <v>1290</v>
      </c>
      <c r="B19" s="1762" t="s">
        <v>1291</v>
      </c>
      <c r="C19" s="134">
        <f ca="1">SUMIF(INDIRECT("'"&amp;C4&amp;"'"&amp;"!A:A"),结果表!B19,INDIRECT("'"&amp;C4&amp;"'"&amp;"!B:B"))</f>
        <v>1147.972</v>
      </c>
      <c r="D19" s="135">
        <f ca="1">SUMIF(INDIRECT("'"&amp;D4&amp;"'"&amp;"!A:A"),结果表!B19,INDIRECT("'"&amp;D4&amp;"'"&amp;"!B:B"))</f>
        <v>590.14700000000005</v>
      </c>
      <c r="E19" s="1761" t="s">
        <v>1292</v>
      </c>
      <c r="F19" s="1762" t="s">
        <v>1291</v>
      </c>
      <c r="G19" s="136">
        <f ca="1">ROUND(C19*$C$18+D19*$D$18,0)</f>
        <v>1036</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41646</v>
      </c>
      <c r="D20" s="138">
        <f ca="1">SUMIF(INDIRECT("'"&amp;D4&amp;"'"&amp;"!A:A"),结果表!B20,INDIRECT("'"&amp;D4&amp;"'"&amp;"!B:B"))</f>
        <v>21409</v>
      </c>
      <c r="E20" s="1764"/>
      <c r="F20" s="1026" t="s">
        <v>1295</v>
      </c>
      <c r="G20" s="139">
        <f ca="1">ROUND(C20*$C$18+D20*$D$18,0)</f>
        <v>37599</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0.94523059508902008</v>
      </c>
      <c r="E22" s="129"/>
      <c r="F22" s="129"/>
      <c r="G22" s="129"/>
      <c r="H22" s="129"/>
      <c r="I22" s="129"/>
    </row>
    <row r="23" spans="1:36" ht="13.8" thickBot="1">
      <c r="A23" s="1747"/>
      <c r="B23" s="1747"/>
      <c r="C23" s="1747"/>
      <c r="D23" s="1747"/>
      <c r="E23" s="129"/>
      <c r="F23" s="129"/>
      <c r="G23" s="129"/>
      <c r="H23" s="129"/>
      <c r="I23" s="129"/>
    </row>
    <row r="24" spans="1:36" ht="14.4">
      <c r="A24" s="3578" t="s">
        <v>1299</v>
      </c>
      <c r="B24" s="1762" t="s">
        <v>1291</v>
      </c>
      <c r="C24" s="136">
        <f>IF(B30=0,0,D30)</f>
        <v>0</v>
      </c>
      <c r="D24" s="1769"/>
      <c r="E24" s="129"/>
      <c r="F24" s="129"/>
      <c r="G24" s="129"/>
      <c r="H24" s="129"/>
      <c r="I24" s="129"/>
    </row>
    <row r="25" spans="1:36" ht="14.4">
      <c r="A25" s="357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37599</v>
      </c>
      <c r="D32" s="1775"/>
      <c r="E32" s="129"/>
      <c r="F32" s="129"/>
      <c r="G32" s="129"/>
      <c r="H32" s="129"/>
      <c r="I32" s="129"/>
    </row>
    <row r="33" spans="1:15" ht="14.4">
      <c r="A33" s="786" t="s">
        <v>1306</v>
      </c>
      <c r="B33" s="1776"/>
      <c r="C33" s="1777"/>
      <c r="D33" s="1778"/>
      <c r="E33" s="1779" t="s">
        <v>1307</v>
      </c>
      <c r="F33" s="1780" t="str">
        <f>IF(D32="楼面单价","取值（单价）","取值（总价）")</f>
        <v>取值（总价）</v>
      </c>
      <c r="G33" s="129"/>
      <c r="H33" s="129"/>
      <c r="I33" s="129"/>
    </row>
    <row r="34" spans="1:15" ht="14.4">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 thickBot="1">
      <c r="A36" s="3598" t="s">
        <v>1312</v>
      </c>
      <c r="B36" s="1787" t="s">
        <v>1313</v>
      </c>
      <c r="C36" s="145"/>
      <c r="D36" s="1788"/>
      <c r="E36" s="1789"/>
      <c r="F36" s="1790"/>
      <c r="G36" s="129"/>
      <c r="H36" s="129"/>
      <c r="I36" s="129"/>
    </row>
    <row r="37" spans="1:15" ht="15" thickBot="1">
      <c r="A37" s="3599"/>
      <c r="B37" s="1674" t="s">
        <v>1314</v>
      </c>
      <c r="C37" s="147"/>
      <c r="D37" s="1139"/>
      <c r="E37" s="1139"/>
      <c r="F37" s="1790"/>
      <c r="G37" s="129"/>
      <c r="H37" s="129"/>
      <c r="I37" s="129"/>
    </row>
    <row r="38" spans="1:15" ht="15" thickBot="1">
      <c r="A38" s="3600"/>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5" t="s">
        <v>1326</v>
      </c>
      <c r="B45" s="3576"/>
      <c r="C45" s="3577"/>
      <c r="D45" s="155" t="e">
        <f ca="1">ROUND(H101*F45,0)</f>
        <v>#REF!</v>
      </c>
      <c r="E45" s="156" t="s">
        <v>1327</v>
      </c>
      <c r="F45" s="157">
        <v>1</v>
      </c>
      <c r="G45" s="158" t="s">
        <v>1328</v>
      </c>
      <c r="H45" s="129"/>
      <c r="I45" s="129"/>
      <c r="J45" s="3653" t="s">
        <v>1329</v>
      </c>
      <c r="K45" s="3653"/>
      <c r="L45" s="3653"/>
      <c r="M45" s="3653"/>
      <c r="N45" s="3653"/>
      <c r="O45" s="3653"/>
    </row>
    <row r="46" spans="1:15" ht="14.25" customHeight="1">
      <c r="A46" s="3572" t="s">
        <v>1330</v>
      </c>
      <c r="B46" s="3573"/>
      <c r="C46" s="3573"/>
      <c r="D46" s="3573"/>
      <c r="E46" s="3573"/>
      <c r="F46" s="3573"/>
      <c r="G46" s="3574"/>
      <c r="H46" s="1806"/>
      <c r="I46" s="159"/>
      <c r="J46" s="2523">
        <v>1</v>
      </c>
      <c r="K46" s="3634" t="s">
        <v>1331</v>
      </c>
      <c r="L46" s="3634"/>
      <c r="M46" s="3654"/>
      <c r="N46" s="3654"/>
      <c r="O46" s="3654"/>
    </row>
    <row r="47" spans="1:15" ht="12" customHeight="1">
      <c r="A47" s="160" t="s">
        <v>1332</v>
      </c>
      <c r="B47" s="161"/>
      <c r="C47" s="162"/>
      <c r="D47" s="1087" t="s">
        <v>1333</v>
      </c>
      <c r="E47" s="302" t="s">
        <v>1334</v>
      </c>
      <c r="F47" s="163" t="s">
        <v>1335</v>
      </c>
      <c r="G47" s="2546" t="s">
        <v>1336</v>
      </c>
      <c r="H47" s="2547"/>
      <c r="I47" s="159"/>
      <c r="J47" s="2523">
        <v>2</v>
      </c>
      <c r="K47" s="3634" t="s">
        <v>1337</v>
      </c>
      <c r="L47" s="3634"/>
      <c r="M47" s="3655">
        <f>'数据-取费表'!B2</f>
        <v>41356</v>
      </c>
      <c r="N47" s="3655"/>
      <c r="O47" s="3655"/>
    </row>
    <row r="48" spans="1:15" ht="26.4">
      <c r="A48" s="3603" t="s">
        <v>1338</v>
      </c>
      <c r="B48" s="3586"/>
      <c r="C48" s="3586"/>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634" t="s">
        <v>1340</v>
      </c>
      <c r="L48" s="3634"/>
      <c r="M48" s="3656" t="e">
        <f ca="1">H101</f>
        <v>#REF!</v>
      </c>
      <c r="N48" s="3656"/>
      <c r="O48" s="3656"/>
    </row>
    <row r="49" spans="1:35" ht="25.5" customHeight="1">
      <c r="A49" s="2333" t="s">
        <v>1341</v>
      </c>
      <c r="B49" s="3570" t="s">
        <v>1342</v>
      </c>
      <c r="C49" s="3570"/>
      <c r="D49" s="1590">
        <v>0</v>
      </c>
      <c r="E49" s="324" t="s">
        <v>1343</v>
      </c>
      <c r="F49" s="2424" t="s">
        <v>28</v>
      </c>
      <c r="G49" s="3640"/>
      <c r="H49" s="2310" t="s">
        <v>2134</v>
      </c>
      <c r="I49" s="2311"/>
      <c r="J49" s="2523">
        <v>4</v>
      </c>
      <c r="K49" s="3634" t="str">
        <f>IF(项目基本情况!E8="房地产抵押价值","房地产抵押价值","抵押担保权已注销时的房地产抵押价值")</f>
        <v>抵押担保权已注销时的房地产抵押价值</v>
      </c>
      <c r="L49" s="3634"/>
      <c r="M49" s="3656" t="str">
        <f>IF(项目基本情况!E8="房地产抵押价值",H107,H109)</f>
        <v>——</v>
      </c>
      <c r="N49" s="3656"/>
      <c r="O49" s="3656"/>
    </row>
    <row r="50" spans="1:35" ht="25.5" customHeight="1">
      <c r="A50" s="2551"/>
      <c r="B50" s="3570" t="s">
        <v>1344</v>
      </c>
      <c r="C50" s="3570"/>
      <c r="D50" s="2552"/>
      <c r="E50" s="332"/>
      <c r="F50" s="2424"/>
      <c r="G50" s="3641"/>
      <c r="H50" s="2312" t="s">
        <v>2135</v>
      </c>
      <c r="I50" s="2311"/>
      <c r="J50" s="3653" t="s">
        <v>1345</v>
      </c>
      <c r="K50" s="3653"/>
      <c r="L50" s="3653"/>
      <c r="M50" s="3653"/>
      <c r="N50" s="3653"/>
      <c r="O50" s="3653"/>
    </row>
    <row r="51" spans="1:35" ht="20.399999999999999" customHeight="1">
      <c r="A51" s="2553"/>
      <c r="B51" s="3570" t="s">
        <v>1346</v>
      </c>
      <c r="C51" s="3570"/>
      <c r="D51" s="1087"/>
      <c r="E51" s="327"/>
      <c r="F51" s="2424"/>
      <c r="G51" s="3642"/>
      <c r="H51" s="2312" t="s">
        <v>2136</v>
      </c>
      <c r="I51" s="2311"/>
      <c r="J51" s="2524" t="s">
        <v>1347</v>
      </c>
      <c r="K51" s="3634" t="s">
        <v>1348</v>
      </c>
      <c r="L51" s="3634"/>
      <c r="M51" s="2524" t="s">
        <v>1349</v>
      </c>
      <c r="N51" s="2524" t="s">
        <v>1350</v>
      </c>
      <c r="O51" s="2524" t="s">
        <v>1351</v>
      </c>
    </row>
    <row r="52" spans="1:35" ht="24" customHeight="1">
      <c r="A52" s="2335" t="s">
        <v>1352</v>
      </c>
      <c r="B52" s="3570" t="s">
        <v>1353</v>
      </c>
      <c r="C52" s="3570"/>
      <c r="D52" s="1087" t="e">
        <f ca="1">ROUND(D45*'数据-取费表'!B41/(1+'数据-取费表'!C42),0)</f>
        <v>#REF!</v>
      </c>
      <c r="E52" s="2334" t="s">
        <v>1354</v>
      </c>
      <c r="F52" s="2554">
        <f>'数据-取费表'!B41</f>
        <v>5.6000000000000001E-2</v>
      </c>
      <c r="G52" s="2555"/>
      <c r="H52" s="2544"/>
      <c r="I52" s="1807"/>
      <c r="J52" s="2523">
        <v>1</v>
      </c>
      <c r="K52" s="3635" t="s">
        <v>1355</v>
      </c>
      <c r="L52" s="3635"/>
      <c r="M52" s="2525" t="b">
        <f>D48</f>
        <v>0</v>
      </c>
      <c r="N52" s="2523" t="str">
        <f>E48</f>
        <v>销售额×税（费）率</v>
      </c>
      <c r="O52" s="2526">
        <f>F48</f>
        <v>5.6000000000000001E-2</v>
      </c>
    </row>
    <row r="53" spans="1:35" ht="12" customHeight="1">
      <c r="A53" s="2335" t="s">
        <v>1356</v>
      </c>
      <c r="B53" s="3596" t="s">
        <v>2291</v>
      </c>
      <c r="C53" s="3597"/>
      <c r="D53" s="1087" t="e">
        <f ca="1">ROUND(D45*'数据-取费表'!B41/(1+'数据-取费表'!C42),0)</f>
        <v>#REF!</v>
      </c>
      <c r="E53" s="2334" t="s">
        <v>1354</v>
      </c>
      <c r="F53" s="2554">
        <f>'数据-取费表'!B41</f>
        <v>5.6000000000000001E-2</v>
      </c>
      <c r="G53" s="2555"/>
      <c r="H53" s="2544"/>
      <c r="I53" s="1807"/>
      <c r="J53" s="2523">
        <v>2</v>
      </c>
      <c r="K53" s="3635" t="s">
        <v>1357</v>
      </c>
      <c r="L53" s="3635"/>
      <c r="M53" s="2525" t="e">
        <f t="shared" ref="M53:O54" ca="1" si="0">D55</f>
        <v>#REF!</v>
      </c>
      <c r="N53" s="2523" t="str">
        <f t="shared" si="0"/>
        <v>销售额×税（费）率</v>
      </c>
      <c r="O53" s="2526" t="str">
        <f t="shared" si="0"/>
        <v>免征</v>
      </c>
    </row>
    <row r="54" spans="1:35" ht="12" customHeight="1">
      <c r="A54" s="2335" t="s">
        <v>1358</v>
      </c>
      <c r="B54" s="3596" t="s">
        <v>2292</v>
      </c>
      <c r="C54" s="3597"/>
      <c r="D54" s="1087" t="e">
        <f ca="1">C68</f>
        <v>#REF!</v>
      </c>
      <c r="E54" s="327" t="s">
        <v>1359</v>
      </c>
      <c r="F54" s="2554">
        <f>'数据-取费表'!B41</f>
        <v>5.6000000000000001E-2</v>
      </c>
      <c r="G54" s="2555"/>
      <c r="H54" s="2556"/>
      <c r="I54" s="1807"/>
      <c r="J54" s="2523">
        <v>3</v>
      </c>
      <c r="K54" s="3635" t="s">
        <v>1360</v>
      </c>
      <c r="L54" s="3635"/>
      <c r="M54" s="2525" t="e">
        <f t="shared" ca="1" si="0"/>
        <v>#REF!</v>
      </c>
      <c r="N54" s="2523" t="str">
        <f t="shared" si="0"/>
        <v>增值额×税（费）率</v>
      </c>
      <c r="O54" s="2527" t="str">
        <f t="shared" si="0"/>
        <v>免征</v>
      </c>
    </row>
    <row r="55" spans="1:35" ht="24" customHeight="1">
      <c r="A55" s="3585" t="s">
        <v>1361</v>
      </c>
      <c r="B55" s="3586"/>
      <c r="C55" s="3586"/>
      <c r="D55" s="2324" t="e">
        <f ca="1">IF(H55="个人住宅",0,ROUND(D45*I55,0))</f>
        <v>#REF!</v>
      </c>
      <c r="E55" s="2334" t="s">
        <v>1362</v>
      </c>
      <c r="F55" s="2554" t="str">
        <f>IF(H55="正常",I55,"免征")</f>
        <v>免征</v>
      </c>
      <c r="G55" s="2555"/>
      <c r="H55" s="2550"/>
      <c r="I55" s="165">
        <f>'数据-取费表'!B49</f>
        <v>5.0000000000000001E-4</v>
      </c>
      <c r="J55" s="2523">
        <f>IF(H59="非个人房产","",4)</f>
        <v>4</v>
      </c>
      <c r="K55" s="3635" t="str">
        <f>IF(H59="非个人房产","——","个人所得税")</f>
        <v>个人所得税</v>
      </c>
      <c r="L55" s="3635"/>
      <c r="M55" s="2528" t="e">
        <f ca="1">D59</f>
        <v>#REF!</v>
      </c>
      <c r="N55" s="2040" t="str">
        <f>E59</f>
        <v>差额计税</v>
      </c>
      <c r="O55" s="2529">
        <f>F59</f>
        <v>0.01</v>
      </c>
    </row>
    <row r="56" spans="1:35" ht="25.2">
      <c r="A56" s="3585" t="s">
        <v>1363</v>
      </c>
      <c r="B56" s="3586"/>
      <c r="C56" s="3586"/>
      <c r="D56" s="2324" t="e">
        <f ca="1">IF(H56="个人住宅",D57,D58)</f>
        <v>#REF!</v>
      </c>
      <c r="E56" s="2334" t="s">
        <v>1364</v>
      </c>
      <c r="F56" s="2554" t="str">
        <f>IF(H56="正常",F58,"免征")</f>
        <v>免征</v>
      </c>
      <c r="G56" s="2557" t="s">
        <v>1365</v>
      </c>
      <c r="H56" s="2558"/>
      <c r="I56" s="1808"/>
      <c r="J56" s="2523" t="str">
        <f>IF(项目基本情况!K6="上海银行",IF(J55="",4,J55+1),"")</f>
        <v/>
      </c>
      <c r="K56" s="3658" t="str">
        <f>IF(项目基本情况!K6="上海银行","其他处置费用","")</f>
        <v/>
      </c>
      <c r="L56" s="3659"/>
      <c r="M56" s="2525" t="str">
        <f>IF(项目基本情况!K6="上海银行",M69,"")</f>
        <v/>
      </c>
      <c r="N56" s="3658" t="str">
        <f>IF(项目基本情况!K6="上海银行","包含处置中涉及的律师、诉讼、拍卖、评估等费用","")</f>
        <v/>
      </c>
      <c r="O56" s="3661"/>
    </row>
    <row r="57" spans="1:35" ht="13.2">
      <c r="A57" s="2335" t="s">
        <v>1341</v>
      </c>
      <c r="B57" s="3596" t="s">
        <v>1366</v>
      </c>
      <c r="C57" s="3597"/>
      <c r="D57" s="1590">
        <v>0</v>
      </c>
      <c r="E57" s="324" t="s">
        <v>1343</v>
      </c>
      <c r="F57" s="302"/>
      <c r="G57" s="2555"/>
      <c r="H57" s="2559"/>
      <c r="I57" s="1808"/>
      <c r="J57" s="3635">
        <f>IF(AND(J55="",J56=""),4,IF(项目基本情况!K6="上海银行",结果表!J56+1,结果表!J55+1))</f>
        <v>5</v>
      </c>
      <c r="K57" s="3635" t="s">
        <v>1367</v>
      </c>
      <c r="L57" s="2530" t="s">
        <v>1368</v>
      </c>
      <c r="M57" s="2531"/>
      <c r="N57" s="2532">
        <f ca="1">SUMIF(M52:M56,"&lt;9e307")</f>
        <v>0</v>
      </c>
      <c r="O57" s="2533"/>
      <c r="P57" s="2690" t="e">
        <f ca="1">N57/M49</f>
        <v>#VALUE!</v>
      </c>
    </row>
    <row r="58" spans="1:35" ht="25.2">
      <c r="A58" s="2335" t="s">
        <v>1352</v>
      </c>
      <c r="B58" s="3596" t="s">
        <v>1369</v>
      </c>
      <c r="C58" s="3570"/>
      <c r="D58" s="2324" t="e">
        <f ca="1">IF(H58="转让取得",C81,C97)</f>
        <v>#REF!</v>
      </c>
      <c r="E58" s="2334" t="s">
        <v>1364</v>
      </c>
      <c r="F58" s="302" t="s">
        <v>28</v>
      </c>
      <c r="G58" s="2555"/>
      <c r="H58" s="2558"/>
      <c r="I58" s="1808"/>
      <c r="J58" s="3635"/>
      <c r="K58" s="3635"/>
      <c r="L58" s="2530" t="s">
        <v>1370</v>
      </c>
      <c r="M58" s="2534"/>
      <c r="N58" s="2535" t="str">
        <f ca="1">NUMBERSTRING(INT(N57*10000),2)&amp;"元整"</f>
        <v>零元整</v>
      </c>
      <c r="O58" s="2536"/>
    </row>
    <row r="59" spans="1:35" ht="24.6" thickBot="1">
      <c r="A59" s="3638" t="s">
        <v>1371</v>
      </c>
      <c r="B59" s="3639"/>
      <c r="C59" s="3639"/>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6">
        <f>J57+1</f>
        <v>6</v>
      </c>
      <c r="K59" s="3635" t="s">
        <v>1372</v>
      </c>
      <c r="L59" s="2523" t="s">
        <v>1368</v>
      </c>
      <c r="M59" s="2537"/>
      <c r="N59" s="2538" t="e">
        <f ca="1">M49-N57</f>
        <v>#VALUE!</v>
      </c>
      <c r="O59" s="2539"/>
    </row>
    <row r="60" spans="1:35" ht="12" customHeight="1">
      <c r="A60" s="1809"/>
      <c r="B60" s="1747"/>
      <c r="C60" s="1747"/>
      <c r="D60" s="1747"/>
      <c r="E60" s="1578"/>
      <c r="F60" s="1808"/>
      <c r="G60" s="1808"/>
      <c r="H60" s="1810"/>
      <c r="I60" s="129"/>
      <c r="J60" s="3637"/>
      <c r="K60" s="3635"/>
      <c r="L60" s="2530" t="s">
        <v>1370</v>
      </c>
      <c r="M60" s="2534"/>
      <c r="N60" s="2535" t="e">
        <f ca="1">NUMBERSTRING(INT(N59*10000),2)&amp;"元整"</f>
        <v>#VALUE!</v>
      </c>
      <c r="O60" s="2536"/>
    </row>
    <row r="61" spans="1:35" ht="13.8" thickBot="1">
      <c r="A61" s="3583" t="s">
        <v>1373</v>
      </c>
      <c r="B61" s="3583"/>
      <c r="C61" s="3583"/>
      <c r="D61" s="3583"/>
      <c r="E61" s="3583"/>
      <c r="F61" s="1808"/>
      <c r="G61" s="1808"/>
      <c r="H61" s="1810"/>
      <c r="I61" s="129"/>
      <c r="J61" s="2523">
        <f>J59+1</f>
        <v>7</v>
      </c>
      <c r="K61" s="3635" t="s">
        <v>1374</v>
      </c>
      <c r="L61" s="3635"/>
      <c r="M61" s="2540"/>
      <c r="N61" s="2541" t="e">
        <f ca="1">ROUND(N59*10000/'数据-汇总表'!E3,0)</f>
        <v>#VALUE!</v>
      </c>
      <c r="O61" s="2542"/>
    </row>
    <row r="62" spans="1:35" ht="13.2">
      <c r="A62" s="3601" t="s">
        <v>1375</v>
      </c>
      <c r="B62" s="3602"/>
      <c r="C62" s="2021"/>
      <c r="D62" s="2021" t="s">
        <v>1376</v>
      </c>
      <c r="E62" s="166" t="s">
        <v>1377</v>
      </c>
      <c r="F62" s="1808"/>
      <c r="G62" s="1808"/>
      <c r="H62" s="1810"/>
      <c r="I62" s="129"/>
    </row>
    <row r="63" spans="1:35" ht="13.2">
      <c r="A63" s="173" t="s">
        <v>330</v>
      </c>
      <c r="B63" s="167" t="s">
        <v>1378</v>
      </c>
      <c r="C63" s="2564" t="e">
        <f ca="1">ROUND((C64+C65)/(1+'数据-取费表'!C42),0)</f>
        <v>#REF!</v>
      </c>
      <c r="D63" s="167"/>
      <c r="E63" s="168"/>
      <c r="F63" s="1808"/>
      <c r="G63" s="1808"/>
      <c r="H63" s="1810"/>
      <c r="I63" s="129"/>
      <c r="J63" s="3660"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6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60"/>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60"/>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6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5.6000000000000001E-2</v>
      </c>
      <c r="E68" s="178"/>
      <c r="F68" s="1808"/>
      <c r="G68" s="1808"/>
      <c r="H68" s="1810"/>
      <c r="I68" s="129"/>
      <c r="J68" s="3660"/>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60"/>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2" t="s">
        <v>1394</v>
      </c>
      <c r="B70" s="3623"/>
      <c r="C70" s="3623"/>
      <c r="D70" s="3623"/>
      <c r="E70" s="3623"/>
      <c r="F70" s="3623"/>
      <c r="G70" s="3623"/>
      <c r="H70" s="3623"/>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01" t="s">
        <v>1375</v>
      </c>
      <c r="B71" s="3602"/>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6" t="s">
        <v>1402</v>
      </c>
      <c r="F76" s="3570"/>
      <c r="G76" s="3570"/>
      <c r="H76" s="362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6.000000000000001E-3</v>
      </c>
      <c r="E78" s="3580" t="s">
        <v>1406</v>
      </c>
      <c r="F78" s="3581"/>
      <c r="G78" s="3581"/>
      <c r="H78" s="359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2" t="s">
        <v>1410</v>
      </c>
      <c r="B83" s="3623"/>
      <c r="C83" s="3623"/>
      <c r="D83" s="3623"/>
      <c r="E83" s="3623"/>
      <c r="F83" s="3623"/>
      <c r="G83" s="3623"/>
      <c r="H83" s="362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01" t="s">
        <v>1375</v>
      </c>
      <c r="B84" s="360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2"/>
      <c r="D90" s="2577"/>
      <c r="E90" s="193" t="str">
        <f>IF(H88="-","土地取得成本中已包含该笔费用"," ")</f>
        <v xml:space="preserve"> </v>
      </c>
      <c r="F90" s="2327"/>
      <c r="G90" s="3662" t="s">
        <v>2129</v>
      </c>
      <c r="H90" s="366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0" t="s">
        <v>1419</v>
      </c>
      <c r="F91" s="3581"/>
      <c r="G91" s="358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0" t="s">
        <v>1422</v>
      </c>
      <c r="F92" s="3581"/>
      <c r="G92" s="3581"/>
      <c r="H92" s="3590"/>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6.000000000000001E-3</v>
      </c>
      <c r="E93" s="3580" t="s">
        <v>1406</v>
      </c>
      <c r="F93" s="3581"/>
      <c r="G93" s="3581"/>
      <c r="H93" s="359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1" t="s">
        <v>1426</v>
      </c>
      <c r="F94" s="3592"/>
      <c r="G94" s="3592"/>
      <c r="H94" s="359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4" t="s">
        <v>1428</v>
      </c>
      <c r="B100" s="3565"/>
      <c r="C100" s="3565"/>
      <c r="D100" s="3582"/>
      <c r="E100" s="3565" t="s">
        <v>1429</v>
      </c>
      <c r="F100" s="3565"/>
      <c r="G100" s="3565"/>
      <c r="H100" s="3582"/>
      <c r="I100" s="129"/>
    </row>
    <row r="101" spans="1:35" ht="18.75" customHeight="1">
      <c r="A101" s="3643" t="s">
        <v>1430</v>
      </c>
      <c r="B101" s="3644"/>
      <c r="C101" s="2585" t="str">
        <f>C4</f>
        <v>比较法-住宅</v>
      </c>
      <c r="D101" s="2586" t="str">
        <f>D4</f>
        <v>成本法 (元)</v>
      </c>
      <c r="E101" s="3657" t="s">
        <v>1431</v>
      </c>
      <c r="F101" s="3614"/>
      <c r="G101" s="1827" t="s">
        <v>1432</v>
      </c>
      <c r="H101" s="2595" t="e">
        <f ca="1">H118</f>
        <v>#REF!</v>
      </c>
      <c r="I101" s="129"/>
    </row>
    <row r="102" spans="1:35" ht="18.75" customHeight="1">
      <c r="A102" s="3616" t="s">
        <v>1433</v>
      </c>
      <c r="B102" s="2584" t="s">
        <v>1432</v>
      </c>
      <c r="C102" s="2585">
        <f ca="1">IF(D32="楼面单价",ROUND(C19,0),C19)</f>
        <v>1147.972</v>
      </c>
      <c r="D102" s="2586">
        <f ca="1">IF(D32="楼面单价",ROUND(D19,0),D19)</f>
        <v>590.14700000000005</v>
      </c>
      <c r="E102" s="3657"/>
      <c r="F102" s="3614"/>
      <c r="G102" s="1827" t="s">
        <v>1434</v>
      </c>
      <c r="H102" s="2555" t="e">
        <f ca="1">I118</f>
        <v>#REF!</v>
      </c>
      <c r="I102" s="129"/>
    </row>
    <row r="103" spans="1:35" ht="42.75" customHeight="1">
      <c r="A103" s="3616"/>
      <c r="B103" s="2584" t="s">
        <v>1434</v>
      </c>
      <c r="C103" s="2587">
        <f ca="1">C20</f>
        <v>41646</v>
      </c>
      <c r="D103" s="2588">
        <f ca="1">D20</f>
        <v>21409</v>
      </c>
      <c r="E103" s="3651" t="s">
        <v>1435</v>
      </c>
      <c r="F103" s="3652"/>
      <c r="G103" s="1828" t="s">
        <v>1436</v>
      </c>
      <c r="H103" s="2595">
        <f>IF(D36="正常操作",H104+H105+H106,H105+H106)</f>
        <v>0</v>
      </c>
      <c r="I103" s="129"/>
    </row>
    <row r="104" spans="1:35" ht="18.75" customHeight="1">
      <c r="A104" s="3616"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7"/>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3" t="str">
        <f>IF(项目基本情况!E8="已注销","——","3.房地产抵押价值")</f>
        <v>3.房地产抵押价值</v>
      </c>
      <c r="F107" s="3614"/>
      <c r="G107" s="1827" t="s">
        <v>1432</v>
      </c>
      <c r="H107" s="2595" t="e">
        <f ca="1">IF(E107="——","——",H101-H103)</f>
        <v>#REF!</v>
      </c>
      <c r="I107" s="129"/>
    </row>
    <row r="108" spans="1:35" ht="18.75" customHeight="1">
      <c r="A108" s="129"/>
      <c r="B108" s="129"/>
      <c r="C108" s="129"/>
      <c r="D108" s="129"/>
      <c r="E108" s="3613"/>
      <c r="F108" s="3614"/>
      <c r="G108" s="1827" t="s">
        <v>1434</v>
      </c>
      <c r="H108" s="2555">
        <f ca="1">IF(H107=H101,H102,ROUND(H107*10000/'数据-汇总表'!E3,0))</f>
        <v>0</v>
      </c>
      <c r="I108" s="129"/>
    </row>
    <row r="109" spans="1:35" ht="18.75" customHeight="1">
      <c r="A109" s="129"/>
      <c r="B109" s="129"/>
      <c r="C109" s="129"/>
      <c r="D109" s="129"/>
      <c r="E109" s="3613" t="str">
        <f>IF(项目基本情况!E8="已注销及未注销","4.抵押担保权已注销时的房地产抵押价值",IF(项目基本情况!E8="已注销","3.抵押担保权已注销时的房地产抵押价值","——"))</f>
        <v>——</v>
      </c>
      <c r="F109" s="3614"/>
      <c r="G109" s="1827" t="s">
        <v>1432</v>
      </c>
      <c r="H109" s="2598" t="str">
        <f>IF(E109="——","——",H101-H105-H106)</f>
        <v>——</v>
      </c>
      <c r="I109" s="129"/>
    </row>
    <row r="110" spans="1:35" ht="18.75" customHeight="1">
      <c r="A110" s="129"/>
      <c r="B110" s="129"/>
      <c r="C110" s="129"/>
      <c r="D110" s="129"/>
      <c r="E110" s="3613"/>
      <c r="F110" s="3614"/>
      <c r="G110" s="1827" t="s">
        <v>1434</v>
      </c>
      <c r="H110" s="2555" t="str">
        <f>IF(H109="——","——",ROUND(H109*10000/'数据-汇总表'!E3,0))</f>
        <v>——</v>
      </c>
      <c r="I110" s="129"/>
    </row>
    <row r="111" spans="1:35" ht="18.75" customHeight="1">
      <c r="A111" s="129"/>
      <c r="B111" s="129"/>
      <c r="C111" s="129"/>
      <c r="D111" s="129"/>
      <c r="E111" s="3645" t="str">
        <f>IF(项目基本情况!E9="抵押净值",IF(OR(项目基本情况!E8="已注销",项目基本情况!E8="房地产抵押价值"),"4.抵押净值","5.抵押净值"),"——")</f>
        <v>——</v>
      </c>
      <c r="F111" s="3615"/>
      <c r="G111" s="1827" t="s">
        <v>1432</v>
      </c>
      <c r="H111" s="2595" t="str">
        <f>IF(E111="——","——",N59)</f>
        <v>——</v>
      </c>
      <c r="I111" s="129"/>
    </row>
    <row r="112" spans="1:35" ht="18.75" customHeight="1" thickBot="1">
      <c r="A112" s="129"/>
      <c r="B112" s="129"/>
      <c r="C112" s="129"/>
      <c r="D112" s="129"/>
      <c r="E112" s="3646"/>
      <c r="F112" s="3647"/>
      <c r="G112" s="1830" t="s">
        <v>1434</v>
      </c>
      <c r="H112" s="2599" t="str">
        <f>IF(E111="——","——",N61)</f>
        <v>——</v>
      </c>
      <c r="I112" s="129"/>
    </row>
    <row r="113" spans="1:27" ht="18.75" customHeight="1">
      <c r="A113" s="129"/>
      <c r="B113" s="129"/>
      <c r="C113" s="129"/>
      <c r="D113" s="129"/>
      <c r="E113" s="3618" t="s">
        <v>1440</v>
      </c>
      <c r="F113" s="3618"/>
      <c r="G113" s="3618"/>
      <c r="H113" s="3618"/>
      <c r="I113" s="129"/>
    </row>
    <row r="114" spans="1:27" ht="3.75" customHeight="1">
      <c r="A114" s="1747"/>
      <c r="B114" s="1747"/>
      <c r="C114" s="1747"/>
      <c r="D114" s="1747"/>
      <c r="E114" s="1809"/>
      <c r="F114" s="1809"/>
      <c r="G114" s="1809"/>
      <c r="H114" s="1809"/>
      <c r="I114" s="1747"/>
    </row>
    <row r="115" spans="1:27" ht="18.75" customHeight="1">
      <c r="A115" s="3628" t="s">
        <v>1442</v>
      </c>
      <c r="B115" s="3629"/>
      <c r="C115" s="3629"/>
      <c r="D115" s="3629"/>
      <c r="E115" s="3629"/>
      <c r="F115" s="3629"/>
      <c r="G115" s="3629"/>
      <c r="H115" s="3629"/>
      <c r="I115" s="3630"/>
    </row>
    <row r="116" spans="1:27" ht="27" customHeight="1">
      <c r="A116" s="3584" t="s">
        <v>1443</v>
      </c>
      <c r="B116" s="3619" t="s">
        <v>1444</v>
      </c>
      <c r="C116" s="3619" t="s">
        <v>1445</v>
      </c>
      <c r="D116" s="3632" t="s">
        <v>1446</v>
      </c>
      <c r="E116" s="3633"/>
      <c r="F116" s="3627" t="s">
        <v>1447</v>
      </c>
      <c r="G116" s="3627"/>
      <c r="H116" s="3584" t="s">
        <v>1448</v>
      </c>
      <c r="I116" s="3584"/>
    </row>
    <row r="117" spans="1:27" ht="18.75" customHeight="1">
      <c r="A117" s="3584"/>
      <c r="B117" s="3620"/>
      <c r="C117" s="3620"/>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275.64999999999998</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4" t="s">
        <v>1452</v>
      </c>
      <c r="B119" s="3584"/>
      <c r="C119" s="3584"/>
      <c r="D119" s="3624" t="e">
        <f ca="1">NUMBERSTRING(INT(D118*10000),2)&amp;"元整"</f>
        <v>#REF!</v>
      </c>
      <c r="E119" s="3626"/>
      <c r="F119" s="3624" t="e">
        <f ca="1">NUMBERSTRING(INT(F118*10000),2)&amp;"元整"</f>
        <v>#REF!</v>
      </c>
      <c r="G119" s="3626"/>
      <c r="H119" s="3624" t="e">
        <f ca="1">NUMBERSTRING(INT(H118*10000),2)&amp;"元整"</f>
        <v>#REF!</v>
      </c>
      <c r="I119" s="3626"/>
    </row>
    <row r="120" spans="1:27" ht="18.75" customHeight="1">
      <c r="A120" s="3648" t="str">
        <f>IF(项目基本情况!B9="房地产市场价值","",MID(E103,3,LEN(E103)-2))</f>
        <v/>
      </c>
      <c r="B120" s="3649"/>
      <c r="C120" s="3650"/>
      <c r="D120" s="3648">
        <f>H103</f>
        <v>0</v>
      </c>
      <c r="E120" s="3649"/>
      <c r="F120" s="3649"/>
      <c r="G120" s="3649"/>
      <c r="H120" s="3649"/>
      <c r="I120" s="365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24" t="s">
        <v>1452</v>
      </c>
      <c r="B121" s="3625"/>
      <c r="C121" s="3626"/>
      <c r="D121" s="3624" t="str">
        <f>IF(D120=0,"零元整",NUMBERSTRING(INT(D120*10000),2)&amp;"元整")</f>
        <v>零元整</v>
      </c>
      <c r="E121" s="3625"/>
      <c r="F121" s="3625"/>
      <c r="G121" s="3625"/>
      <c r="H121" s="3625"/>
      <c r="I121" s="3626"/>
      <c r="AA121" s="725"/>
    </row>
    <row r="122" spans="1:27" ht="18.75" customHeight="1">
      <c r="A122" s="3615" t="str">
        <f>IF(项目基本情况!B9="房地产市场价值","",MID(E107,3,LEN(E107)-2))</f>
        <v/>
      </c>
      <c r="B122" s="3615"/>
      <c r="C122" s="3615"/>
      <c r="D122" s="3648" t="e">
        <f ca="1">H107</f>
        <v>#REF!</v>
      </c>
      <c r="E122" s="3649"/>
      <c r="F122" s="3649"/>
      <c r="G122" s="3649"/>
      <c r="H122" s="3649"/>
      <c r="I122" s="3650"/>
      <c r="AA122" s="725"/>
    </row>
    <row r="123" spans="1:27" ht="18.75" customHeight="1">
      <c r="A123" s="3584" t="s">
        <v>1452</v>
      </c>
      <c r="B123" s="3584"/>
      <c r="C123" s="3584"/>
      <c r="D123" s="3624" t="e">
        <f ca="1">NUMBERSTRING(INT(D122*10000),2)&amp;"元整"</f>
        <v>#REF!</v>
      </c>
      <c r="E123" s="3625"/>
      <c r="F123" s="3625"/>
      <c r="G123" s="3625"/>
      <c r="H123" s="3625"/>
      <c r="I123" s="3626"/>
      <c r="AA123" s="725"/>
    </row>
    <row r="124" spans="1:27" ht="18.75" customHeight="1">
      <c r="A124" s="3615" t="str">
        <f>IF(项目基本情况!B9="房地产市场价值","",MID(E109,3,LEN(E109)-2))</f>
        <v/>
      </c>
      <c r="B124" s="3615"/>
      <c r="C124" s="3615"/>
      <c r="D124" s="3648" t="str">
        <f>H109</f>
        <v>——</v>
      </c>
      <c r="E124" s="3649"/>
      <c r="F124" s="3649"/>
      <c r="G124" s="3649"/>
      <c r="H124" s="3649"/>
      <c r="I124" s="3650"/>
      <c r="AA124" s="725"/>
    </row>
    <row r="125" spans="1:27" ht="18.75" customHeight="1">
      <c r="A125" s="3584" t="s">
        <v>1452</v>
      </c>
      <c r="B125" s="3584"/>
      <c r="C125" s="3584"/>
      <c r="D125" s="3624" t="e">
        <f>NUMBERSTRING(INT(D124*10000),2)&amp;"元整"</f>
        <v>#VALUE!</v>
      </c>
      <c r="E125" s="3625"/>
      <c r="F125" s="3625"/>
      <c r="G125" s="3625"/>
      <c r="H125" s="3625"/>
      <c r="I125" s="3626"/>
      <c r="AA125" s="725"/>
    </row>
    <row r="126" spans="1:27" ht="18.75" customHeight="1">
      <c r="A126" s="3615" t="str">
        <f>IF(项目基本情况!B9="房地产市场价值","",MID(E111,3,LEN(E111)-2))</f>
        <v/>
      </c>
      <c r="B126" s="3615"/>
      <c r="C126" s="3615"/>
      <c r="D126" s="3648" t="str">
        <f>H111</f>
        <v>——</v>
      </c>
      <c r="E126" s="3649"/>
      <c r="F126" s="3649"/>
      <c r="G126" s="3649"/>
      <c r="H126" s="3649"/>
      <c r="I126" s="3650"/>
      <c r="AA126" s="725"/>
    </row>
    <row r="127" spans="1:27" ht="18.75" customHeight="1">
      <c r="A127" s="3584" t="s">
        <v>1452</v>
      </c>
      <c r="B127" s="3584"/>
      <c r="C127" s="3584"/>
      <c r="D127" s="3624" t="e">
        <f>NUMBERSTRING(INT(D126*10000),2)&amp;"元整"</f>
        <v>#VALUE!</v>
      </c>
      <c r="E127" s="3625"/>
      <c r="F127" s="3625"/>
      <c r="G127" s="3625"/>
      <c r="H127" s="3625"/>
      <c r="I127" s="3626"/>
      <c r="AA127" s="725"/>
    </row>
    <row r="128" spans="1:27" ht="21.75" customHeight="1">
      <c r="A128" s="3631" t="s">
        <v>1453</v>
      </c>
      <c r="B128" s="3631"/>
      <c r="C128" s="3631"/>
      <c r="D128" s="3631"/>
      <c r="E128" s="3631"/>
      <c r="F128" s="3631"/>
      <c r="G128" s="3631"/>
      <c r="H128" s="3631"/>
      <c r="I128" s="363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208</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7546</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4</v>
      </c>
      <c r="D9" s="845">
        <f ca="1">IF(B1="",'数据-汇总表'!E5,IF(INDIRECT("'数据-取费表'!c"&amp;$G$1)="住宅",INDIRECT("'数据-取费表'!k"&amp;$G$1),0))</f>
        <v>275.64999999999998</v>
      </c>
      <c r="E9" s="225">
        <f>'数据-取费表'!B27</f>
        <v>160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6</v>
      </c>
      <c r="D19" s="849">
        <f ca="1">D9+D10</f>
        <v>275.64999999999998</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1.1999999999999999E-3</v>
      </c>
      <c r="E22" s="236" t="s">
        <v>1498</v>
      </c>
      <c r="F22" s="237">
        <f ca="1">'数据-取费表'!B40</f>
        <v>6.1500000000000006E-2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1.1999999999999999E-3</v>
      </c>
      <c r="D26" s="238"/>
      <c r="E26" s="241"/>
      <c r="F26" s="239"/>
      <c r="G26" s="243"/>
    </row>
    <row r="27" spans="1:7" s="214" customFormat="1" ht="26.4">
      <c r="A27" s="255" t="s">
        <v>1512</v>
      </c>
      <c r="B27" s="244" t="s">
        <v>1513</v>
      </c>
      <c r="C27" s="245">
        <f ca="1">C28</f>
        <v>2</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10</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136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105</v>
      </c>
      <c r="D34" s="217"/>
      <c r="E34" s="220"/>
      <c r="F34" s="257">
        <f ca="1">IF('数据-取费表'!B24=0,1,IF(B1="",'数据-取费表'!N16,INDIRECT("'数据-取费表'!n"&amp;$G$1)))</f>
        <v>1</v>
      </c>
      <c r="G34" s="219" t="s">
        <v>1526</v>
      </c>
    </row>
    <row r="35" spans="1:7" ht="13.5" customHeight="1">
      <c r="A35" s="780" t="s">
        <v>351</v>
      </c>
      <c r="B35" s="215" t="s">
        <v>1527</v>
      </c>
      <c r="C35" s="220">
        <f ca="1">ROUND(C34*F35,0)</f>
        <v>11</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6</v>
      </c>
      <c r="D37" s="217">
        <f ca="1">D19</f>
        <v>275.64999999999998</v>
      </c>
      <c r="E37" s="249">
        <f>'数据-取费表'!B35</f>
        <v>200</v>
      </c>
      <c r="F37" s="259"/>
      <c r="G37" s="261" t="s">
        <v>1532</v>
      </c>
    </row>
    <row r="38" spans="1:7" ht="13.5" customHeight="1">
      <c r="A38" s="780" t="s">
        <v>354</v>
      </c>
      <c r="B38" s="215" t="s">
        <v>1533</v>
      </c>
      <c r="C38" s="220">
        <f ca="1">ROUND(C34*F38,0)</f>
        <v>3</v>
      </c>
      <c r="D38" s="220"/>
      <c r="E38" s="220"/>
      <c r="F38" s="259">
        <f>'数据-取费表'!B36</f>
        <v>0.03</v>
      </c>
      <c r="G38" s="219" t="s">
        <v>1528</v>
      </c>
    </row>
    <row r="39" spans="1:7" s="214" customFormat="1" ht="13.5" customHeight="1">
      <c r="A39" s="255" t="s">
        <v>1534</v>
      </c>
      <c r="B39" s="210" t="s">
        <v>1535</v>
      </c>
      <c r="C39" s="232">
        <f ca="1">ROUND(C33*F20,0)</f>
        <v>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64" t="s">
        <v>1544</v>
      </c>
    </row>
    <row r="43" spans="1:7" ht="13.5" customHeight="1">
      <c r="A43" s="780" t="s">
        <v>347</v>
      </c>
      <c r="B43" s="215" t="s">
        <v>1545</v>
      </c>
      <c r="C43" s="238">
        <f ca="1">ROUND(IF('数据-取费表'!B22&lt;=1,C39*F22*'数据-取费表'!B21/2,C39*(POWER((1+F22),'数据-取费表'!B21/2)-1)),0)</f>
        <v>0</v>
      </c>
      <c r="D43" s="238"/>
      <c r="E43" s="238"/>
      <c r="F43" s="239"/>
      <c r="G43" s="3665"/>
    </row>
    <row r="44" spans="1:7" ht="13.5" customHeight="1">
      <c r="A44" s="780" t="s">
        <v>348</v>
      </c>
      <c r="B44" s="215" t="s">
        <v>1546</v>
      </c>
      <c r="C44" s="238">
        <f ca="1">ROUND(IF('数据-取费表'!B22&lt;=1,C40*F22*'数据-取费表'!B21/2,C40*(POWER((1+F22),'数据-取费表'!B21/2)-1)),4)</f>
        <v>1.1999999999999999E-3</v>
      </c>
      <c r="D44" s="238"/>
      <c r="E44" s="238"/>
      <c r="F44" s="239"/>
      <c r="G44" s="3666"/>
    </row>
    <row r="45" spans="1:7" s="214" customFormat="1" ht="13.5" customHeight="1">
      <c r="A45" s="255" t="s">
        <v>1547</v>
      </c>
      <c r="B45" s="244" t="s">
        <v>1513</v>
      </c>
      <c r="C45" s="245">
        <f ca="1">C46</f>
        <v>35</v>
      </c>
      <c r="D45" s="235">
        <f ca="1">C47</f>
        <v>5.0000000000000001E-3</v>
      </c>
      <c r="E45" s="236" t="s">
        <v>1539</v>
      </c>
      <c r="F45" s="246">
        <f ca="1">F27</f>
        <v>0.25</v>
      </c>
      <c r="G45" s="247" t="s">
        <v>1548</v>
      </c>
    </row>
    <row r="46" spans="1:7" s="214" customFormat="1" ht="13.5" customHeight="1">
      <c r="A46" s="780" t="s">
        <v>346</v>
      </c>
      <c r="B46" s="248" t="s">
        <v>1549</v>
      </c>
      <c r="C46" s="249">
        <f ca="1">ROUND((C33+C39)*F27,0)</f>
        <v>35</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1327">
        <f>ROUND(F30/(1+'数据-取费表'!C42),4)</f>
        <v>5.6000000000000001E-2</v>
      </c>
      <c r="D48" s="236" t="s">
        <v>1539</v>
      </c>
      <c r="E48" s="232"/>
      <c r="F48" s="237">
        <f>F30</f>
        <v>5.6000000000000001E-2</v>
      </c>
      <c r="G48" s="234" t="s">
        <v>1552</v>
      </c>
    </row>
    <row r="49" spans="1:7" ht="16.5" customHeight="1">
      <c r="A49" s="255" t="s">
        <v>1518</v>
      </c>
      <c r="B49" s="210" t="s">
        <v>1553</v>
      </c>
      <c r="C49" s="232">
        <f ca="1">ROUND((C33+C39+C41+C45)/(1-C40-D41-D45-C48),0)</f>
        <v>198</v>
      </c>
      <c r="D49" s="232"/>
      <c r="E49" s="232"/>
      <c r="F49" s="264"/>
      <c r="G49" s="234" t="s">
        <v>1554</v>
      </c>
    </row>
    <row r="50" spans="1:7" s="258" customFormat="1" ht="24">
      <c r="A50" s="255" t="s">
        <v>1555</v>
      </c>
      <c r="B50" s="210" t="s">
        <v>1556</v>
      </c>
      <c r="C50" s="232"/>
      <c r="D50" s="232"/>
      <c r="E50" s="232"/>
      <c r="F50" s="264">
        <f>IF('数据-取费表'!B24=0,'数据-取费表'!N16,1)</f>
        <v>1</v>
      </c>
      <c r="G50" s="247" t="s">
        <v>1557</v>
      </c>
    </row>
    <row r="51" spans="1:7" ht="16.5" customHeight="1">
      <c r="A51" s="255" t="s">
        <v>1558</v>
      </c>
      <c r="B51" s="210" t="s">
        <v>1559</v>
      </c>
      <c r="C51" s="232">
        <f ca="1">ROUND(C49*F50,0)</f>
        <v>198</v>
      </c>
      <c r="D51" s="232"/>
      <c r="E51" s="232"/>
      <c r="F51" s="264"/>
      <c r="G51" s="234" t="s">
        <v>1560</v>
      </c>
    </row>
    <row r="52" spans="1:7" s="208" customFormat="1" ht="16.8" thickBot="1">
      <c r="A52" s="265" t="s">
        <v>1561</v>
      </c>
      <c r="B52" s="266"/>
      <c r="C52" s="267">
        <f ca="1">C31+C51</f>
        <v>208</v>
      </c>
      <c r="D52" s="266"/>
      <c r="E52" s="266"/>
      <c r="F52" s="266"/>
      <c r="G52" s="268"/>
    </row>
    <row r="55" spans="1:7" ht="15">
      <c r="B55" s="270" t="s">
        <v>1562</v>
      </c>
      <c r="C55" s="271"/>
    </row>
    <row r="56" spans="1:7">
      <c r="B56" s="273" t="s">
        <v>802</v>
      </c>
      <c r="C56" s="275">
        <f ca="1">1-C57</f>
        <v>4.8000000000000043E-2</v>
      </c>
    </row>
    <row r="57" spans="1:7">
      <c r="B57" s="273" t="s">
        <v>803</v>
      </c>
      <c r="C57" s="274">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1" t="str">
        <f>项目基本情况!B1</f>
        <v>北京市房地产市场价值预评估</v>
      </c>
      <c r="C37" s="3481"/>
      <c r="D37" s="3481"/>
      <c r="E37" s="3481"/>
      <c r="F37" s="3481"/>
      <c r="G37" s="3481"/>
      <c r="H37" s="3481"/>
      <c r="I37" s="348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7" sqref="C7"/>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3388</v>
      </c>
      <c r="C1" s="1859" t="s">
        <v>1563</v>
      </c>
      <c r="D1" s="198"/>
      <c r="E1" s="198"/>
      <c r="F1" s="198"/>
      <c r="G1" s="1126">
        <f>MATCH(B1,'数据-取费表'!A6:A16,0)+5</f>
        <v>6</v>
      </c>
      <c r="H1" s="1061" t="str">
        <f>IF(ISERROR(FIND("住宅",B1)),"非住宅","住宅")</f>
        <v>住宅</v>
      </c>
    </row>
    <row r="2" spans="1:8" s="200" customFormat="1" ht="18" customHeight="1">
      <c r="A2" s="201" t="s">
        <v>1462</v>
      </c>
      <c r="B2" s="3424">
        <f ca="1">ROUND(IF(D2="——",C52/10000,C52/10000-E2),4)</f>
        <v>590.14700000000005</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21409</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2579524.65</v>
      </c>
      <c r="D5" s="211" t="s">
        <v>1469</v>
      </c>
      <c r="E5" s="212" t="s">
        <v>1470</v>
      </c>
      <c r="F5" s="212" t="s">
        <v>1471</v>
      </c>
      <c r="G5" s="213"/>
    </row>
    <row r="6" spans="1:8" s="214" customFormat="1" ht="13.5" customHeight="1">
      <c r="A6" s="778" t="s">
        <v>1472</v>
      </c>
      <c r="B6" s="215" t="s">
        <v>1473</v>
      </c>
      <c r="C6" s="216">
        <f ca="1">'[2]2002基准地价'!$C$18*D9</f>
        <v>2503177.65</v>
      </c>
      <c r="D6" s="217"/>
      <c r="E6" s="218"/>
      <c r="F6" s="218"/>
      <c r="G6" s="219"/>
    </row>
    <row r="7" spans="1:8" s="214" customFormat="1" ht="13.5" customHeight="1">
      <c r="A7" s="778" t="s">
        <v>1474</v>
      </c>
      <c r="B7" s="215" t="s">
        <v>1475</v>
      </c>
      <c r="C7" s="220">
        <f ca="1">ROUND(C6*F7,0)</f>
        <v>76347</v>
      </c>
      <c r="D7" s="220"/>
      <c r="E7" s="218"/>
      <c r="F7" s="221">
        <f>IF(项目基本情况!B8="出让",0,'数据-取费表'!B48+'数据-取费表'!B49)</f>
        <v>3.0499999999999999E-2</v>
      </c>
      <c r="G7" s="219"/>
    </row>
    <row r="8" spans="1:8" s="223" customFormat="1">
      <c r="A8" s="778" t="s">
        <v>1476</v>
      </c>
      <c r="B8" s="215" t="s">
        <v>1477</v>
      </c>
      <c r="C8" s="220">
        <f>IF(G8="已包含在土地购买价格中",0,C9+C10)</f>
        <v>0</v>
      </c>
      <c r="D8" s="222"/>
      <c r="E8" s="220"/>
      <c r="F8" s="221"/>
      <c r="G8" s="1856" t="s">
        <v>451</v>
      </c>
    </row>
    <row r="9" spans="1:8" s="214" customFormat="1" ht="13.5" customHeight="1">
      <c r="A9" s="779" t="s">
        <v>355</v>
      </c>
      <c r="B9" s="224" t="s">
        <v>1478</v>
      </c>
      <c r="C9" s="225">
        <f ca="1">ROUND(D9*E9,0)</f>
        <v>44104</v>
      </c>
      <c r="D9" s="845">
        <f ca="1">IF(B1="",'数据-汇总表'!E5,IF(INDIRECT("'数据-取费表'!c"&amp;$G$1)="住宅",INDIRECT("'数据-取费表'!k"&amp;$G$1),0))</f>
        <v>275.64999999999998</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275.64999999999998</v>
      </c>
      <c r="E19" s="211">
        <f>'数据-取费表'!B31</f>
        <v>200</v>
      </c>
      <c r="F19" s="231"/>
      <c r="G19" s="1856" t="s">
        <v>3423</v>
      </c>
    </row>
    <row r="20" spans="1:7" s="214" customFormat="1" ht="13.5" customHeight="1">
      <c r="A20" s="255" t="s">
        <v>1574</v>
      </c>
      <c r="B20" s="210" t="s">
        <v>1575</v>
      </c>
      <c r="C20" s="232">
        <f ca="1">ROUND((C5+C19)*F20,0)</f>
        <v>51590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330211</v>
      </c>
      <c r="D22" s="235">
        <f ca="1">C26</f>
        <v>1.1999999999999999E-3</v>
      </c>
      <c r="E22" s="236" t="s">
        <v>1579</v>
      </c>
      <c r="F22" s="237">
        <f ca="1">'数据-取费表'!B40</f>
        <v>6.1500000000000006E-2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327038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3173</v>
      </c>
      <c r="D25" s="238"/>
      <c r="E25" s="241"/>
      <c r="F25" s="239"/>
      <c r="G25" s="242" t="s">
        <v>1588</v>
      </c>
    </row>
    <row r="26" spans="1:7" s="214" customFormat="1">
      <c r="A26" s="780" t="s">
        <v>350</v>
      </c>
      <c r="B26" s="215" t="s">
        <v>1511</v>
      </c>
      <c r="C26" s="238">
        <f ca="1">ROUND(IF('数据-取费表'!B22&lt;=1,F21*F22*'数据-取费表'!B22/2,F21*(POWER((1+F22),'数据-取费表'!B22/2)-1)),4)</f>
        <v>1.1999999999999999E-3</v>
      </c>
      <c r="D26" s="238"/>
      <c r="E26" s="241"/>
      <c r="F26" s="239"/>
      <c r="G26" s="243"/>
    </row>
    <row r="27" spans="1:7" s="214" customFormat="1" ht="26.4">
      <c r="A27" s="255" t="s">
        <v>1512</v>
      </c>
      <c r="B27" s="244" t="s">
        <v>1513</v>
      </c>
      <c r="C27" s="245">
        <f ca="1">C28</f>
        <v>657779</v>
      </c>
      <c r="D27" s="235">
        <f ca="1">C29</f>
        <v>5.0000000000000001E-3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657779</v>
      </c>
      <c r="D28" s="235"/>
      <c r="E28" s="236"/>
      <c r="F28" s="246"/>
      <c r="G28" s="247"/>
    </row>
    <row r="29" spans="1:7" s="214" customFormat="1" ht="13.5" customHeight="1">
      <c r="A29" s="780" t="s">
        <v>347</v>
      </c>
      <c r="B29" s="248" t="s">
        <v>1517</v>
      </c>
      <c r="C29" s="238">
        <f ca="1">ROUND(C21*F27,4)</f>
        <v>5.0000000000000001E-3</v>
      </c>
      <c r="D29" s="235"/>
      <c r="E29" s="236"/>
      <c r="F29" s="246"/>
      <c r="G29" s="247"/>
    </row>
    <row r="30" spans="1:7" s="214" customFormat="1" ht="13.5" customHeight="1">
      <c r="A30" s="255" t="s">
        <v>1518</v>
      </c>
      <c r="B30" s="210" t="s">
        <v>1519</v>
      </c>
      <c r="C30" s="235">
        <f>ROUND(F30/(1+'数据-取费表'!C42),4)</f>
        <v>5.6000000000000001E-2</v>
      </c>
      <c r="D30" s="236" t="s">
        <v>1514</v>
      </c>
      <c r="E30" s="241"/>
      <c r="F30" s="237">
        <f>'数据-取费表'!B41</f>
        <v>5.6000000000000001E-2</v>
      </c>
      <c r="G30" s="234" t="s">
        <v>1520</v>
      </c>
    </row>
    <row r="31" spans="1:7" ht="16.5" customHeight="1">
      <c r="A31" s="209">
        <v>1</v>
      </c>
      <c r="B31" s="210" t="s">
        <v>1521</v>
      </c>
      <c r="C31" s="211">
        <f ca="1">ROUND((C5+C19+C20+C22+C27)/(1-C21-D22-D27-C30),0)</f>
        <v>3943239</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1343518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1047470</v>
      </c>
      <c r="D34" s="217"/>
      <c r="E34" s="220"/>
      <c r="F34" s="257"/>
      <c r="G34" s="219"/>
    </row>
    <row r="35" spans="1:7" ht="13.5" customHeight="1">
      <c r="A35" s="780" t="s">
        <v>351</v>
      </c>
      <c r="B35" s="215" t="s">
        <v>1527</v>
      </c>
      <c r="C35" s="220">
        <f ca="1">ROUND(C34*F35,0)</f>
        <v>104747</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104747</v>
      </c>
      <c r="D36" s="220"/>
      <c r="E36" s="220"/>
      <c r="F36" s="259">
        <f>'数据-取费表'!B34</f>
        <v>0.1</v>
      </c>
      <c r="G36" s="260" t="s">
        <v>1530</v>
      </c>
    </row>
    <row r="37" spans="1:7" s="258" customFormat="1" ht="13.5" customHeight="1">
      <c r="A37" s="780" t="s">
        <v>353</v>
      </c>
      <c r="B37" s="215" t="s">
        <v>1531</v>
      </c>
      <c r="C37" s="249">
        <f ca="1">ROUND(E37*D37,0)</f>
        <v>55130</v>
      </c>
      <c r="D37" s="217">
        <f ca="1">D19</f>
        <v>275.64999999999998</v>
      </c>
      <c r="E37" s="249">
        <f>'数据-取费表'!B35</f>
        <v>200</v>
      </c>
      <c r="F37" s="259"/>
      <c r="G37" s="261"/>
    </row>
    <row r="38" spans="1:7" ht="13.5" customHeight="1">
      <c r="A38" s="780" t="s">
        <v>354</v>
      </c>
      <c r="B38" s="215" t="s">
        <v>1533</v>
      </c>
      <c r="C38" s="220">
        <f ca="1">ROUND(C34*F38,0)</f>
        <v>31424</v>
      </c>
      <c r="D38" s="220"/>
      <c r="E38" s="220"/>
      <c r="F38" s="259">
        <f>'数据-取费表'!B36</f>
        <v>0.03</v>
      </c>
      <c r="G38" s="219" t="s">
        <v>1528</v>
      </c>
    </row>
    <row r="39" spans="1:7" s="214" customFormat="1" ht="13.5" customHeight="1">
      <c r="A39" s="255" t="s">
        <v>1534</v>
      </c>
      <c r="B39" s="210" t="s">
        <v>1535</v>
      </c>
      <c r="C39" s="232">
        <f ca="1">ROUND(C33*F20,0)</f>
        <v>26870</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84279</v>
      </c>
      <c r="D41" s="235">
        <f ca="1">C44</f>
        <v>1.1999999999999999E-3</v>
      </c>
      <c r="E41" s="236" t="s">
        <v>1539</v>
      </c>
      <c r="F41" s="237">
        <f ca="1">F22</f>
        <v>6.1500000000000006E-2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82626</v>
      </c>
      <c r="D42" s="238"/>
      <c r="E42" s="238"/>
      <c r="F42" s="239"/>
      <c r="G42" s="3664" t="s">
        <v>1591</v>
      </c>
    </row>
    <row r="43" spans="1:7" ht="13.5" customHeight="1">
      <c r="A43" s="780" t="s">
        <v>347</v>
      </c>
      <c r="B43" s="215" t="s">
        <v>1545</v>
      </c>
      <c r="C43" s="238">
        <f ca="1">ROUND(IF('数据-取费表'!B22&lt;=1,C39*F22*'数据-取费表'!B20/2,C39*(POWER((1+F22),'数据-取费表'!B20/2)-1)),0)</f>
        <v>1653</v>
      </c>
      <c r="D43" s="238"/>
      <c r="E43" s="238"/>
      <c r="F43" s="239"/>
      <c r="G43" s="3665"/>
    </row>
    <row r="44" spans="1:7" ht="13.5" customHeight="1">
      <c r="A44" s="780" t="s">
        <v>348</v>
      </c>
      <c r="B44" s="215" t="s">
        <v>1546</v>
      </c>
      <c r="C44" s="238">
        <f ca="1">ROUND(IF('数据-取费表'!B22&lt;=1,C40*F22*'数据-取费表'!B20/2,C40*(POWER((1+F22),'数据-取费表'!B20/2)-1)),4)</f>
        <v>1.1999999999999999E-3</v>
      </c>
      <c r="D44" s="238"/>
      <c r="E44" s="238"/>
      <c r="F44" s="239"/>
      <c r="G44" s="3666"/>
    </row>
    <row r="45" spans="1:7" s="214" customFormat="1" ht="13.5" customHeight="1">
      <c r="A45" s="255" t="s">
        <v>1547</v>
      </c>
      <c r="B45" s="244" t="s">
        <v>1513</v>
      </c>
      <c r="C45" s="245">
        <f ca="1">C46</f>
        <v>342597</v>
      </c>
      <c r="D45" s="235">
        <f ca="1">C47</f>
        <v>5.0000000000000001E-3</v>
      </c>
      <c r="E45" s="236" t="s">
        <v>1539</v>
      </c>
      <c r="F45" s="246">
        <f ca="1">F27</f>
        <v>0.25</v>
      </c>
      <c r="G45" s="247" t="s">
        <v>1548</v>
      </c>
    </row>
    <row r="46" spans="1:7" s="214" customFormat="1" ht="13.5" customHeight="1">
      <c r="A46" s="780" t="s">
        <v>346</v>
      </c>
      <c r="B46" s="248" t="s">
        <v>1549</v>
      </c>
      <c r="C46" s="249">
        <f ca="1">ROUND((C33+C39)*F27,0)</f>
        <v>342597</v>
      </c>
      <c r="D46" s="263"/>
      <c r="E46" s="236"/>
      <c r="F46" s="246"/>
      <c r="G46" s="247"/>
    </row>
    <row r="47" spans="1:7" s="214" customFormat="1" ht="13.5" customHeight="1">
      <c r="A47" s="780" t="s">
        <v>347</v>
      </c>
      <c r="B47" s="248" t="s">
        <v>1550</v>
      </c>
      <c r="C47" s="238">
        <f ca="1">ROUND(C40*F27,4)</f>
        <v>5.0000000000000001E-3</v>
      </c>
      <c r="D47" s="263"/>
      <c r="E47" s="236"/>
      <c r="F47" s="246"/>
      <c r="G47" s="247"/>
    </row>
    <row r="48" spans="1:7" s="214" customFormat="1" ht="13.5" customHeight="1">
      <c r="A48" s="255" t="s">
        <v>1512</v>
      </c>
      <c r="B48" s="210" t="s">
        <v>1551</v>
      </c>
      <c r="C48" s="262">
        <f>ROUND(F30/(1+'数据-取费表'!C42),4)</f>
        <v>5.6000000000000001E-2</v>
      </c>
      <c r="D48" s="236" t="s">
        <v>1539</v>
      </c>
      <c r="E48" s="232"/>
      <c r="F48" s="237">
        <f>F30</f>
        <v>5.6000000000000001E-2</v>
      </c>
      <c r="G48" s="234" t="s">
        <v>1552</v>
      </c>
    </row>
    <row r="49" spans="1:7" ht="16.5" customHeight="1">
      <c r="A49" s="255" t="s">
        <v>1518</v>
      </c>
      <c r="B49" s="210" t="s">
        <v>1592</v>
      </c>
      <c r="C49" s="232">
        <f ca="1">ROUND((C33+C39+C41+C45)/(1-C40-D41-D45-C48),0)</f>
        <v>1958231</v>
      </c>
      <c r="D49" s="232"/>
      <c r="E49" s="232"/>
      <c r="F49" s="264"/>
      <c r="G49" s="234" t="s">
        <v>1554</v>
      </c>
    </row>
    <row r="50" spans="1:7" s="258" customFormat="1">
      <c r="A50" s="255" t="s">
        <v>1555</v>
      </c>
      <c r="B50" s="210" t="s">
        <v>1556</v>
      </c>
      <c r="C50" s="232"/>
      <c r="D50" s="232"/>
      <c r="E50" s="232"/>
      <c r="F50" s="264">
        <f>IF('数据-取费表'!B24=0,'数据-取费表'!N16,1)</f>
        <v>1</v>
      </c>
      <c r="G50" s="247"/>
    </row>
    <row r="51" spans="1:7" ht="16.5" customHeight="1">
      <c r="A51" s="255" t="s">
        <v>1558</v>
      </c>
      <c r="B51" s="210" t="s">
        <v>1593</v>
      </c>
      <c r="C51" s="232">
        <f ca="1">ROUND(C49*F50,0)</f>
        <v>1958231</v>
      </c>
      <c r="D51" s="232"/>
      <c r="E51" s="232"/>
      <c r="F51" s="264"/>
      <c r="G51" s="234" t="s">
        <v>1560</v>
      </c>
    </row>
    <row r="52" spans="1:7" s="208" customFormat="1" ht="16.8" thickBot="1">
      <c r="A52" s="265" t="s">
        <v>1561</v>
      </c>
      <c r="B52" s="266"/>
      <c r="C52" s="267">
        <f ca="1">C31+C51</f>
        <v>5901470</v>
      </c>
      <c r="D52" s="266"/>
      <c r="E52" s="266"/>
      <c r="F52" s="266"/>
      <c r="G52" s="268"/>
    </row>
    <row r="55" spans="1:7" ht="15">
      <c r="B55" s="270" t="s">
        <v>1562</v>
      </c>
      <c r="C55" s="271"/>
    </row>
    <row r="56" spans="1:7">
      <c r="B56" s="273" t="s">
        <v>802</v>
      </c>
      <c r="C56" s="275">
        <f ca="1">1-C57</f>
        <v>0.66799999999999993</v>
      </c>
    </row>
    <row r="57" spans="1:7">
      <c r="B57" s="273" t="s">
        <v>803</v>
      </c>
      <c r="C57" s="274">
        <f ca="1">ROUND(C51/C52,3)</f>
        <v>0.33200000000000002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20" sqref="F20"/>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6"/>
      <c r="F1" s="2806"/>
      <c r="G1" s="2671"/>
      <c r="H1" s="2806"/>
      <c r="I1" s="2806"/>
      <c r="J1" s="2806"/>
      <c r="K1" s="2807">
        <f>MATCH(C1,'数据-取费表'!A6:A16,0)+5</f>
        <v>7</v>
      </c>
    </row>
    <row r="2" spans="1:33" ht="18" customHeight="1">
      <c r="A2" s="201" t="s">
        <v>1462</v>
      </c>
      <c r="B2" s="204">
        <f ca="1">C32</f>
        <v>-5</v>
      </c>
      <c r="C2" s="276" t="s">
        <v>1595</v>
      </c>
      <c r="D2" s="276"/>
      <c r="E2" s="2806"/>
      <c r="F2" s="2806"/>
      <c r="G2" s="2806"/>
      <c r="H2" s="2806"/>
      <c r="I2" s="2806"/>
      <c r="J2" s="2806"/>
      <c r="K2" s="2806"/>
    </row>
    <row r="3" spans="1:33" ht="18" customHeight="1" thickBot="1">
      <c r="A3" s="203" t="s">
        <v>1464</v>
      </c>
      <c r="B3" s="204">
        <f ca="1">ROUND(B2*10000/IF(C1="",'数据-汇总表'!E3,INDIRECT("'数据-取费表'!K"&amp;$K$1)),0)</f>
        <v>-181</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275.64999999999998</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275.64999999999998</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4</v>
      </c>
      <c r="D18" s="846"/>
      <c r="E18" s="21"/>
      <c r="F18" s="804"/>
      <c r="G18" s="1862"/>
      <c r="H18" s="1187"/>
      <c r="I18" s="1863" t="s">
        <v>1625</v>
      </c>
      <c r="J18" s="807"/>
      <c r="K18" s="808"/>
    </row>
    <row r="19" spans="1:33" s="803" customFormat="1" ht="13.5" customHeight="1">
      <c r="A19" s="800" t="s">
        <v>360</v>
      </c>
      <c r="B19" s="801" t="s">
        <v>1626</v>
      </c>
      <c r="C19" s="21">
        <f ca="1">ROUND(D19*E19/10000,0)</f>
        <v>4</v>
      </c>
      <c r="D19" s="846">
        <f ca="1">IF(C1="",'数据-汇总表'!E5,IF(INDIRECT("'数据-取费表'!c"&amp;$K$1)="住宅",INDIRECT("'数据-取费表'!k"&amp;$K$1),0))</f>
        <v>275.64999999999998</v>
      </c>
      <c r="E19" s="21">
        <f>'数据-取费表'!B27</f>
        <v>160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4</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3.0499999999999999E-2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6.1500000000000006E-2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-5</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9" t="s">
        <v>694</v>
      </c>
      <c r="C6" s="1074">
        <f ca="1">ROUND(F6*F8*F7*(1-F9)/10000,0)</f>
        <v>0</v>
      </c>
      <c r="D6" s="155" t="s">
        <v>2109</v>
      </c>
      <c r="E6" s="302" t="s">
        <v>696</v>
      </c>
      <c r="F6" s="303">
        <f ca="1">INDIRECT("'数据-取费表'!u"&amp;$G$1)</f>
        <v>0</v>
      </c>
      <c r="G6" s="1384"/>
      <c r="H6" s="1069" t="s">
        <v>398</v>
      </c>
      <c r="I6" s="3669" t="s">
        <v>694</v>
      </c>
      <c r="J6" s="301">
        <f ca="1">ROUND(M6*M8*M7*(1-M9)/10000,0)</f>
        <v>0</v>
      </c>
      <c r="K6" s="155" t="s">
        <v>2108</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0.03</v>
      </c>
      <c r="G11" s="1384"/>
      <c r="H11" s="1077"/>
      <c r="I11" s="1367" t="s">
        <v>679</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IF(项目基本情况!B11="自然人","——",ROUND(F34*F35/10000,2))</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20" sqref="F20"/>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9" t="s">
        <v>694</v>
      </c>
      <c r="C6" s="1074">
        <f ca="1">ROUND(F6*F8*F7*(1-F9),0)</f>
        <v>0</v>
      </c>
      <c r="D6" s="155" t="s">
        <v>2106</v>
      </c>
      <c r="E6" s="302" t="s">
        <v>696</v>
      </c>
      <c r="F6" s="303">
        <f ca="1">INDIRECT("'数据-取费表'!u"&amp;$G$1)</f>
        <v>0</v>
      </c>
      <c r="G6" s="1384"/>
      <c r="H6" s="1069" t="s">
        <v>398</v>
      </c>
      <c r="I6" s="3669" t="s">
        <v>694</v>
      </c>
      <c r="J6" s="301">
        <f ca="1">ROUND(M6*M8*M7*(1-M9),0)</f>
        <v>0</v>
      </c>
      <c r="K6" s="1376" t="s">
        <v>2107</v>
      </c>
      <c r="L6" s="302" t="s">
        <v>696</v>
      </c>
      <c r="M6" s="303">
        <f ca="1">INDIRECT("'数据-取费表'!z"&amp;$G$1)</f>
        <v>0</v>
      </c>
    </row>
    <row r="7" spans="1:37" ht="18" customHeight="1">
      <c r="A7" s="1073"/>
      <c r="B7" s="3670"/>
      <c r="C7" s="1075"/>
      <c r="D7" s="307"/>
      <c r="E7" s="1076" t="s">
        <v>697</v>
      </c>
      <c r="F7" s="303">
        <f ca="1">IF(INDIRECT("'数据-取费表'!ah"&amp;$G$1)="",INDIRECT("'数据-取费表'!k"&amp;$G$1),INDIRECT("'数据-取费表'!ah"&amp;$G$1))</f>
        <v>0</v>
      </c>
      <c r="G7" s="1384"/>
      <c r="H7" s="304"/>
      <c r="I7" s="3670"/>
      <c r="J7" s="306"/>
      <c r="K7" s="307"/>
      <c r="L7" s="302" t="s">
        <v>697</v>
      </c>
      <c r="M7" s="303">
        <f ca="1">F7</f>
        <v>0</v>
      </c>
    </row>
    <row r="8" spans="1:37" ht="18" customHeight="1">
      <c r="A8" s="304"/>
      <c r="B8" s="3670"/>
      <c r="C8" s="306"/>
      <c r="D8" s="307"/>
      <c r="E8" s="302" t="s">
        <v>698</v>
      </c>
      <c r="F8" s="303">
        <f ca="1">INDIRECT("'数据-取费表'!ai"&amp;$G$1)</f>
        <v>0</v>
      </c>
      <c r="G8" s="1384"/>
      <c r="H8" s="304"/>
      <c r="I8" s="3670"/>
      <c r="J8" s="306"/>
      <c r="K8" s="307"/>
      <c r="L8" s="302" t="s">
        <v>698</v>
      </c>
      <c r="M8" s="303">
        <f ca="1">INDIRECT("'数据-取费表'!ai"&amp;$G$1)</f>
        <v>0</v>
      </c>
    </row>
    <row r="9" spans="1:37" ht="18" customHeight="1">
      <c r="A9" s="304"/>
      <c r="B9" s="3671"/>
      <c r="C9" s="306"/>
      <c r="D9" s="307"/>
      <c r="E9" s="302" t="s">
        <v>699</v>
      </c>
      <c r="F9" s="312">
        <f ca="1">INDIRECT("'数据-取费表'!w"&amp;$G$1)</f>
        <v>0</v>
      </c>
      <c r="G9" s="1384"/>
      <c r="H9" s="304"/>
      <c r="I9" s="367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0.03</v>
      </c>
      <c r="G11" s="1384"/>
      <c r="H11" s="1077"/>
      <c r="I11" s="1367" t="s">
        <v>891</v>
      </c>
      <c r="J11" s="959"/>
      <c r="K11" s="684"/>
      <c r="L11" s="313" t="s">
        <v>702</v>
      </c>
      <c r="M11" s="862">
        <f ca="1">'数据-取费表'!B39</f>
        <v>0.03</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0.1</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0.03</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1.1999999999999999E-3</v>
      </c>
      <c r="D24" s="329" t="str">
        <f>IF(F23&lt;=1,"销售费用×利率×(建设周期÷2)","销售费用×((1+利率)^(建设周期÷2)-1)")</f>
        <v>销售费用×((1+利率)^(建设周期÷2)-1)</v>
      </c>
      <c r="E24" s="302" t="s">
        <v>747</v>
      </c>
      <c r="F24" s="331">
        <f ca="1">'数据-取费表'!B40</f>
        <v>6.1500000000000006E-2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5.6000000000000001E-2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2308</v>
      </c>
      <c r="I31" s="1398"/>
      <c r="J31" s="1399"/>
      <c r="K31" s="2475"/>
      <c r="L31" s="2698"/>
      <c r="M31" s="2699"/>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t="str">
        <f>IF(项目基本情况!B11="自然人","——",ROUND(F34*F35,0))</f>
        <v>——</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3353</v>
      </c>
      <c r="B45" s="1400"/>
      <c r="C45" s="1472" t="e">
        <f ca="1">ROUND((C68-C40)/10000,4)</f>
        <v>#DIV/0!</v>
      </c>
      <c r="D45" s="3432" t="s">
        <v>3354</v>
      </c>
      <c r="E45" s="1400"/>
      <c r="F45" s="1400"/>
      <c r="O45" s="1403" t="s">
        <v>808</v>
      </c>
      <c r="P45" s="1461"/>
      <c r="Q45" s="1461"/>
      <c r="R45" s="1461"/>
    </row>
    <row r="46" spans="1:18" s="1384" customFormat="1" ht="13.8"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7" t="s">
        <v>837</v>
      </c>
      <c r="L53" s="3668"/>
      <c r="O53" s="1418" t="s">
        <v>409</v>
      </c>
      <c r="P53" s="1419" t="s">
        <v>838</v>
      </c>
      <c r="Q53" s="1420" t="e">
        <f ca="1">Q47+Q48</f>
        <v>#DIV/0!</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0" sqref="F20"/>
    </sheetView>
  </sheetViews>
  <sheetFormatPr defaultRowHeight="13.2" customHeight="1"/>
  <cols>
    <col min="1" max="1" width="9.44140625" style="2842" customWidth="1"/>
    <col min="2" max="2" width="8.88671875" style="2842"/>
    <col min="3" max="5" width="12.88671875" style="2842" customWidth="1"/>
    <col min="6" max="6" width="47.44140625" style="2842" customWidth="1"/>
    <col min="7" max="7" width="13" style="3001" customWidth="1"/>
    <col min="8" max="8" width="8.88671875" style="2836"/>
    <col min="9" max="9" width="8.88671875" style="2837"/>
    <col min="10" max="10" width="5.77734375" style="3002" customWidth="1"/>
    <col min="11" max="11" width="11.77734375" style="3002" customWidth="1"/>
    <col min="12" max="13" width="10.77734375" style="3002" customWidth="1"/>
    <col min="14" max="14" width="10" style="3002" customWidth="1"/>
    <col min="15" max="16" width="10.44140625" style="3002" bestFit="1" customWidth="1"/>
    <col min="17" max="17" width="10" style="3002" customWidth="1"/>
    <col min="18" max="18" width="10.109375" style="3002" customWidth="1"/>
    <col min="19" max="19" width="10" style="3002" customWidth="1"/>
    <col min="20" max="20" width="26.109375" style="3002" customWidth="1"/>
    <col min="21" max="21" width="8.88671875" style="3002"/>
    <col min="22" max="22" width="8.88671875" style="2837"/>
    <col min="23" max="256" width="8.88671875" style="2842"/>
    <col min="257" max="257" width="9.44140625" style="2842" customWidth="1"/>
    <col min="258" max="258" width="8.88671875" style="2842"/>
    <col min="259" max="261" width="12.88671875" style="2842" customWidth="1"/>
    <col min="262" max="262" width="47.44140625" style="2842" customWidth="1"/>
    <col min="263" max="263" width="13" style="2842" customWidth="1"/>
    <col min="264" max="265" width="8.88671875" style="2842"/>
    <col min="266" max="266" width="5.77734375" style="2842" customWidth="1"/>
    <col min="267" max="267" width="11.77734375" style="2842" customWidth="1"/>
    <col min="268" max="269" width="10.77734375" style="2842" customWidth="1"/>
    <col min="270" max="270" width="10" style="2842" customWidth="1"/>
    <col min="271" max="272" width="10.44140625" style="2842" bestFit="1" customWidth="1"/>
    <col min="273" max="273" width="10" style="2842" customWidth="1"/>
    <col min="274" max="274" width="10.109375" style="2842" customWidth="1"/>
    <col min="275" max="275" width="10" style="2842" customWidth="1"/>
    <col min="276" max="276" width="26.109375" style="2842" customWidth="1"/>
    <col min="277" max="512" width="8.88671875" style="2842"/>
    <col min="513" max="513" width="9.44140625" style="2842" customWidth="1"/>
    <col min="514" max="514" width="8.88671875" style="2842"/>
    <col min="515" max="517" width="12.88671875" style="2842" customWidth="1"/>
    <col min="518" max="518" width="47.44140625" style="2842" customWidth="1"/>
    <col min="519" max="519" width="13" style="2842" customWidth="1"/>
    <col min="520" max="521" width="8.88671875" style="2842"/>
    <col min="522" max="522" width="5.77734375" style="2842" customWidth="1"/>
    <col min="523" max="523" width="11.77734375" style="2842" customWidth="1"/>
    <col min="524" max="525" width="10.77734375" style="2842" customWidth="1"/>
    <col min="526" max="526" width="10" style="2842" customWidth="1"/>
    <col min="527" max="528" width="10.44140625" style="2842" bestFit="1" customWidth="1"/>
    <col min="529" max="529" width="10" style="2842" customWidth="1"/>
    <col min="530" max="530" width="10.109375" style="2842" customWidth="1"/>
    <col min="531" max="531" width="10" style="2842" customWidth="1"/>
    <col min="532" max="532" width="26.109375" style="2842" customWidth="1"/>
    <col min="533" max="768" width="8.88671875" style="2842"/>
    <col min="769" max="769" width="9.44140625" style="2842" customWidth="1"/>
    <col min="770" max="770" width="8.88671875" style="2842"/>
    <col min="771" max="773" width="12.88671875" style="2842" customWidth="1"/>
    <col min="774" max="774" width="47.44140625" style="2842" customWidth="1"/>
    <col min="775" max="775" width="13" style="2842" customWidth="1"/>
    <col min="776" max="777" width="8.88671875" style="2842"/>
    <col min="778" max="778" width="5.77734375" style="2842" customWidth="1"/>
    <col min="779" max="779" width="11.77734375" style="2842" customWidth="1"/>
    <col min="780" max="781" width="10.77734375" style="2842" customWidth="1"/>
    <col min="782" max="782" width="10" style="2842" customWidth="1"/>
    <col min="783" max="784" width="10.44140625" style="2842" bestFit="1" customWidth="1"/>
    <col min="785" max="785" width="10" style="2842" customWidth="1"/>
    <col min="786" max="786" width="10.109375" style="2842" customWidth="1"/>
    <col min="787" max="787" width="10" style="2842" customWidth="1"/>
    <col min="788" max="788" width="26.109375" style="2842" customWidth="1"/>
    <col min="789" max="1024" width="8.88671875" style="2842"/>
    <col min="1025" max="1025" width="9.44140625" style="2842" customWidth="1"/>
    <col min="1026" max="1026" width="8.88671875" style="2842"/>
    <col min="1027" max="1029" width="12.88671875" style="2842" customWidth="1"/>
    <col min="1030" max="1030" width="47.44140625" style="2842" customWidth="1"/>
    <col min="1031" max="1031" width="13" style="2842" customWidth="1"/>
    <col min="1032" max="1033" width="8.88671875" style="2842"/>
    <col min="1034" max="1034" width="5.77734375" style="2842" customWidth="1"/>
    <col min="1035" max="1035" width="11.77734375" style="2842" customWidth="1"/>
    <col min="1036" max="1037" width="10.77734375" style="2842" customWidth="1"/>
    <col min="1038" max="1038" width="10" style="2842" customWidth="1"/>
    <col min="1039" max="1040" width="10.44140625" style="2842" bestFit="1" customWidth="1"/>
    <col min="1041" max="1041" width="10" style="2842" customWidth="1"/>
    <col min="1042" max="1042" width="10.109375" style="2842" customWidth="1"/>
    <col min="1043" max="1043" width="10" style="2842" customWidth="1"/>
    <col min="1044" max="1044" width="26.109375" style="2842" customWidth="1"/>
    <col min="1045" max="1280" width="8.88671875" style="2842"/>
    <col min="1281" max="1281" width="9.44140625" style="2842" customWidth="1"/>
    <col min="1282" max="1282" width="8.88671875" style="2842"/>
    <col min="1283" max="1285" width="12.88671875" style="2842" customWidth="1"/>
    <col min="1286" max="1286" width="47.44140625" style="2842" customWidth="1"/>
    <col min="1287" max="1287" width="13" style="2842" customWidth="1"/>
    <col min="1288" max="1289" width="8.88671875" style="2842"/>
    <col min="1290" max="1290" width="5.77734375" style="2842" customWidth="1"/>
    <col min="1291" max="1291" width="11.77734375" style="2842" customWidth="1"/>
    <col min="1292" max="1293" width="10.77734375" style="2842" customWidth="1"/>
    <col min="1294" max="1294" width="10" style="2842" customWidth="1"/>
    <col min="1295" max="1296" width="10.44140625" style="2842" bestFit="1" customWidth="1"/>
    <col min="1297" max="1297" width="10" style="2842" customWidth="1"/>
    <col min="1298" max="1298" width="10.109375" style="2842" customWidth="1"/>
    <col min="1299" max="1299" width="10" style="2842" customWidth="1"/>
    <col min="1300" max="1300" width="26.109375" style="2842" customWidth="1"/>
    <col min="1301" max="1536" width="8.88671875" style="2842"/>
    <col min="1537" max="1537" width="9.44140625" style="2842" customWidth="1"/>
    <col min="1538" max="1538" width="8.88671875" style="2842"/>
    <col min="1539" max="1541" width="12.88671875" style="2842" customWidth="1"/>
    <col min="1542" max="1542" width="47.44140625" style="2842" customWidth="1"/>
    <col min="1543" max="1543" width="13" style="2842" customWidth="1"/>
    <col min="1544" max="1545" width="8.88671875" style="2842"/>
    <col min="1546" max="1546" width="5.77734375" style="2842" customWidth="1"/>
    <col min="1547" max="1547" width="11.77734375" style="2842" customWidth="1"/>
    <col min="1548" max="1549" width="10.77734375" style="2842" customWidth="1"/>
    <col min="1550" max="1550" width="10" style="2842" customWidth="1"/>
    <col min="1551" max="1552" width="10.44140625" style="2842" bestFit="1" customWidth="1"/>
    <col min="1553" max="1553" width="10" style="2842" customWidth="1"/>
    <col min="1554" max="1554" width="10.109375" style="2842" customWidth="1"/>
    <col min="1555" max="1555" width="10" style="2842" customWidth="1"/>
    <col min="1556" max="1556" width="26.109375" style="2842" customWidth="1"/>
    <col min="1557" max="1792" width="8.88671875" style="2842"/>
    <col min="1793" max="1793" width="9.44140625" style="2842" customWidth="1"/>
    <col min="1794" max="1794" width="8.88671875" style="2842"/>
    <col min="1795" max="1797" width="12.88671875" style="2842" customWidth="1"/>
    <col min="1798" max="1798" width="47.44140625" style="2842" customWidth="1"/>
    <col min="1799" max="1799" width="13" style="2842" customWidth="1"/>
    <col min="1800" max="1801" width="8.88671875" style="2842"/>
    <col min="1802" max="1802" width="5.77734375" style="2842" customWidth="1"/>
    <col min="1803" max="1803" width="11.77734375" style="2842" customWidth="1"/>
    <col min="1804" max="1805" width="10.77734375" style="2842" customWidth="1"/>
    <col min="1806" max="1806" width="10" style="2842" customWidth="1"/>
    <col min="1807" max="1808" width="10.44140625" style="2842" bestFit="1" customWidth="1"/>
    <col min="1809" max="1809" width="10" style="2842" customWidth="1"/>
    <col min="1810" max="1810" width="10.109375" style="2842" customWidth="1"/>
    <col min="1811" max="1811" width="10" style="2842" customWidth="1"/>
    <col min="1812" max="1812" width="26.109375" style="2842" customWidth="1"/>
    <col min="1813" max="2048" width="8.88671875" style="2842"/>
    <col min="2049" max="2049" width="9.44140625" style="2842" customWidth="1"/>
    <col min="2050" max="2050" width="8.88671875" style="2842"/>
    <col min="2051" max="2053" width="12.88671875" style="2842" customWidth="1"/>
    <col min="2054" max="2054" width="47.44140625" style="2842" customWidth="1"/>
    <col min="2055" max="2055" width="13" style="2842" customWidth="1"/>
    <col min="2056" max="2057" width="8.88671875" style="2842"/>
    <col min="2058" max="2058" width="5.77734375" style="2842" customWidth="1"/>
    <col min="2059" max="2059" width="11.77734375" style="2842" customWidth="1"/>
    <col min="2060" max="2061" width="10.77734375" style="2842" customWidth="1"/>
    <col min="2062" max="2062" width="10" style="2842" customWidth="1"/>
    <col min="2063" max="2064" width="10.44140625" style="2842" bestFit="1" customWidth="1"/>
    <col min="2065" max="2065" width="10" style="2842" customWidth="1"/>
    <col min="2066" max="2066" width="10.109375" style="2842" customWidth="1"/>
    <col min="2067" max="2067" width="10" style="2842" customWidth="1"/>
    <col min="2068" max="2068" width="26.109375" style="2842" customWidth="1"/>
    <col min="2069" max="2304" width="8.88671875" style="2842"/>
    <col min="2305" max="2305" width="9.44140625" style="2842" customWidth="1"/>
    <col min="2306" max="2306" width="8.88671875" style="2842"/>
    <col min="2307" max="2309" width="12.88671875" style="2842" customWidth="1"/>
    <col min="2310" max="2310" width="47.44140625" style="2842" customWidth="1"/>
    <col min="2311" max="2311" width="13" style="2842" customWidth="1"/>
    <col min="2312" max="2313" width="8.88671875" style="2842"/>
    <col min="2314" max="2314" width="5.77734375" style="2842" customWidth="1"/>
    <col min="2315" max="2315" width="11.77734375" style="2842" customWidth="1"/>
    <col min="2316" max="2317" width="10.77734375" style="2842" customWidth="1"/>
    <col min="2318" max="2318" width="10" style="2842" customWidth="1"/>
    <col min="2319" max="2320" width="10.44140625" style="2842" bestFit="1" customWidth="1"/>
    <col min="2321" max="2321" width="10" style="2842" customWidth="1"/>
    <col min="2322" max="2322" width="10.109375" style="2842" customWidth="1"/>
    <col min="2323" max="2323" width="10" style="2842" customWidth="1"/>
    <col min="2324" max="2324" width="26.109375" style="2842" customWidth="1"/>
    <col min="2325" max="2560" width="8.88671875" style="2842"/>
    <col min="2561" max="2561" width="9.44140625" style="2842" customWidth="1"/>
    <col min="2562" max="2562" width="8.88671875" style="2842"/>
    <col min="2563" max="2565" width="12.88671875" style="2842" customWidth="1"/>
    <col min="2566" max="2566" width="47.44140625" style="2842" customWidth="1"/>
    <col min="2567" max="2567" width="13" style="2842" customWidth="1"/>
    <col min="2568" max="2569" width="8.88671875" style="2842"/>
    <col min="2570" max="2570" width="5.77734375" style="2842" customWidth="1"/>
    <col min="2571" max="2571" width="11.77734375" style="2842" customWidth="1"/>
    <col min="2572" max="2573" width="10.77734375" style="2842" customWidth="1"/>
    <col min="2574" max="2574" width="10" style="2842" customWidth="1"/>
    <col min="2575" max="2576" width="10.44140625" style="2842" bestFit="1" customWidth="1"/>
    <col min="2577" max="2577" width="10" style="2842" customWidth="1"/>
    <col min="2578" max="2578" width="10.109375" style="2842" customWidth="1"/>
    <col min="2579" max="2579" width="10" style="2842" customWidth="1"/>
    <col min="2580" max="2580" width="26.109375" style="2842" customWidth="1"/>
    <col min="2581" max="2816" width="8.88671875" style="2842"/>
    <col min="2817" max="2817" width="9.44140625" style="2842" customWidth="1"/>
    <col min="2818" max="2818" width="8.88671875" style="2842"/>
    <col min="2819" max="2821" width="12.88671875" style="2842" customWidth="1"/>
    <col min="2822" max="2822" width="47.44140625" style="2842" customWidth="1"/>
    <col min="2823" max="2823" width="13" style="2842" customWidth="1"/>
    <col min="2824" max="2825" width="8.88671875" style="2842"/>
    <col min="2826" max="2826" width="5.77734375" style="2842" customWidth="1"/>
    <col min="2827" max="2827" width="11.77734375" style="2842" customWidth="1"/>
    <col min="2828" max="2829" width="10.77734375" style="2842" customWidth="1"/>
    <col min="2830" max="2830" width="10" style="2842" customWidth="1"/>
    <col min="2831" max="2832" width="10.44140625" style="2842" bestFit="1" customWidth="1"/>
    <col min="2833" max="2833" width="10" style="2842" customWidth="1"/>
    <col min="2834" max="2834" width="10.109375" style="2842" customWidth="1"/>
    <col min="2835" max="2835" width="10" style="2842" customWidth="1"/>
    <col min="2836" max="2836" width="26.109375" style="2842" customWidth="1"/>
    <col min="2837" max="3072" width="8.88671875" style="2842"/>
    <col min="3073" max="3073" width="9.44140625" style="2842" customWidth="1"/>
    <col min="3074" max="3074" width="8.88671875" style="2842"/>
    <col min="3075" max="3077" width="12.88671875" style="2842" customWidth="1"/>
    <col min="3078" max="3078" width="47.44140625" style="2842" customWidth="1"/>
    <col min="3079" max="3079" width="13" style="2842" customWidth="1"/>
    <col min="3080" max="3081" width="8.88671875" style="2842"/>
    <col min="3082" max="3082" width="5.77734375" style="2842" customWidth="1"/>
    <col min="3083" max="3083" width="11.77734375" style="2842" customWidth="1"/>
    <col min="3084" max="3085" width="10.77734375" style="2842" customWidth="1"/>
    <col min="3086" max="3086" width="10" style="2842" customWidth="1"/>
    <col min="3087" max="3088" width="10.44140625" style="2842" bestFit="1" customWidth="1"/>
    <col min="3089" max="3089" width="10" style="2842" customWidth="1"/>
    <col min="3090" max="3090" width="10.109375" style="2842" customWidth="1"/>
    <col min="3091" max="3091" width="10" style="2842" customWidth="1"/>
    <col min="3092" max="3092" width="26.109375" style="2842" customWidth="1"/>
    <col min="3093" max="3328" width="8.88671875" style="2842"/>
    <col min="3329" max="3329" width="9.44140625" style="2842" customWidth="1"/>
    <col min="3330" max="3330" width="8.88671875" style="2842"/>
    <col min="3331" max="3333" width="12.88671875" style="2842" customWidth="1"/>
    <col min="3334" max="3334" width="47.44140625" style="2842" customWidth="1"/>
    <col min="3335" max="3335" width="13" style="2842" customWidth="1"/>
    <col min="3336" max="3337" width="8.88671875" style="2842"/>
    <col min="3338" max="3338" width="5.77734375" style="2842" customWidth="1"/>
    <col min="3339" max="3339" width="11.77734375" style="2842" customWidth="1"/>
    <col min="3340" max="3341" width="10.77734375" style="2842" customWidth="1"/>
    <col min="3342" max="3342" width="10" style="2842" customWidth="1"/>
    <col min="3343" max="3344" width="10.44140625" style="2842" bestFit="1" customWidth="1"/>
    <col min="3345" max="3345" width="10" style="2842" customWidth="1"/>
    <col min="3346" max="3346" width="10.109375" style="2842" customWidth="1"/>
    <col min="3347" max="3347" width="10" style="2842" customWidth="1"/>
    <col min="3348" max="3348" width="26.109375" style="2842" customWidth="1"/>
    <col min="3349" max="3584" width="8.88671875" style="2842"/>
    <col min="3585" max="3585" width="9.44140625" style="2842" customWidth="1"/>
    <col min="3586" max="3586" width="8.88671875" style="2842"/>
    <col min="3587" max="3589" width="12.88671875" style="2842" customWidth="1"/>
    <col min="3590" max="3590" width="47.44140625" style="2842" customWidth="1"/>
    <col min="3591" max="3591" width="13" style="2842" customWidth="1"/>
    <col min="3592" max="3593" width="8.88671875" style="2842"/>
    <col min="3594" max="3594" width="5.77734375" style="2842" customWidth="1"/>
    <col min="3595" max="3595" width="11.77734375" style="2842" customWidth="1"/>
    <col min="3596" max="3597" width="10.77734375" style="2842" customWidth="1"/>
    <col min="3598" max="3598" width="10" style="2842" customWidth="1"/>
    <col min="3599" max="3600" width="10.44140625" style="2842" bestFit="1" customWidth="1"/>
    <col min="3601" max="3601" width="10" style="2842" customWidth="1"/>
    <col min="3602" max="3602" width="10.109375" style="2842" customWidth="1"/>
    <col min="3603" max="3603" width="10" style="2842" customWidth="1"/>
    <col min="3604" max="3604" width="26.109375" style="2842" customWidth="1"/>
    <col min="3605" max="3840" width="8.88671875" style="2842"/>
    <col min="3841" max="3841" width="9.44140625" style="2842" customWidth="1"/>
    <col min="3842" max="3842" width="8.88671875" style="2842"/>
    <col min="3843" max="3845" width="12.88671875" style="2842" customWidth="1"/>
    <col min="3846" max="3846" width="47.44140625" style="2842" customWidth="1"/>
    <col min="3847" max="3847" width="13" style="2842" customWidth="1"/>
    <col min="3848" max="3849" width="8.88671875" style="2842"/>
    <col min="3850" max="3850" width="5.77734375" style="2842" customWidth="1"/>
    <col min="3851" max="3851" width="11.77734375" style="2842" customWidth="1"/>
    <col min="3852" max="3853" width="10.77734375" style="2842" customWidth="1"/>
    <col min="3854" max="3854" width="10" style="2842" customWidth="1"/>
    <col min="3855" max="3856" width="10.44140625" style="2842" bestFit="1" customWidth="1"/>
    <col min="3857" max="3857" width="10" style="2842" customWidth="1"/>
    <col min="3858" max="3858" width="10.109375" style="2842" customWidth="1"/>
    <col min="3859" max="3859" width="10" style="2842" customWidth="1"/>
    <col min="3860" max="3860" width="26.109375" style="2842" customWidth="1"/>
    <col min="3861" max="4096" width="8.88671875" style="2842"/>
    <col min="4097" max="4097" width="9.44140625" style="2842" customWidth="1"/>
    <col min="4098" max="4098" width="8.88671875" style="2842"/>
    <col min="4099" max="4101" width="12.88671875" style="2842" customWidth="1"/>
    <col min="4102" max="4102" width="47.44140625" style="2842" customWidth="1"/>
    <col min="4103" max="4103" width="13" style="2842" customWidth="1"/>
    <col min="4104" max="4105" width="8.88671875" style="2842"/>
    <col min="4106" max="4106" width="5.77734375" style="2842" customWidth="1"/>
    <col min="4107" max="4107" width="11.77734375" style="2842" customWidth="1"/>
    <col min="4108" max="4109" width="10.77734375" style="2842" customWidth="1"/>
    <col min="4110" max="4110" width="10" style="2842" customWidth="1"/>
    <col min="4111" max="4112" width="10.44140625" style="2842" bestFit="1" customWidth="1"/>
    <col min="4113" max="4113" width="10" style="2842" customWidth="1"/>
    <col min="4114" max="4114" width="10.109375" style="2842" customWidth="1"/>
    <col min="4115" max="4115" width="10" style="2842" customWidth="1"/>
    <col min="4116" max="4116" width="26.109375" style="2842" customWidth="1"/>
    <col min="4117" max="4352" width="8.88671875" style="2842"/>
    <col min="4353" max="4353" width="9.44140625" style="2842" customWidth="1"/>
    <col min="4354" max="4354" width="8.88671875" style="2842"/>
    <col min="4355" max="4357" width="12.88671875" style="2842" customWidth="1"/>
    <col min="4358" max="4358" width="47.44140625" style="2842" customWidth="1"/>
    <col min="4359" max="4359" width="13" style="2842" customWidth="1"/>
    <col min="4360" max="4361" width="8.88671875" style="2842"/>
    <col min="4362" max="4362" width="5.77734375" style="2842" customWidth="1"/>
    <col min="4363" max="4363" width="11.77734375" style="2842" customWidth="1"/>
    <col min="4364" max="4365" width="10.77734375" style="2842" customWidth="1"/>
    <col min="4366" max="4366" width="10" style="2842" customWidth="1"/>
    <col min="4367" max="4368" width="10.44140625" style="2842" bestFit="1" customWidth="1"/>
    <col min="4369" max="4369" width="10" style="2842" customWidth="1"/>
    <col min="4370" max="4370" width="10.109375" style="2842" customWidth="1"/>
    <col min="4371" max="4371" width="10" style="2842" customWidth="1"/>
    <col min="4372" max="4372" width="26.109375" style="2842" customWidth="1"/>
    <col min="4373" max="4608" width="8.88671875" style="2842"/>
    <col min="4609" max="4609" width="9.44140625" style="2842" customWidth="1"/>
    <col min="4610" max="4610" width="8.88671875" style="2842"/>
    <col min="4611" max="4613" width="12.88671875" style="2842" customWidth="1"/>
    <col min="4614" max="4614" width="47.44140625" style="2842" customWidth="1"/>
    <col min="4615" max="4615" width="13" style="2842" customWidth="1"/>
    <col min="4616" max="4617" width="8.88671875" style="2842"/>
    <col min="4618" max="4618" width="5.77734375" style="2842" customWidth="1"/>
    <col min="4619" max="4619" width="11.77734375" style="2842" customWidth="1"/>
    <col min="4620" max="4621" width="10.77734375" style="2842" customWidth="1"/>
    <col min="4622" max="4622" width="10" style="2842" customWidth="1"/>
    <col min="4623" max="4624" width="10.44140625" style="2842" bestFit="1" customWidth="1"/>
    <col min="4625" max="4625" width="10" style="2842" customWidth="1"/>
    <col min="4626" max="4626" width="10.109375" style="2842" customWidth="1"/>
    <col min="4627" max="4627" width="10" style="2842" customWidth="1"/>
    <col min="4628" max="4628" width="26.109375" style="2842" customWidth="1"/>
    <col min="4629" max="4864" width="8.88671875" style="2842"/>
    <col min="4865" max="4865" width="9.44140625" style="2842" customWidth="1"/>
    <col min="4866" max="4866" width="8.88671875" style="2842"/>
    <col min="4867" max="4869" width="12.88671875" style="2842" customWidth="1"/>
    <col min="4870" max="4870" width="47.44140625" style="2842" customWidth="1"/>
    <col min="4871" max="4871" width="13" style="2842" customWidth="1"/>
    <col min="4872" max="4873" width="8.88671875" style="2842"/>
    <col min="4874" max="4874" width="5.77734375" style="2842" customWidth="1"/>
    <col min="4875" max="4875" width="11.77734375" style="2842" customWidth="1"/>
    <col min="4876" max="4877" width="10.77734375" style="2842" customWidth="1"/>
    <col min="4878" max="4878" width="10" style="2842" customWidth="1"/>
    <col min="4879" max="4880" width="10.44140625" style="2842" bestFit="1" customWidth="1"/>
    <col min="4881" max="4881" width="10" style="2842" customWidth="1"/>
    <col min="4882" max="4882" width="10.109375" style="2842" customWidth="1"/>
    <col min="4883" max="4883" width="10" style="2842" customWidth="1"/>
    <col min="4884" max="4884" width="26.109375" style="2842" customWidth="1"/>
    <col min="4885" max="5120" width="8.88671875" style="2842"/>
    <col min="5121" max="5121" width="9.44140625" style="2842" customWidth="1"/>
    <col min="5122" max="5122" width="8.88671875" style="2842"/>
    <col min="5123" max="5125" width="12.88671875" style="2842" customWidth="1"/>
    <col min="5126" max="5126" width="47.44140625" style="2842" customWidth="1"/>
    <col min="5127" max="5127" width="13" style="2842" customWidth="1"/>
    <col min="5128" max="5129" width="8.88671875" style="2842"/>
    <col min="5130" max="5130" width="5.77734375" style="2842" customWidth="1"/>
    <col min="5131" max="5131" width="11.77734375" style="2842" customWidth="1"/>
    <col min="5132" max="5133" width="10.77734375" style="2842" customWidth="1"/>
    <col min="5134" max="5134" width="10" style="2842" customWidth="1"/>
    <col min="5135" max="5136" width="10.44140625" style="2842" bestFit="1" customWidth="1"/>
    <col min="5137" max="5137" width="10" style="2842" customWidth="1"/>
    <col min="5138" max="5138" width="10.109375" style="2842" customWidth="1"/>
    <col min="5139" max="5139" width="10" style="2842" customWidth="1"/>
    <col min="5140" max="5140" width="26.109375" style="2842" customWidth="1"/>
    <col min="5141" max="5376" width="8.88671875" style="2842"/>
    <col min="5377" max="5377" width="9.44140625" style="2842" customWidth="1"/>
    <col min="5378" max="5378" width="8.88671875" style="2842"/>
    <col min="5379" max="5381" width="12.88671875" style="2842" customWidth="1"/>
    <col min="5382" max="5382" width="47.44140625" style="2842" customWidth="1"/>
    <col min="5383" max="5383" width="13" style="2842" customWidth="1"/>
    <col min="5384" max="5385" width="8.88671875" style="2842"/>
    <col min="5386" max="5386" width="5.77734375" style="2842" customWidth="1"/>
    <col min="5387" max="5387" width="11.77734375" style="2842" customWidth="1"/>
    <col min="5388" max="5389" width="10.77734375" style="2842" customWidth="1"/>
    <col min="5390" max="5390" width="10" style="2842" customWidth="1"/>
    <col min="5391" max="5392" width="10.44140625" style="2842" bestFit="1" customWidth="1"/>
    <col min="5393" max="5393" width="10" style="2842" customWidth="1"/>
    <col min="5394" max="5394" width="10.109375" style="2842" customWidth="1"/>
    <col min="5395" max="5395" width="10" style="2842" customWidth="1"/>
    <col min="5396" max="5396" width="26.109375" style="2842" customWidth="1"/>
    <col min="5397" max="5632" width="8.88671875" style="2842"/>
    <col min="5633" max="5633" width="9.44140625" style="2842" customWidth="1"/>
    <col min="5634" max="5634" width="8.88671875" style="2842"/>
    <col min="5635" max="5637" width="12.88671875" style="2842" customWidth="1"/>
    <col min="5638" max="5638" width="47.44140625" style="2842" customWidth="1"/>
    <col min="5639" max="5639" width="13" style="2842" customWidth="1"/>
    <col min="5640" max="5641" width="8.88671875" style="2842"/>
    <col min="5642" max="5642" width="5.77734375" style="2842" customWidth="1"/>
    <col min="5643" max="5643" width="11.77734375" style="2842" customWidth="1"/>
    <col min="5644" max="5645" width="10.77734375" style="2842" customWidth="1"/>
    <col min="5646" max="5646" width="10" style="2842" customWidth="1"/>
    <col min="5647" max="5648" width="10.44140625" style="2842" bestFit="1" customWidth="1"/>
    <col min="5649" max="5649" width="10" style="2842" customWidth="1"/>
    <col min="5650" max="5650" width="10.109375" style="2842" customWidth="1"/>
    <col min="5651" max="5651" width="10" style="2842" customWidth="1"/>
    <col min="5652" max="5652" width="26.109375" style="2842" customWidth="1"/>
    <col min="5653" max="5888" width="8.88671875" style="2842"/>
    <col min="5889" max="5889" width="9.44140625" style="2842" customWidth="1"/>
    <col min="5890" max="5890" width="8.88671875" style="2842"/>
    <col min="5891" max="5893" width="12.88671875" style="2842" customWidth="1"/>
    <col min="5894" max="5894" width="47.44140625" style="2842" customWidth="1"/>
    <col min="5895" max="5895" width="13" style="2842" customWidth="1"/>
    <col min="5896" max="5897" width="8.88671875" style="2842"/>
    <col min="5898" max="5898" width="5.77734375" style="2842" customWidth="1"/>
    <col min="5899" max="5899" width="11.77734375" style="2842" customWidth="1"/>
    <col min="5900" max="5901" width="10.77734375" style="2842" customWidth="1"/>
    <col min="5902" max="5902" width="10" style="2842" customWidth="1"/>
    <col min="5903" max="5904" width="10.44140625" style="2842" bestFit="1" customWidth="1"/>
    <col min="5905" max="5905" width="10" style="2842" customWidth="1"/>
    <col min="5906" max="5906" width="10.109375" style="2842" customWidth="1"/>
    <col min="5907" max="5907" width="10" style="2842" customWidth="1"/>
    <col min="5908" max="5908" width="26.109375" style="2842" customWidth="1"/>
    <col min="5909" max="6144" width="8.88671875" style="2842"/>
    <col min="6145" max="6145" width="9.44140625" style="2842" customWidth="1"/>
    <col min="6146" max="6146" width="8.88671875" style="2842"/>
    <col min="6147" max="6149" width="12.88671875" style="2842" customWidth="1"/>
    <col min="6150" max="6150" width="47.44140625" style="2842" customWidth="1"/>
    <col min="6151" max="6151" width="13" style="2842" customWidth="1"/>
    <col min="6152" max="6153" width="8.88671875" style="2842"/>
    <col min="6154" max="6154" width="5.77734375" style="2842" customWidth="1"/>
    <col min="6155" max="6155" width="11.77734375" style="2842" customWidth="1"/>
    <col min="6156" max="6157" width="10.77734375" style="2842" customWidth="1"/>
    <col min="6158" max="6158" width="10" style="2842" customWidth="1"/>
    <col min="6159" max="6160" width="10.44140625" style="2842" bestFit="1" customWidth="1"/>
    <col min="6161" max="6161" width="10" style="2842" customWidth="1"/>
    <col min="6162" max="6162" width="10.109375" style="2842" customWidth="1"/>
    <col min="6163" max="6163" width="10" style="2842" customWidth="1"/>
    <col min="6164" max="6164" width="26.109375" style="2842" customWidth="1"/>
    <col min="6165" max="6400" width="8.88671875" style="2842"/>
    <col min="6401" max="6401" width="9.44140625" style="2842" customWidth="1"/>
    <col min="6402" max="6402" width="8.88671875" style="2842"/>
    <col min="6403" max="6405" width="12.88671875" style="2842" customWidth="1"/>
    <col min="6406" max="6406" width="47.44140625" style="2842" customWidth="1"/>
    <col min="6407" max="6407" width="13" style="2842" customWidth="1"/>
    <col min="6408" max="6409" width="8.88671875" style="2842"/>
    <col min="6410" max="6410" width="5.77734375" style="2842" customWidth="1"/>
    <col min="6411" max="6411" width="11.77734375" style="2842" customWidth="1"/>
    <col min="6412" max="6413" width="10.77734375" style="2842" customWidth="1"/>
    <col min="6414" max="6414" width="10" style="2842" customWidth="1"/>
    <col min="6415" max="6416" width="10.44140625" style="2842" bestFit="1" customWidth="1"/>
    <col min="6417" max="6417" width="10" style="2842" customWidth="1"/>
    <col min="6418" max="6418" width="10.109375" style="2842" customWidth="1"/>
    <col min="6419" max="6419" width="10" style="2842" customWidth="1"/>
    <col min="6420" max="6420" width="26.109375" style="2842" customWidth="1"/>
    <col min="6421" max="6656" width="8.88671875" style="2842"/>
    <col min="6657" max="6657" width="9.44140625" style="2842" customWidth="1"/>
    <col min="6658" max="6658" width="8.88671875" style="2842"/>
    <col min="6659" max="6661" width="12.88671875" style="2842" customWidth="1"/>
    <col min="6662" max="6662" width="47.44140625" style="2842" customWidth="1"/>
    <col min="6663" max="6663" width="13" style="2842" customWidth="1"/>
    <col min="6664" max="6665" width="8.88671875" style="2842"/>
    <col min="6666" max="6666" width="5.77734375" style="2842" customWidth="1"/>
    <col min="6667" max="6667" width="11.77734375" style="2842" customWidth="1"/>
    <col min="6668" max="6669" width="10.77734375" style="2842" customWidth="1"/>
    <col min="6670" max="6670" width="10" style="2842" customWidth="1"/>
    <col min="6671" max="6672" width="10.44140625" style="2842" bestFit="1" customWidth="1"/>
    <col min="6673" max="6673" width="10" style="2842" customWidth="1"/>
    <col min="6674" max="6674" width="10.109375" style="2842" customWidth="1"/>
    <col min="6675" max="6675" width="10" style="2842" customWidth="1"/>
    <col min="6676" max="6676" width="26.109375" style="2842" customWidth="1"/>
    <col min="6677" max="6912" width="8.88671875" style="2842"/>
    <col min="6913" max="6913" width="9.44140625" style="2842" customWidth="1"/>
    <col min="6914" max="6914" width="8.88671875" style="2842"/>
    <col min="6915" max="6917" width="12.88671875" style="2842" customWidth="1"/>
    <col min="6918" max="6918" width="47.44140625" style="2842" customWidth="1"/>
    <col min="6919" max="6919" width="13" style="2842" customWidth="1"/>
    <col min="6920" max="6921" width="8.88671875" style="2842"/>
    <col min="6922" max="6922" width="5.77734375" style="2842" customWidth="1"/>
    <col min="6923" max="6923" width="11.77734375" style="2842" customWidth="1"/>
    <col min="6924" max="6925" width="10.77734375" style="2842" customWidth="1"/>
    <col min="6926" max="6926" width="10" style="2842" customWidth="1"/>
    <col min="6927" max="6928" width="10.44140625" style="2842" bestFit="1" customWidth="1"/>
    <col min="6929" max="6929" width="10" style="2842" customWidth="1"/>
    <col min="6930" max="6930" width="10.109375" style="2842" customWidth="1"/>
    <col min="6931" max="6931" width="10" style="2842" customWidth="1"/>
    <col min="6932" max="6932" width="26.109375" style="2842" customWidth="1"/>
    <col min="6933" max="7168" width="8.88671875" style="2842"/>
    <col min="7169" max="7169" width="9.44140625" style="2842" customWidth="1"/>
    <col min="7170" max="7170" width="8.88671875" style="2842"/>
    <col min="7171" max="7173" width="12.88671875" style="2842" customWidth="1"/>
    <col min="7174" max="7174" width="47.44140625" style="2842" customWidth="1"/>
    <col min="7175" max="7175" width="13" style="2842" customWidth="1"/>
    <col min="7176" max="7177" width="8.88671875" style="2842"/>
    <col min="7178" max="7178" width="5.77734375" style="2842" customWidth="1"/>
    <col min="7179" max="7179" width="11.77734375" style="2842" customWidth="1"/>
    <col min="7180" max="7181" width="10.77734375" style="2842" customWidth="1"/>
    <col min="7182" max="7182" width="10" style="2842" customWidth="1"/>
    <col min="7183" max="7184" width="10.44140625" style="2842" bestFit="1" customWidth="1"/>
    <col min="7185" max="7185" width="10" style="2842" customWidth="1"/>
    <col min="7186" max="7186" width="10.109375" style="2842" customWidth="1"/>
    <col min="7187" max="7187" width="10" style="2842" customWidth="1"/>
    <col min="7188" max="7188" width="26.109375" style="2842" customWidth="1"/>
    <col min="7189" max="7424" width="8.88671875" style="2842"/>
    <col min="7425" max="7425" width="9.44140625" style="2842" customWidth="1"/>
    <col min="7426" max="7426" width="8.88671875" style="2842"/>
    <col min="7427" max="7429" width="12.88671875" style="2842" customWidth="1"/>
    <col min="7430" max="7430" width="47.44140625" style="2842" customWidth="1"/>
    <col min="7431" max="7431" width="13" style="2842" customWidth="1"/>
    <col min="7432" max="7433" width="8.88671875" style="2842"/>
    <col min="7434" max="7434" width="5.77734375" style="2842" customWidth="1"/>
    <col min="7435" max="7435" width="11.77734375" style="2842" customWidth="1"/>
    <col min="7436" max="7437" width="10.77734375" style="2842" customWidth="1"/>
    <col min="7438" max="7438" width="10" style="2842" customWidth="1"/>
    <col min="7439" max="7440" width="10.44140625" style="2842" bestFit="1" customWidth="1"/>
    <col min="7441" max="7441" width="10" style="2842" customWidth="1"/>
    <col min="7442" max="7442" width="10.109375" style="2842" customWidth="1"/>
    <col min="7443" max="7443" width="10" style="2842" customWidth="1"/>
    <col min="7444" max="7444" width="26.109375" style="2842" customWidth="1"/>
    <col min="7445" max="7680" width="8.88671875" style="2842"/>
    <col min="7681" max="7681" width="9.44140625" style="2842" customWidth="1"/>
    <col min="7682" max="7682" width="8.88671875" style="2842"/>
    <col min="7683" max="7685" width="12.88671875" style="2842" customWidth="1"/>
    <col min="7686" max="7686" width="47.44140625" style="2842" customWidth="1"/>
    <col min="7687" max="7687" width="13" style="2842" customWidth="1"/>
    <col min="7688" max="7689" width="8.88671875" style="2842"/>
    <col min="7690" max="7690" width="5.77734375" style="2842" customWidth="1"/>
    <col min="7691" max="7691" width="11.77734375" style="2842" customWidth="1"/>
    <col min="7692" max="7693" width="10.77734375" style="2842" customWidth="1"/>
    <col min="7694" max="7694" width="10" style="2842" customWidth="1"/>
    <col min="7695" max="7696" width="10.44140625" style="2842" bestFit="1" customWidth="1"/>
    <col min="7697" max="7697" width="10" style="2842" customWidth="1"/>
    <col min="7698" max="7698" width="10.109375" style="2842" customWidth="1"/>
    <col min="7699" max="7699" width="10" style="2842" customWidth="1"/>
    <col min="7700" max="7700" width="26.109375" style="2842" customWidth="1"/>
    <col min="7701" max="7936" width="8.88671875" style="2842"/>
    <col min="7937" max="7937" width="9.44140625" style="2842" customWidth="1"/>
    <col min="7938" max="7938" width="8.88671875" style="2842"/>
    <col min="7939" max="7941" width="12.88671875" style="2842" customWidth="1"/>
    <col min="7942" max="7942" width="47.44140625" style="2842" customWidth="1"/>
    <col min="7943" max="7943" width="13" style="2842" customWidth="1"/>
    <col min="7944" max="7945" width="8.88671875" style="2842"/>
    <col min="7946" max="7946" width="5.77734375" style="2842" customWidth="1"/>
    <col min="7947" max="7947" width="11.77734375" style="2842" customWidth="1"/>
    <col min="7948" max="7949" width="10.77734375" style="2842" customWidth="1"/>
    <col min="7950" max="7950" width="10" style="2842" customWidth="1"/>
    <col min="7951" max="7952" width="10.44140625" style="2842" bestFit="1" customWidth="1"/>
    <col min="7953" max="7953" width="10" style="2842" customWidth="1"/>
    <col min="7954" max="7954" width="10.109375" style="2842" customWidth="1"/>
    <col min="7955" max="7955" width="10" style="2842" customWidth="1"/>
    <col min="7956" max="7956" width="26.109375" style="2842" customWidth="1"/>
    <col min="7957" max="8192" width="8.88671875" style="2842"/>
    <col min="8193" max="8193" width="9.44140625" style="2842" customWidth="1"/>
    <col min="8194" max="8194" width="8.88671875" style="2842"/>
    <col min="8195" max="8197" width="12.88671875" style="2842" customWidth="1"/>
    <col min="8198" max="8198" width="47.44140625" style="2842" customWidth="1"/>
    <col min="8199" max="8199" width="13" style="2842" customWidth="1"/>
    <col min="8200" max="8201" width="8.88671875" style="2842"/>
    <col min="8202" max="8202" width="5.77734375" style="2842" customWidth="1"/>
    <col min="8203" max="8203" width="11.77734375" style="2842" customWidth="1"/>
    <col min="8204" max="8205" width="10.77734375" style="2842" customWidth="1"/>
    <col min="8206" max="8206" width="10" style="2842" customWidth="1"/>
    <col min="8207" max="8208" width="10.44140625" style="2842" bestFit="1" customWidth="1"/>
    <col min="8209" max="8209" width="10" style="2842" customWidth="1"/>
    <col min="8210" max="8210" width="10.109375" style="2842" customWidth="1"/>
    <col min="8211" max="8211" width="10" style="2842" customWidth="1"/>
    <col min="8212" max="8212" width="26.109375" style="2842" customWidth="1"/>
    <col min="8213" max="8448" width="8.88671875" style="2842"/>
    <col min="8449" max="8449" width="9.44140625" style="2842" customWidth="1"/>
    <col min="8450" max="8450" width="8.88671875" style="2842"/>
    <col min="8451" max="8453" width="12.88671875" style="2842" customWidth="1"/>
    <col min="8454" max="8454" width="47.44140625" style="2842" customWidth="1"/>
    <col min="8455" max="8455" width="13" style="2842" customWidth="1"/>
    <col min="8456" max="8457" width="8.88671875" style="2842"/>
    <col min="8458" max="8458" width="5.77734375" style="2842" customWidth="1"/>
    <col min="8459" max="8459" width="11.77734375" style="2842" customWidth="1"/>
    <col min="8460" max="8461" width="10.77734375" style="2842" customWidth="1"/>
    <col min="8462" max="8462" width="10" style="2842" customWidth="1"/>
    <col min="8463" max="8464" width="10.44140625" style="2842" bestFit="1" customWidth="1"/>
    <col min="8465" max="8465" width="10" style="2842" customWidth="1"/>
    <col min="8466" max="8466" width="10.109375" style="2842" customWidth="1"/>
    <col min="8467" max="8467" width="10" style="2842" customWidth="1"/>
    <col min="8468" max="8468" width="26.109375" style="2842" customWidth="1"/>
    <col min="8469" max="8704" width="8.88671875" style="2842"/>
    <col min="8705" max="8705" width="9.44140625" style="2842" customWidth="1"/>
    <col min="8706" max="8706" width="8.88671875" style="2842"/>
    <col min="8707" max="8709" width="12.88671875" style="2842" customWidth="1"/>
    <col min="8710" max="8710" width="47.44140625" style="2842" customWidth="1"/>
    <col min="8711" max="8711" width="13" style="2842" customWidth="1"/>
    <col min="8712" max="8713" width="8.88671875" style="2842"/>
    <col min="8714" max="8714" width="5.77734375" style="2842" customWidth="1"/>
    <col min="8715" max="8715" width="11.77734375" style="2842" customWidth="1"/>
    <col min="8716" max="8717" width="10.77734375" style="2842" customWidth="1"/>
    <col min="8718" max="8718" width="10" style="2842" customWidth="1"/>
    <col min="8719" max="8720" width="10.44140625" style="2842" bestFit="1" customWidth="1"/>
    <col min="8721" max="8721" width="10" style="2842" customWidth="1"/>
    <col min="8722" max="8722" width="10.109375" style="2842" customWidth="1"/>
    <col min="8723" max="8723" width="10" style="2842" customWidth="1"/>
    <col min="8724" max="8724" width="26.109375" style="2842" customWidth="1"/>
    <col min="8725" max="8960" width="8.88671875" style="2842"/>
    <col min="8961" max="8961" width="9.44140625" style="2842" customWidth="1"/>
    <col min="8962" max="8962" width="8.88671875" style="2842"/>
    <col min="8963" max="8965" width="12.88671875" style="2842" customWidth="1"/>
    <col min="8966" max="8966" width="47.44140625" style="2842" customWidth="1"/>
    <col min="8967" max="8967" width="13" style="2842" customWidth="1"/>
    <col min="8968" max="8969" width="8.88671875" style="2842"/>
    <col min="8970" max="8970" width="5.77734375" style="2842" customWidth="1"/>
    <col min="8971" max="8971" width="11.77734375" style="2842" customWidth="1"/>
    <col min="8972" max="8973" width="10.77734375" style="2842" customWidth="1"/>
    <col min="8974" max="8974" width="10" style="2842" customWidth="1"/>
    <col min="8975" max="8976" width="10.44140625" style="2842" bestFit="1" customWidth="1"/>
    <col min="8977" max="8977" width="10" style="2842" customWidth="1"/>
    <col min="8978" max="8978" width="10.109375" style="2842" customWidth="1"/>
    <col min="8979" max="8979" width="10" style="2842" customWidth="1"/>
    <col min="8980" max="8980" width="26.109375" style="2842" customWidth="1"/>
    <col min="8981" max="9216" width="8.88671875" style="2842"/>
    <col min="9217" max="9217" width="9.44140625" style="2842" customWidth="1"/>
    <col min="9218" max="9218" width="8.88671875" style="2842"/>
    <col min="9219" max="9221" width="12.88671875" style="2842" customWidth="1"/>
    <col min="9222" max="9222" width="47.44140625" style="2842" customWidth="1"/>
    <col min="9223" max="9223" width="13" style="2842" customWidth="1"/>
    <col min="9224" max="9225" width="8.88671875" style="2842"/>
    <col min="9226" max="9226" width="5.77734375" style="2842" customWidth="1"/>
    <col min="9227" max="9227" width="11.77734375" style="2842" customWidth="1"/>
    <col min="9228" max="9229" width="10.77734375" style="2842" customWidth="1"/>
    <col min="9230" max="9230" width="10" style="2842" customWidth="1"/>
    <col min="9231" max="9232" width="10.44140625" style="2842" bestFit="1" customWidth="1"/>
    <col min="9233" max="9233" width="10" style="2842" customWidth="1"/>
    <col min="9234" max="9234" width="10.109375" style="2842" customWidth="1"/>
    <col min="9235" max="9235" width="10" style="2842" customWidth="1"/>
    <col min="9236" max="9236" width="26.109375" style="2842" customWidth="1"/>
    <col min="9237" max="9472" width="8.88671875" style="2842"/>
    <col min="9473" max="9473" width="9.44140625" style="2842" customWidth="1"/>
    <col min="9474" max="9474" width="8.88671875" style="2842"/>
    <col min="9475" max="9477" width="12.88671875" style="2842" customWidth="1"/>
    <col min="9478" max="9478" width="47.44140625" style="2842" customWidth="1"/>
    <col min="9479" max="9479" width="13" style="2842" customWidth="1"/>
    <col min="9480" max="9481" width="8.88671875" style="2842"/>
    <col min="9482" max="9482" width="5.77734375" style="2842" customWidth="1"/>
    <col min="9483" max="9483" width="11.77734375" style="2842" customWidth="1"/>
    <col min="9484" max="9485" width="10.77734375" style="2842" customWidth="1"/>
    <col min="9486" max="9486" width="10" style="2842" customWidth="1"/>
    <col min="9487" max="9488" width="10.44140625" style="2842" bestFit="1" customWidth="1"/>
    <col min="9489" max="9489" width="10" style="2842" customWidth="1"/>
    <col min="9490" max="9490" width="10.109375" style="2842" customWidth="1"/>
    <col min="9491" max="9491" width="10" style="2842" customWidth="1"/>
    <col min="9492" max="9492" width="26.109375" style="2842" customWidth="1"/>
    <col min="9493" max="9728" width="8.88671875" style="2842"/>
    <col min="9729" max="9729" width="9.44140625" style="2842" customWidth="1"/>
    <col min="9730" max="9730" width="8.88671875" style="2842"/>
    <col min="9731" max="9733" width="12.88671875" style="2842" customWidth="1"/>
    <col min="9734" max="9734" width="47.44140625" style="2842" customWidth="1"/>
    <col min="9735" max="9735" width="13" style="2842" customWidth="1"/>
    <col min="9736" max="9737" width="8.88671875" style="2842"/>
    <col min="9738" max="9738" width="5.77734375" style="2842" customWidth="1"/>
    <col min="9739" max="9739" width="11.77734375" style="2842" customWidth="1"/>
    <col min="9740" max="9741" width="10.77734375" style="2842" customWidth="1"/>
    <col min="9742" max="9742" width="10" style="2842" customWidth="1"/>
    <col min="9743" max="9744" width="10.44140625" style="2842" bestFit="1" customWidth="1"/>
    <col min="9745" max="9745" width="10" style="2842" customWidth="1"/>
    <col min="9746" max="9746" width="10.109375" style="2842" customWidth="1"/>
    <col min="9747" max="9747" width="10" style="2842" customWidth="1"/>
    <col min="9748" max="9748" width="26.109375" style="2842" customWidth="1"/>
    <col min="9749" max="9984" width="8.88671875" style="2842"/>
    <col min="9985" max="9985" width="9.44140625" style="2842" customWidth="1"/>
    <col min="9986" max="9986" width="8.88671875" style="2842"/>
    <col min="9987" max="9989" width="12.88671875" style="2842" customWidth="1"/>
    <col min="9990" max="9990" width="47.44140625" style="2842" customWidth="1"/>
    <col min="9991" max="9991" width="13" style="2842" customWidth="1"/>
    <col min="9992" max="9993" width="8.88671875" style="2842"/>
    <col min="9994" max="9994" width="5.77734375" style="2842" customWidth="1"/>
    <col min="9995" max="9995" width="11.77734375" style="2842" customWidth="1"/>
    <col min="9996" max="9997" width="10.77734375" style="2842" customWidth="1"/>
    <col min="9998" max="9998" width="10" style="2842" customWidth="1"/>
    <col min="9999" max="10000" width="10.44140625" style="2842" bestFit="1" customWidth="1"/>
    <col min="10001" max="10001" width="10" style="2842" customWidth="1"/>
    <col min="10002" max="10002" width="10.109375" style="2842" customWidth="1"/>
    <col min="10003" max="10003" width="10" style="2842" customWidth="1"/>
    <col min="10004" max="10004" width="26.109375" style="2842" customWidth="1"/>
    <col min="10005" max="10240" width="8.88671875" style="2842"/>
    <col min="10241" max="10241" width="9.44140625" style="2842" customWidth="1"/>
    <col min="10242" max="10242" width="8.88671875" style="2842"/>
    <col min="10243" max="10245" width="12.88671875" style="2842" customWidth="1"/>
    <col min="10246" max="10246" width="47.44140625" style="2842" customWidth="1"/>
    <col min="10247" max="10247" width="13" style="2842" customWidth="1"/>
    <col min="10248" max="10249" width="8.88671875" style="2842"/>
    <col min="10250" max="10250" width="5.77734375" style="2842" customWidth="1"/>
    <col min="10251" max="10251" width="11.77734375" style="2842" customWidth="1"/>
    <col min="10252" max="10253" width="10.77734375" style="2842" customWidth="1"/>
    <col min="10254" max="10254" width="10" style="2842" customWidth="1"/>
    <col min="10255" max="10256" width="10.44140625" style="2842" bestFit="1" customWidth="1"/>
    <col min="10257" max="10257" width="10" style="2842" customWidth="1"/>
    <col min="10258" max="10258" width="10.109375" style="2842" customWidth="1"/>
    <col min="10259" max="10259" width="10" style="2842" customWidth="1"/>
    <col min="10260" max="10260" width="26.109375" style="2842" customWidth="1"/>
    <col min="10261" max="10496" width="8.88671875" style="2842"/>
    <col min="10497" max="10497" width="9.44140625" style="2842" customWidth="1"/>
    <col min="10498" max="10498" width="8.88671875" style="2842"/>
    <col min="10499" max="10501" width="12.88671875" style="2842" customWidth="1"/>
    <col min="10502" max="10502" width="47.44140625" style="2842" customWidth="1"/>
    <col min="10503" max="10503" width="13" style="2842" customWidth="1"/>
    <col min="10504" max="10505" width="8.88671875" style="2842"/>
    <col min="10506" max="10506" width="5.77734375" style="2842" customWidth="1"/>
    <col min="10507" max="10507" width="11.77734375" style="2842" customWidth="1"/>
    <col min="10508" max="10509" width="10.77734375" style="2842" customWidth="1"/>
    <col min="10510" max="10510" width="10" style="2842" customWidth="1"/>
    <col min="10511" max="10512" width="10.44140625" style="2842" bestFit="1" customWidth="1"/>
    <col min="10513" max="10513" width="10" style="2842" customWidth="1"/>
    <col min="10514" max="10514" width="10.109375" style="2842" customWidth="1"/>
    <col min="10515" max="10515" width="10" style="2842" customWidth="1"/>
    <col min="10516" max="10516" width="26.109375" style="2842" customWidth="1"/>
    <col min="10517" max="10752" width="8.88671875" style="2842"/>
    <col min="10753" max="10753" width="9.44140625" style="2842" customWidth="1"/>
    <col min="10754" max="10754" width="8.88671875" style="2842"/>
    <col min="10755" max="10757" width="12.88671875" style="2842" customWidth="1"/>
    <col min="10758" max="10758" width="47.44140625" style="2842" customWidth="1"/>
    <col min="10759" max="10759" width="13" style="2842" customWidth="1"/>
    <col min="10760" max="10761" width="8.88671875" style="2842"/>
    <col min="10762" max="10762" width="5.77734375" style="2842" customWidth="1"/>
    <col min="10763" max="10763" width="11.77734375" style="2842" customWidth="1"/>
    <col min="10764" max="10765" width="10.77734375" style="2842" customWidth="1"/>
    <col min="10766" max="10766" width="10" style="2842" customWidth="1"/>
    <col min="10767" max="10768" width="10.44140625" style="2842" bestFit="1" customWidth="1"/>
    <col min="10769" max="10769" width="10" style="2842" customWidth="1"/>
    <col min="10770" max="10770" width="10.109375" style="2842" customWidth="1"/>
    <col min="10771" max="10771" width="10" style="2842" customWidth="1"/>
    <col min="10772" max="10772" width="26.109375" style="2842" customWidth="1"/>
    <col min="10773" max="11008" width="8.88671875" style="2842"/>
    <col min="11009" max="11009" width="9.44140625" style="2842" customWidth="1"/>
    <col min="11010" max="11010" width="8.88671875" style="2842"/>
    <col min="11011" max="11013" width="12.88671875" style="2842" customWidth="1"/>
    <col min="11014" max="11014" width="47.44140625" style="2842" customWidth="1"/>
    <col min="11015" max="11015" width="13" style="2842" customWidth="1"/>
    <col min="11016" max="11017" width="8.88671875" style="2842"/>
    <col min="11018" max="11018" width="5.77734375" style="2842" customWidth="1"/>
    <col min="11019" max="11019" width="11.77734375" style="2842" customWidth="1"/>
    <col min="11020" max="11021" width="10.77734375" style="2842" customWidth="1"/>
    <col min="11022" max="11022" width="10" style="2842" customWidth="1"/>
    <col min="11023" max="11024" width="10.44140625" style="2842" bestFit="1" customWidth="1"/>
    <col min="11025" max="11025" width="10" style="2842" customWidth="1"/>
    <col min="11026" max="11026" width="10.109375" style="2842" customWidth="1"/>
    <col min="11027" max="11027" width="10" style="2842" customWidth="1"/>
    <col min="11028" max="11028" width="26.109375" style="2842" customWidth="1"/>
    <col min="11029" max="11264" width="8.88671875" style="2842"/>
    <col min="11265" max="11265" width="9.44140625" style="2842" customWidth="1"/>
    <col min="11266" max="11266" width="8.88671875" style="2842"/>
    <col min="11267" max="11269" width="12.88671875" style="2842" customWidth="1"/>
    <col min="11270" max="11270" width="47.44140625" style="2842" customWidth="1"/>
    <col min="11271" max="11271" width="13" style="2842" customWidth="1"/>
    <col min="11272" max="11273" width="8.88671875" style="2842"/>
    <col min="11274" max="11274" width="5.77734375" style="2842" customWidth="1"/>
    <col min="11275" max="11275" width="11.77734375" style="2842" customWidth="1"/>
    <col min="11276" max="11277" width="10.77734375" style="2842" customWidth="1"/>
    <col min="11278" max="11278" width="10" style="2842" customWidth="1"/>
    <col min="11279" max="11280" width="10.44140625" style="2842" bestFit="1" customWidth="1"/>
    <col min="11281" max="11281" width="10" style="2842" customWidth="1"/>
    <col min="11282" max="11282" width="10.109375" style="2842" customWidth="1"/>
    <col min="11283" max="11283" width="10" style="2842" customWidth="1"/>
    <col min="11284" max="11284" width="26.109375" style="2842" customWidth="1"/>
    <col min="11285" max="11520" width="8.88671875" style="2842"/>
    <col min="11521" max="11521" width="9.44140625" style="2842" customWidth="1"/>
    <col min="11522" max="11522" width="8.88671875" style="2842"/>
    <col min="11523" max="11525" width="12.88671875" style="2842" customWidth="1"/>
    <col min="11526" max="11526" width="47.44140625" style="2842" customWidth="1"/>
    <col min="11527" max="11527" width="13" style="2842" customWidth="1"/>
    <col min="11528" max="11529" width="8.88671875" style="2842"/>
    <col min="11530" max="11530" width="5.77734375" style="2842" customWidth="1"/>
    <col min="11531" max="11531" width="11.77734375" style="2842" customWidth="1"/>
    <col min="11532" max="11533" width="10.77734375" style="2842" customWidth="1"/>
    <col min="11534" max="11534" width="10" style="2842" customWidth="1"/>
    <col min="11535" max="11536" width="10.44140625" style="2842" bestFit="1" customWidth="1"/>
    <col min="11537" max="11537" width="10" style="2842" customWidth="1"/>
    <col min="11538" max="11538" width="10.109375" style="2842" customWidth="1"/>
    <col min="11539" max="11539" width="10" style="2842" customWidth="1"/>
    <col min="11540" max="11540" width="26.109375" style="2842" customWidth="1"/>
    <col min="11541" max="11776" width="8.88671875" style="2842"/>
    <col min="11777" max="11777" width="9.44140625" style="2842" customWidth="1"/>
    <col min="11778" max="11778" width="8.88671875" style="2842"/>
    <col min="11779" max="11781" width="12.88671875" style="2842" customWidth="1"/>
    <col min="11782" max="11782" width="47.44140625" style="2842" customWidth="1"/>
    <col min="11783" max="11783" width="13" style="2842" customWidth="1"/>
    <col min="11784" max="11785" width="8.88671875" style="2842"/>
    <col min="11786" max="11786" width="5.77734375" style="2842" customWidth="1"/>
    <col min="11787" max="11787" width="11.77734375" style="2842" customWidth="1"/>
    <col min="11788" max="11789" width="10.77734375" style="2842" customWidth="1"/>
    <col min="11790" max="11790" width="10" style="2842" customWidth="1"/>
    <col min="11791" max="11792" width="10.44140625" style="2842" bestFit="1" customWidth="1"/>
    <col min="11793" max="11793" width="10" style="2842" customWidth="1"/>
    <col min="11794" max="11794" width="10.109375" style="2842" customWidth="1"/>
    <col min="11795" max="11795" width="10" style="2842" customWidth="1"/>
    <col min="11796" max="11796" width="26.109375" style="2842" customWidth="1"/>
    <col min="11797" max="12032" width="8.88671875" style="2842"/>
    <col min="12033" max="12033" width="9.44140625" style="2842" customWidth="1"/>
    <col min="12034" max="12034" width="8.88671875" style="2842"/>
    <col min="12035" max="12037" width="12.88671875" style="2842" customWidth="1"/>
    <col min="12038" max="12038" width="47.44140625" style="2842" customWidth="1"/>
    <col min="12039" max="12039" width="13" style="2842" customWidth="1"/>
    <col min="12040" max="12041" width="8.88671875" style="2842"/>
    <col min="12042" max="12042" width="5.77734375" style="2842" customWidth="1"/>
    <col min="12043" max="12043" width="11.77734375" style="2842" customWidth="1"/>
    <col min="12044" max="12045" width="10.77734375" style="2842" customWidth="1"/>
    <col min="12046" max="12046" width="10" style="2842" customWidth="1"/>
    <col min="12047" max="12048" width="10.44140625" style="2842" bestFit="1" customWidth="1"/>
    <col min="12049" max="12049" width="10" style="2842" customWidth="1"/>
    <col min="12050" max="12050" width="10.109375" style="2842" customWidth="1"/>
    <col min="12051" max="12051" width="10" style="2842" customWidth="1"/>
    <col min="12052" max="12052" width="26.109375" style="2842" customWidth="1"/>
    <col min="12053" max="12288" width="8.88671875" style="2842"/>
    <col min="12289" max="12289" width="9.44140625" style="2842" customWidth="1"/>
    <col min="12290" max="12290" width="8.88671875" style="2842"/>
    <col min="12291" max="12293" width="12.88671875" style="2842" customWidth="1"/>
    <col min="12294" max="12294" width="47.44140625" style="2842" customWidth="1"/>
    <col min="12295" max="12295" width="13" style="2842" customWidth="1"/>
    <col min="12296" max="12297" width="8.88671875" style="2842"/>
    <col min="12298" max="12298" width="5.77734375" style="2842" customWidth="1"/>
    <col min="12299" max="12299" width="11.77734375" style="2842" customWidth="1"/>
    <col min="12300" max="12301" width="10.77734375" style="2842" customWidth="1"/>
    <col min="12302" max="12302" width="10" style="2842" customWidth="1"/>
    <col min="12303" max="12304" width="10.44140625" style="2842" bestFit="1" customWidth="1"/>
    <col min="12305" max="12305" width="10" style="2842" customWidth="1"/>
    <col min="12306" max="12306" width="10.109375" style="2842" customWidth="1"/>
    <col min="12307" max="12307" width="10" style="2842" customWidth="1"/>
    <col min="12308" max="12308" width="26.109375" style="2842" customWidth="1"/>
    <col min="12309" max="12544" width="8.88671875" style="2842"/>
    <col min="12545" max="12545" width="9.44140625" style="2842" customWidth="1"/>
    <col min="12546" max="12546" width="8.88671875" style="2842"/>
    <col min="12547" max="12549" width="12.88671875" style="2842" customWidth="1"/>
    <col min="12550" max="12550" width="47.44140625" style="2842" customWidth="1"/>
    <col min="12551" max="12551" width="13" style="2842" customWidth="1"/>
    <col min="12552" max="12553" width="8.88671875" style="2842"/>
    <col min="12554" max="12554" width="5.77734375" style="2842" customWidth="1"/>
    <col min="12555" max="12555" width="11.77734375" style="2842" customWidth="1"/>
    <col min="12556" max="12557" width="10.77734375" style="2842" customWidth="1"/>
    <col min="12558" max="12558" width="10" style="2842" customWidth="1"/>
    <col min="12559" max="12560" width="10.44140625" style="2842" bestFit="1" customWidth="1"/>
    <col min="12561" max="12561" width="10" style="2842" customWidth="1"/>
    <col min="12562" max="12562" width="10.109375" style="2842" customWidth="1"/>
    <col min="12563" max="12563" width="10" style="2842" customWidth="1"/>
    <col min="12564" max="12564" width="26.109375" style="2842" customWidth="1"/>
    <col min="12565" max="12800" width="8.88671875" style="2842"/>
    <col min="12801" max="12801" width="9.44140625" style="2842" customWidth="1"/>
    <col min="12802" max="12802" width="8.88671875" style="2842"/>
    <col min="12803" max="12805" width="12.88671875" style="2842" customWidth="1"/>
    <col min="12806" max="12806" width="47.44140625" style="2842" customWidth="1"/>
    <col min="12807" max="12807" width="13" style="2842" customWidth="1"/>
    <col min="12808" max="12809" width="8.88671875" style="2842"/>
    <col min="12810" max="12810" width="5.77734375" style="2842" customWidth="1"/>
    <col min="12811" max="12811" width="11.77734375" style="2842" customWidth="1"/>
    <col min="12812" max="12813" width="10.77734375" style="2842" customWidth="1"/>
    <col min="12814" max="12814" width="10" style="2842" customWidth="1"/>
    <col min="12815" max="12816" width="10.44140625" style="2842" bestFit="1" customWidth="1"/>
    <col min="12817" max="12817" width="10" style="2842" customWidth="1"/>
    <col min="12818" max="12818" width="10.109375" style="2842" customWidth="1"/>
    <col min="12819" max="12819" width="10" style="2842" customWidth="1"/>
    <col min="12820" max="12820" width="26.109375" style="2842" customWidth="1"/>
    <col min="12821" max="13056" width="8.88671875" style="2842"/>
    <col min="13057" max="13057" width="9.44140625" style="2842" customWidth="1"/>
    <col min="13058" max="13058" width="8.88671875" style="2842"/>
    <col min="13059" max="13061" width="12.88671875" style="2842" customWidth="1"/>
    <col min="13062" max="13062" width="47.44140625" style="2842" customWidth="1"/>
    <col min="13063" max="13063" width="13" style="2842" customWidth="1"/>
    <col min="13064" max="13065" width="8.88671875" style="2842"/>
    <col min="13066" max="13066" width="5.77734375" style="2842" customWidth="1"/>
    <col min="13067" max="13067" width="11.77734375" style="2842" customWidth="1"/>
    <col min="13068" max="13069" width="10.77734375" style="2842" customWidth="1"/>
    <col min="13070" max="13070" width="10" style="2842" customWidth="1"/>
    <col min="13071" max="13072" width="10.44140625" style="2842" bestFit="1" customWidth="1"/>
    <col min="13073" max="13073" width="10" style="2842" customWidth="1"/>
    <col min="13074" max="13074" width="10.109375" style="2842" customWidth="1"/>
    <col min="13075" max="13075" width="10" style="2842" customWidth="1"/>
    <col min="13076" max="13076" width="26.109375" style="2842" customWidth="1"/>
    <col min="13077" max="13312" width="8.88671875" style="2842"/>
    <col min="13313" max="13313" width="9.44140625" style="2842" customWidth="1"/>
    <col min="13314" max="13314" width="8.88671875" style="2842"/>
    <col min="13315" max="13317" width="12.88671875" style="2842" customWidth="1"/>
    <col min="13318" max="13318" width="47.44140625" style="2842" customWidth="1"/>
    <col min="13319" max="13319" width="13" style="2842" customWidth="1"/>
    <col min="13320" max="13321" width="8.88671875" style="2842"/>
    <col min="13322" max="13322" width="5.77734375" style="2842" customWidth="1"/>
    <col min="13323" max="13323" width="11.77734375" style="2842" customWidth="1"/>
    <col min="13324" max="13325" width="10.77734375" style="2842" customWidth="1"/>
    <col min="13326" max="13326" width="10" style="2842" customWidth="1"/>
    <col min="13327" max="13328" width="10.44140625" style="2842" bestFit="1" customWidth="1"/>
    <col min="13329" max="13329" width="10" style="2842" customWidth="1"/>
    <col min="13330" max="13330" width="10.109375" style="2842" customWidth="1"/>
    <col min="13331" max="13331" width="10" style="2842" customWidth="1"/>
    <col min="13332" max="13332" width="26.109375" style="2842" customWidth="1"/>
    <col min="13333" max="13568" width="8.88671875" style="2842"/>
    <col min="13569" max="13569" width="9.44140625" style="2842" customWidth="1"/>
    <col min="13570" max="13570" width="8.88671875" style="2842"/>
    <col min="13571" max="13573" width="12.88671875" style="2842" customWidth="1"/>
    <col min="13574" max="13574" width="47.44140625" style="2842" customWidth="1"/>
    <col min="13575" max="13575" width="13" style="2842" customWidth="1"/>
    <col min="13576" max="13577" width="8.88671875" style="2842"/>
    <col min="13578" max="13578" width="5.77734375" style="2842" customWidth="1"/>
    <col min="13579" max="13579" width="11.77734375" style="2842" customWidth="1"/>
    <col min="13580" max="13581" width="10.77734375" style="2842" customWidth="1"/>
    <col min="13582" max="13582" width="10" style="2842" customWidth="1"/>
    <col min="13583" max="13584" width="10.44140625" style="2842" bestFit="1" customWidth="1"/>
    <col min="13585" max="13585" width="10" style="2842" customWidth="1"/>
    <col min="13586" max="13586" width="10.109375" style="2842" customWidth="1"/>
    <col min="13587" max="13587" width="10" style="2842" customWidth="1"/>
    <col min="13588" max="13588" width="26.109375" style="2842" customWidth="1"/>
    <col min="13589" max="13824" width="8.88671875" style="2842"/>
    <col min="13825" max="13825" width="9.44140625" style="2842" customWidth="1"/>
    <col min="13826" max="13826" width="8.88671875" style="2842"/>
    <col min="13827" max="13829" width="12.88671875" style="2842" customWidth="1"/>
    <col min="13830" max="13830" width="47.44140625" style="2842" customWidth="1"/>
    <col min="13831" max="13831" width="13" style="2842" customWidth="1"/>
    <col min="13832" max="13833" width="8.88671875" style="2842"/>
    <col min="13834" max="13834" width="5.77734375" style="2842" customWidth="1"/>
    <col min="13835" max="13835" width="11.77734375" style="2842" customWidth="1"/>
    <col min="13836" max="13837" width="10.77734375" style="2842" customWidth="1"/>
    <col min="13838" max="13838" width="10" style="2842" customWidth="1"/>
    <col min="13839" max="13840" width="10.44140625" style="2842" bestFit="1" customWidth="1"/>
    <col min="13841" max="13841" width="10" style="2842" customWidth="1"/>
    <col min="13842" max="13842" width="10.109375" style="2842" customWidth="1"/>
    <col min="13843" max="13843" width="10" style="2842" customWidth="1"/>
    <col min="13844" max="13844" width="26.109375" style="2842" customWidth="1"/>
    <col min="13845" max="14080" width="8.88671875" style="2842"/>
    <col min="14081" max="14081" width="9.44140625" style="2842" customWidth="1"/>
    <col min="14082" max="14082" width="8.88671875" style="2842"/>
    <col min="14083" max="14085" width="12.88671875" style="2842" customWidth="1"/>
    <col min="14086" max="14086" width="47.44140625" style="2842" customWidth="1"/>
    <col min="14087" max="14087" width="13" style="2842" customWidth="1"/>
    <col min="14088" max="14089" width="8.88671875" style="2842"/>
    <col min="14090" max="14090" width="5.77734375" style="2842" customWidth="1"/>
    <col min="14091" max="14091" width="11.77734375" style="2842" customWidth="1"/>
    <col min="14092" max="14093" width="10.77734375" style="2842" customWidth="1"/>
    <col min="14094" max="14094" width="10" style="2842" customWidth="1"/>
    <col min="14095" max="14096" width="10.44140625" style="2842" bestFit="1" customWidth="1"/>
    <col min="14097" max="14097" width="10" style="2842" customWidth="1"/>
    <col min="14098" max="14098" width="10.109375" style="2842" customWidth="1"/>
    <col min="14099" max="14099" width="10" style="2842" customWidth="1"/>
    <col min="14100" max="14100" width="26.109375" style="2842" customWidth="1"/>
    <col min="14101" max="14336" width="8.88671875" style="2842"/>
    <col min="14337" max="14337" width="9.44140625" style="2842" customWidth="1"/>
    <col min="14338" max="14338" width="8.88671875" style="2842"/>
    <col min="14339" max="14341" width="12.88671875" style="2842" customWidth="1"/>
    <col min="14342" max="14342" width="47.44140625" style="2842" customWidth="1"/>
    <col min="14343" max="14343" width="13" style="2842" customWidth="1"/>
    <col min="14344" max="14345" width="8.88671875" style="2842"/>
    <col min="14346" max="14346" width="5.77734375" style="2842" customWidth="1"/>
    <col min="14347" max="14347" width="11.77734375" style="2842" customWidth="1"/>
    <col min="14348" max="14349" width="10.77734375" style="2842" customWidth="1"/>
    <col min="14350" max="14350" width="10" style="2842" customWidth="1"/>
    <col min="14351" max="14352" width="10.44140625" style="2842" bestFit="1" customWidth="1"/>
    <col min="14353" max="14353" width="10" style="2842" customWidth="1"/>
    <col min="14354" max="14354" width="10.109375" style="2842" customWidth="1"/>
    <col min="14355" max="14355" width="10" style="2842" customWidth="1"/>
    <col min="14356" max="14356" width="26.109375" style="2842" customWidth="1"/>
    <col min="14357" max="14592" width="8.88671875" style="2842"/>
    <col min="14593" max="14593" width="9.44140625" style="2842" customWidth="1"/>
    <col min="14594" max="14594" width="8.88671875" style="2842"/>
    <col min="14595" max="14597" width="12.88671875" style="2842" customWidth="1"/>
    <col min="14598" max="14598" width="47.44140625" style="2842" customWidth="1"/>
    <col min="14599" max="14599" width="13" style="2842" customWidth="1"/>
    <col min="14600" max="14601" width="8.88671875" style="2842"/>
    <col min="14602" max="14602" width="5.77734375" style="2842" customWidth="1"/>
    <col min="14603" max="14603" width="11.77734375" style="2842" customWidth="1"/>
    <col min="14604" max="14605" width="10.77734375" style="2842" customWidth="1"/>
    <col min="14606" max="14606" width="10" style="2842" customWidth="1"/>
    <col min="14607" max="14608" width="10.44140625" style="2842" bestFit="1" customWidth="1"/>
    <col min="14609" max="14609" width="10" style="2842" customWidth="1"/>
    <col min="14610" max="14610" width="10.109375" style="2842" customWidth="1"/>
    <col min="14611" max="14611" width="10" style="2842" customWidth="1"/>
    <col min="14612" max="14612" width="26.109375" style="2842" customWidth="1"/>
    <col min="14613" max="14848" width="8.88671875" style="2842"/>
    <col min="14849" max="14849" width="9.44140625" style="2842" customWidth="1"/>
    <col min="14850" max="14850" width="8.88671875" style="2842"/>
    <col min="14851" max="14853" width="12.88671875" style="2842" customWidth="1"/>
    <col min="14854" max="14854" width="47.44140625" style="2842" customWidth="1"/>
    <col min="14855" max="14855" width="13" style="2842" customWidth="1"/>
    <col min="14856" max="14857" width="8.88671875" style="2842"/>
    <col min="14858" max="14858" width="5.77734375" style="2842" customWidth="1"/>
    <col min="14859" max="14859" width="11.77734375" style="2842" customWidth="1"/>
    <col min="14860" max="14861" width="10.77734375" style="2842" customWidth="1"/>
    <col min="14862" max="14862" width="10" style="2842" customWidth="1"/>
    <col min="14863" max="14864" width="10.44140625" style="2842" bestFit="1" customWidth="1"/>
    <col min="14865" max="14865" width="10" style="2842" customWidth="1"/>
    <col min="14866" max="14866" width="10.109375" style="2842" customWidth="1"/>
    <col min="14867" max="14867" width="10" style="2842" customWidth="1"/>
    <col min="14868" max="14868" width="26.109375" style="2842" customWidth="1"/>
    <col min="14869" max="15104" width="8.88671875" style="2842"/>
    <col min="15105" max="15105" width="9.44140625" style="2842" customWidth="1"/>
    <col min="15106" max="15106" width="8.88671875" style="2842"/>
    <col min="15107" max="15109" width="12.88671875" style="2842" customWidth="1"/>
    <col min="15110" max="15110" width="47.44140625" style="2842" customWidth="1"/>
    <col min="15111" max="15111" width="13" style="2842" customWidth="1"/>
    <col min="15112" max="15113" width="8.88671875" style="2842"/>
    <col min="15114" max="15114" width="5.77734375" style="2842" customWidth="1"/>
    <col min="15115" max="15115" width="11.77734375" style="2842" customWidth="1"/>
    <col min="15116" max="15117" width="10.77734375" style="2842" customWidth="1"/>
    <col min="15118" max="15118" width="10" style="2842" customWidth="1"/>
    <col min="15119" max="15120" width="10.44140625" style="2842" bestFit="1" customWidth="1"/>
    <col min="15121" max="15121" width="10" style="2842" customWidth="1"/>
    <col min="15122" max="15122" width="10.109375" style="2842" customWidth="1"/>
    <col min="15123" max="15123" width="10" style="2842" customWidth="1"/>
    <col min="15124" max="15124" width="26.109375" style="2842" customWidth="1"/>
    <col min="15125" max="15360" width="8.88671875" style="2842"/>
    <col min="15361" max="15361" width="9.44140625" style="2842" customWidth="1"/>
    <col min="15362" max="15362" width="8.88671875" style="2842"/>
    <col min="15363" max="15365" width="12.88671875" style="2842" customWidth="1"/>
    <col min="15366" max="15366" width="47.44140625" style="2842" customWidth="1"/>
    <col min="15367" max="15367" width="13" style="2842" customWidth="1"/>
    <col min="15368" max="15369" width="8.88671875" style="2842"/>
    <col min="15370" max="15370" width="5.77734375" style="2842" customWidth="1"/>
    <col min="15371" max="15371" width="11.77734375" style="2842" customWidth="1"/>
    <col min="15372" max="15373" width="10.77734375" style="2842" customWidth="1"/>
    <col min="15374" max="15374" width="10" style="2842" customWidth="1"/>
    <col min="15375" max="15376" width="10.44140625" style="2842" bestFit="1" customWidth="1"/>
    <col min="15377" max="15377" width="10" style="2842" customWidth="1"/>
    <col min="15378" max="15378" width="10.109375" style="2842" customWidth="1"/>
    <col min="15379" max="15379" width="10" style="2842" customWidth="1"/>
    <col min="15380" max="15380" width="26.109375" style="2842" customWidth="1"/>
    <col min="15381" max="15616" width="8.88671875" style="2842"/>
    <col min="15617" max="15617" width="9.44140625" style="2842" customWidth="1"/>
    <col min="15618" max="15618" width="8.88671875" style="2842"/>
    <col min="15619" max="15621" width="12.88671875" style="2842" customWidth="1"/>
    <col min="15622" max="15622" width="47.44140625" style="2842" customWidth="1"/>
    <col min="15623" max="15623" width="13" style="2842" customWidth="1"/>
    <col min="15624" max="15625" width="8.88671875" style="2842"/>
    <col min="15626" max="15626" width="5.77734375" style="2842" customWidth="1"/>
    <col min="15627" max="15627" width="11.77734375" style="2842" customWidth="1"/>
    <col min="15628" max="15629" width="10.77734375" style="2842" customWidth="1"/>
    <col min="15630" max="15630" width="10" style="2842" customWidth="1"/>
    <col min="15631" max="15632" width="10.44140625" style="2842" bestFit="1" customWidth="1"/>
    <col min="15633" max="15633" width="10" style="2842" customWidth="1"/>
    <col min="15634" max="15634" width="10.109375" style="2842" customWidth="1"/>
    <col min="15635" max="15635" width="10" style="2842" customWidth="1"/>
    <col min="15636" max="15636" width="26.109375" style="2842" customWidth="1"/>
    <col min="15637" max="15872" width="8.88671875" style="2842"/>
    <col min="15873" max="15873" width="9.44140625" style="2842" customWidth="1"/>
    <col min="15874" max="15874" width="8.88671875" style="2842"/>
    <col min="15875" max="15877" width="12.88671875" style="2842" customWidth="1"/>
    <col min="15878" max="15878" width="47.44140625" style="2842" customWidth="1"/>
    <col min="15879" max="15879" width="13" style="2842" customWidth="1"/>
    <col min="15880" max="15881" width="8.88671875" style="2842"/>
    <col min="15882" max="15882" width="5.77734375" style="2842" customWidth="1"/>
    <col min="15883" max="15883" width="11.77734375" style="2842" customWidth="1"/>
    <col min="15884" max="15885" width="10.77734375" style="2842" customWidth="1"/>
    <col min="15886" max="15886" width="10" style="2842" customWidth="1"/>
    <col min="15887" max="15888" width="10.44140625" style="2842" bestFit="1" customWidth="1"/>
    <col min="15889" max="15889" width="10" style="2842" customWidth="1"/>
    <col min="15890" max="15890" width="10.109375" style="2842" customWidth="1"/>
    <col min="15891" max="15891" width="10" style="2842" customWidth="1"/>
    <col min="15892" max="15892" width="26.109375" style="2842" customWidth="1"/>
    <col min="15893" max="16128" width="8.88671875" style="2842"/>
    <col min="16129" max="16129" width="9.44140625" style="2842" customWidth="1"/>
    <col min="16130" max="16130" width="8.88671875" style="2842"/>
    <col min="16131" max="16133" width="12.88671875" style="2842" customWidth="1"/>
    <col min="16134" max="16134" width="47.44140625" style="2842" customWidth="1"/>
    <col min="16135" max="16135" width="13" style="2842" customWidth="1"/>
    <col min="16136" max="16137" width="8.88671875" style="2842"/>
    <col min="16138" max="16138" width="5.77734375" style="2842" customWidth="1"/>
    <col min="16139" max="16139" width="11.77734375" style="2842" customWidth="1"/>
    <col min="16140" max="16141" width="10.77734375" style="2842" customWidth="1"/>
    <col min="16142" max="16142" width="10" style="2842" customWidth="1"/>
    <col min="16143" max="16144" width="10.44140625" style="2842" bestFit="1" customWidth="1"/>
    <col min="16145" max="16145" width="10" style="2842" customWidth="1"/>
    <col min="16146" max="16146" width="10.109375" style="2842" customWidth="1"/>
    <col min="16147" max="16147" width="10" style="2842" customWidth="1"/>
    <col min="16148" max="16148" width="26.109375" style="2842" customWidth="1"/>
    <col min="16149" max="16384" width="8.88671875" style="2842"/>
  </cols>
  <sheetData>
    <row r="1" spans="1:22" ht="21" customHeight="1">
      <c r="A1" s="2831" t="s">
        <v>2436</v>
      </c>
      <c r="B1" s="2832"/>
      <c r="C1" s="2844"/>
      <c r="D1" s="2844"/>
      <c r="E1" s="2833"/>
      <c r="F1" s="2834"/>
      <c r="G1" s="2835"/>
      <c r="J1" s="2838" t="s">
        <v>2315</v>
      </c>
      <c r="K1" s="2839"/>
      <c r="L1" s="2839"/>
      <c r="M1" s="2839"/>
      <c r="N1" s="2839"/>
      <c r="O1" s="2839"/>
      <c r="P1" s="2839"/>
      <c r="Q1" s="2839"/>
      <c r="R1" s="2840"/>
      <c r="S1" s="2841"/>
      <c r="T1" s="2841"/>
      <c r="U1" s="2841"/>
    </row>
    <row r="2" spans="1:22" s="2853" customFormat="1" ht="13.2" customHeight="1">
      <c r="A2" s="1385" t="s">
        <v>2316</v>
      </c>
      <c r="B2" s="2843" t="e">
        <f>IF(D2="——",C40,C40+E2)</f>
        <v>#DIV/0!</v>
      </c>
      <c r="C2" s="2844" t="s">
        <v>2317</v>
      </c>
      <c r="D2" s="3443" t="s">
        <v>3360</v>
      </c>
      <c r="E2" s="3444"/>
      <c r="F2" s="2846"/>
      <c r="G2" s="2847"/>
      <c r="H2" s="2848"/>
      <c r="I2" s="2849"/>
      <c r="J2" s="3678" t="s">
        <v>2318</v>
      </c>
      <c r="K2" s="3679"/>
      <c r="L2" s="2850" t="s">
        <v>2319</v>
      </c>
      <c r="M2" s="2850" t="s">
        <v>2320</v>
      </c>
      <c r="N2" s="2850" t="s">
        <v>2321</v>
      </c>
      <c r="O2" s="2850" t="s">
        <v>2322</v>
      </c>
      <c r="P2" s="2850" t="s">
        <v>2323</v>
      </c>
      <c r="Q2" s="2851" t="s">
        <v>2324</v>
      </c>
      <c r="R2" s="2852" t="s">
        <v>2325</v>
      </c>
      <c r="S2" s="2841"/>
      <c r="T2" s="2841"/>
      <c r="U2" s="2841"/>
      <c r="V2" s="2849"/>
    </row>
    <row r="3" spans="1:22" s="2853" customFormat="1" ht="13.2" customHeight="1">
      <c r="A3" s="2854" t="s">
        <v>2326</v>
      </c>
      <c r="B3" s="2855" t="e">
        <f>ROUND(B2*10000/B4,0)</f>
        <v>#DIV/0!</v>
      </c>
      <c r="C3" s="2844" t="s">
        <v>2327</v>
      </c>
      <c r="D3" s="2844"/>
      <c r="E3" s="2845"/>
      <c r="F3" s="2846"/>
      <c r="G3" s="2847"/>
      <c r="H3" s="2848"/>
      <c r="I3" s="2849"/>
      <c r="J3" s="3680" t="s">
        <v>2328</v>
      </c>
      <c r="K3" s="3681"/>
      <c r="L3" s="2856"/>
      <c r="M3" s="2856"/>
      <c r="N3" s="2856"/>
      <c r="O3" s="2856"/>
      <c r="P3" s="2856"/>
      <c r="Q3" s="2857"/>
      <c r="R3" s="2858">
        <f>SUM(L3:Q3)</f>
        <v>0</v>
      </c>
      <c r="S3" s="2841"/>
      <c r="T3" s="2841"/>
      <c r="U3" s="2841"/>
      <c r="V3" s="2849"/>
    </row>
    <row r="4" spans="1:22" s="2853" customFormat="1" ht="13.2" customHeight="1">
      <c r="A4" s="2859" t="s">
        <v>2329</v>
      </c>
      <c r="B4" s="2860"/>
      <c r="C4" s="2844"/>
      <c r="D4" s="2844"/>
      <c r="E4" s="2845"/>
      <c r="F4" s="2846"/>
      <c r="G4" s="2847"/>
      <c r="H4" s="2848"/>
      <c r="I4" s="2849"/>
      <c r="J4" s="3680" t="s">
        <v>2330</v>
      </c>
      <c r="K4" s="3681"/>
      <c r="L4" s="2861"/>
      <c r="M4" s="2861"/>
      <c r="N4" s="2861"/>
      <c r="O4" s="2861"/>
      <c r="P4" s="2861"/>
      <c r="Q4" s="2862"/>
      <c r="R4" s="2863">
        <f>SUM(L4:Q4)</f>
        <v>0</v>
      </c>
      <c r="S4" s="2841"/>
      <c r="T4" s="2841"/>
      <c r="U4" s="2841"/>
      <c r="V4" s="2849"/>
    </row>
    <row r="5" spans="1:22" s="2853" customFormat="1" ht="13.2" customHeight="1" thickBot="1">
      <c r="A5" s="2864" t="s">
        <v>2331</v>
      </c>
      <c r="B5" s="2865"/>
      <c r="C5" s="2844"/>
      <c r="D5" s="2866"/>
      <c r="E5" s="2846"/>
      <c r="F5" s="2846"/>
      <c r="G5" s="2847"/>
      <c r="H5" s="2848"/>
      <c r="I5" s="2849"/>
      <c r="J5" s="2867" t="s">
        <v>2332</v>
      </c>
      <c r="K5" s="2868"/>
      <c r="L5" s="2868"/>
      <c r="M5" s="2869"/>
      <c r="N5" s="2869"/>
      <c r="O5" s="2869"/>
      <c r="P5" s="2869"/>
      <c r="Q5" s="2869"/>
      <c r="R5" s="2852">
        <f>SUM(R14,R19,R24,R25,R27,R28)</f>
        <v>0</v>
      </c>
      <c r="S5" s="2841"/>
      <c r="T5" s="2841" t="s">
        <v>2333</v>
      </c>
      <c r="U5" s="2841" t="e">
        <f>ROUND(R5*10000/365/R3,1)</f>
        <v>#DIV/0!</v>
      </c>
      <c r="V5" s="2849"/>
    </row>
    <row r="6" spans="1:22" s="2853" customFormat="1" ht="13.2" customHeight="1" thickBot="1">
      <c r="A6" s="3686" t="s">
        <v>2334</v>
      </c>
      <c r="B6" s="3687"/>
      <c r="C6" s="3688"/>
      <c r="D6" s="2870"/>
      <c r="E6" s="2871"/>
      <c r="F6" s="2872"/>
      <c r="G6" s="2873"/>
      <c r="H6" s="2848"/>
      <c r="I6" s="2849"/>
      <c r="J6" s="3672">
        <v>1</v>
      </c>
      <c r="K6" s="3673" t="s">
        <v>2335</v>
      </c>
      <c r="L6" s="2874" t="s">
        <v>2336</v>
      </c>
      <c r="M6" s="2875" t="s">
        <v>2337</v>
      </c>
      <c r="N6" s="2875" t="s">
        <v>2338</v>
      </c>
      <c r="O6" s="2875" t="s">
        <v>2339</v>
      </c>
      <c r="P6" s="2875" t="s">
        <v>2340</v>
      </c>
      <c r="Q6" s="2875" t="s">
        <v>2341</v>
      </c>
      <c r="R6" s="2858" t="s">
        <v>2342</v>
      </c>
      <c r="S6" s="2841"/>
      <c r="T6" s="2841" t="s">
        <v>2343</v>
      </c>
      <c r="U6" s="2841"/>
      <c r="V6" s="2849"/>
    </row>
    <row r="7" spans="1:22" s="2853" customFormat="1" ht="13.2" customHeight="1">
      <c r="A7" s="2876" t="s">
        <v>2344</v>
      </c>
      <c r="B7" s="2877"/>
      <c r="C7" s="2878"/>
      <c r="D7" s="2879">
        <f>SUM(D9,D10,D11,D17,0)</f>
        <v>0</v>
      </c>
      <c r="E7" s="2880" t="e">
        <f>E9+E10+E11+E17</f>
        <v>#DIV/0!</v>
      </c>
      <c r="F7" s="2881"/>
      <c r="G7" s="2882"/>
      <c r="H7" s="2848"/>
      <c r="I7" s="2849"/>
      <c r="J7" s="3672"/>
      <c r="K7" s="3674"/>
      <c r="L7" s="2883" t="s">
        <v>2345</v>
      </c>
      <c r="M7" s="2884"/>
      <c r="N7" s="2860"/>
      <c r="O7" s="2885"/>
      <c r="P7" s="2885"/>
      <c r="Q7" s="2886">
        <v>365</v>
      </c>
      <c r="R7" s="2887">
        <f>ROUND(M7*N7*O7*P7*Q7/10000,0)</f>
        <v>0</v>
      </c>
      <c r="S7" s="2841"/>
      <c r="T7" s="2841" t="s">
        <v>2346</v>
      </c>
      <c r="U7" s="2841"/>
      <c r="V7" s="2849"/>
    </row>
    <row r="8" spans="1:22" s="2853" customFormat="1" ht="13.2" customHeight="1">
      <c r="A8" s="2888" t="s">
        <v>2347</v>
      </c>
      <c r="B8" s="3689" t="s">
        <v>2348</v>
      </c>
      <c r="C8" s="3690"/>
      <c r="D8" s="2889" t="s">
        <v>2349</v>
      </c>
      <c r="E8" s="2890" t="s">
        <v>2350</v>
      </c>
      <c r="F8" s="2891" t="s">
        <v>2351</v>
      </c>
      <c r="G8" s="2892"/>
      <c r="H8" s="2848"/>
      <c r="I8" s="2849"/>
      <c r="J8" s="3672"/>
      <c r="K8" s="3674"/>
      <c r="L8" s="2883" t="s">
        <v>2352</v>
      </c>
      <c r="M8" s="2884"/>
      <c r="N8" s="2860"/>
      <c r="O8" s="2885"/>
      <c r="P8" s="2885"/>
      <c r="Q8" s="2886">
        <v>365</v>
      </c>
      <c r="R8" s="2887">
        <f t="shared" ref="R8:R13" si="0">ROUND(M8*N8*O8*P8*Q8/10000,0)</f>
        <v>0</v>
      </c>
      <c r="S8" s="2841"/>
      <c r="T8" s="2841" t="s">
        <v>2353</v>
      </c>
      <c r="U8" s="2841"/>
      <c r="V8" s="2849"/>
    </row>
    <row r="9" spans="1:22" s="2853" customFormat="1" ht="13.2" customHeight="1">
      <c r="A9" s="2888">
        <v>1</v>
      </c>
      <c r="B9" s="3689" t="s">
        <v>2354</v>
      </c>
      <c r="C9" s="3690"/>
      <c r="D9" s="2889">
        <f>ROUND(D6*E9,0)</f>
        <v>0</v>
      </c>
      <c r="E9" s="2893"/>
      <c r="F9" s="2894" t="s">
        <v>2355</v>
      </c>
      <c r="G9" s="2873"/>
      <c r="H9" s="2848"/>
      <c r="I9" s="2849"/>
      <c r="J9" s="3672"/>
      <c r="K9" s="3674"/>
      <c r="L9" s="2883" t="s">
        <v>2356</v>
      </c>
      <c r="M9" s="2884"/>
      <c r="N9" s="2860"/>
      <c r="O9" s="2885"/>
      <c r="P9" s="2885"/>
      <c r="Q9" s="2886">
        <v>365</v>
      </c>
      <c r="R9" s="2887">
        <f t="shared" si="0"/>
        <v>0</v>
      </c>
      <c r="S9" s="2841"/>
      <c r="T9" s="2841"/>
      <c r="U9" s="2841"/>
      <c r="V9" s="2849"/>
    </row>
    <row r="10" spans="1:22" s="2853" customFormat="1" ht="13.2" customHeight="1">
      <c r="A10" s="2888">
        <v>2</v>
      </c>
      <c r="B10" s="3689" t="s">
        <v>2357</v>
      </c>
      <c r="C10" s="3690"/>
      <c r="D10" s="2889">
        <f>ROUND(D6*E10,0)</f>
        <v>0</v>
      </c>
      <c r="E10" s="2893"/>
      <c r="F10" s="2894" t="s">
        <v>2358</v>
      </c>
      <c r="G10" s="2873"/>
      <c r="H10" s="2848"/>
      <c r="I10" s="2849"/>
      <c r="J10" s="3672"/>
      <c r="K10" s="3674"/>
      <c r="L10" s="2883" t="s">
        <v>2359</v>
      </c>
      <c r="M10" s="2884"/>
      <c r="N10" s="2860"/>
      <c r="O10" s="2885"/>
      <c r="P10" s="2885"/>
      <c r="Q10" s="2886">
        <v>365</v>
      </c>
      <c r="R10" s="2887">
        <f t="shared" si="0"/>
        <v>0</v>
      </c>
      <c r="S10" s="2841"/>
      <c r="T10" s="2841"/>
      <c r="U10" s="2841"/>
      <c r="V10" s="2849"/>
    </row>
    <row r="11" spans="1:22" s="2853" customFormat="1" ht="13.2" customHeight="1">
      <c r="A11" s="2888">
        <v>3</v>
      </c>
      <c r="B11" s="3689" t="s">
        <v>2360</v>
      </c>
      <c r="C11" s="3690"/>
      <c r="D11" s="2889">
        <f>D12+D14+D15+D16</f>
        <v>0</v>
      </c>
      <c r="E11" s="2895" t="e">
        <f>D11/D6</f>
        <v>#DIV/0!</v>
      </c>
      <c r="F11" s="2891"/>
      <c r="G11" s="2892"/>
      <c r="H11" s="2848"/>
      <c r="I11" s="2849"/>
      <c r="J11" s="3672"/>
      <c r="K11" s="3674"/>
      <c r="L11" s="2883" t="s">
        <v>2361</v>
      </c>
      <c r="M11" s="2884"/>
      <c r="N11" s="2860"/>
      <c r="O11" s="2885"/>
      <c r="P11" s="2885"/>
      <c r="Q11" s="2886">
        <v>365</v>
      </c>
      <c r="R11" s="2887">
        <f t="shared" si="0"/>
        <v>0</v>
      </c>
      <c r="S11" s="2841"/>
      <c r="T11" s="2841"/>
      <c r="U11" s="2841"/>
      <c r="V11" s="2849"/>
    </row>
    <row r="12" spans="1:22" s="2853" customFormat="1" ht="13.2" customHeight="1">
      <c r="A12" s="2896" t="s">
        <v>2362</v>
      </c>
      <c r="B12" s="3682" t="s">
        <v>2363</v>
      </c>
      <c r="C12" s="3683"/>
      <c r="D12" s="2897">
        <f>ROUND(D13*1.2%*(1-30%),0)</f>
        <v>0</v>
      </c>
      <c r="E12" s="2898">
        <v>1.2E-2</v>
      </c>
      <c r="F12" s="2891" t="s">
        <v>2364</v>
      </c>
      <c r="G12" s="2892"/>
      <c r="H12" s="2848"/>
      <c r="I12" s="2849"/>
      <c r="J12" s="3672"/>
      <c r="K12" s="3674"/>
      <c r="L12" s="2883" t="s">
        <v>2365</v>
      </c>
      <c r="M12" s="2884"/>
      <c r="N12" s="2860"/>
      <c r="O12" s="2885"/>
      <c r="P12" s="2885"/>
      <c r="Q12" s="2886">
        <v>365</v>
      </c>
      <c r="R12" s="2887">
        <f t="shared" si="0"/>
        <v>0</v>
      </c>
      <c r="S12" s="2841"/>
      <c r="T12" s="2841"/>
      <c r="U12" s="2841"/>
      <c r="V12" s="2849"/>
    </row>
    <row r="13" spans="1:22" s="2853" customFormat="1" ht="13.2" customHeight="1">
      <c r="A13" s="2896"/>
      <c r="B13" s="2899"/>
      <c r="C13" s="2900" t="s">
        <v>2366</v>
      </c>
      <c r="D13" s="2901"/>
      <c r="E13" s="2902"/>
      <c r="F13" s="2891"/>
      <c r="G13" s="2892"/>
      <c r="H13" s="2848"/>
      <c r="I13" s="2849"/>
      <c r="J13" s="3672"/>
      <c r="K13" s="3674"/>
      <c r="L13" s="2883" t="s">
        <v>2367</v>
      </c>
      <c r="M13" s="2884"/>
      <c r="N13" s="2860"/>
      <c r="O13" s="2885"/>
      <c r="P13" s="2885"/>
      <c r="Q13" s="2886">
        <v>365</v>
      </c>
      <c r="R13" s="2887">
        <f t="shared" si="0"/>
        <v>0</v>
      </c>
      <c r="S13" s="2841"/>
      <c r="T13" s="2841"/>
      <c r="U13" s="2841"/>
      <c r="V13" s="2849"/>
    </row>
    <row r="14" spans="1:22" s="2853" customFormat="1" ht="13.2" customHeight="1">
      <c r="A14" s="2896" t="s">
        <v>2368</v>
      </c>
      <c r="B14" s="3682" t="s">
        <v>2369</v>
      </c>
      <c r="C14" s="3683"/>
      <c r="D14" s="2897">
        <f>ROUND(E14*B5/10000,0)</f>
        <v>0</v>
      </c>
      <c r="E14" s="2886"/>
      <c r="F14" s="2891" t="s">
        <v>2370</v>
      </c>
      <c r="G14" s="2892"/>
      <c r="H14" s="2848"/>
      <c r="I14" s="2849"/>
      <c r="J14" s="3672"/>
      <c r="K14" s="3675"/>
      <c r="L14" s="2903" t="s">
        <v>2371</v>
      </c>
      <c r="M14" s="2904">
        <f>SUM(M7:M13)</f>
        <v>0</v>
      </c>
      <c r="N14" s="2904" t="e">
        <f>ROUND((N7*M7+N8*M8+N9*M9+N10*M10+N11*M11+N12*M12+N13*M13)/M14,0)</f>
        <v>#DIV/0!</v>
      </c>
      <c r="O14" s="2905"/>
      <c r="P14" s="2905"/>
      <c r="Q14" s="2906"/>
      <c r="R14" s="2852">
        <f>SUM(R7:R13)</f>
        <v>0</v>
      </c>
      <c r="S14" s="2841"/>
      <c r="T14" s="2841"/>
      <c r="U14" s="2841"/>
      <c r="V14" s="2849"/>
    </row>
    <row r="15" spans="1:22" s="2853" customFormat="1" ht="13.2" customHeight="1">
      <c r="A15" s="2896" t="s">
        <v>2372</v>
      </c>
      <c r="B15" s="3682" t="s">
        <v>2373</v>
      </c>
      <c r="C15" s="3683"/>
      <c r="D15" s="2897">
        <f>ROUND(D6*E15,0)</f>
        <v>0</v>
      </c>
      <c r="E15" s="2898">
        <v>5.5E-2</v>
      </c>
      <c r="F15" s="2891" t="s">
        <v>2374</v>
      </c>
      <c r="G15" s="2873"/>
      <c r="H15" s="2848"/>
      <c r="I15" s="2849"/>
      <c r="J15" s="3672">
        <v>2</v>
      </c>
      <c r="K15" s="3673" t="s">
        <v>2375</v>
      </c>
      <c r="L15" s="2883" t="s">
        <v>2376</v>
      </c>
      <c r="M15" s="2884" t="s">
        <v>2377</v>
      </c>
      <c r="N15" s="2884" t="s">
        <v>2378</v>
      </c>
      <c r="O15" s="2885" t="s">
        <v>2379</v>
      </c>
      <c r="P15" s="2885" t="s">
        <v>2341</v>
      </c>
      <c r="Q15" s="2860" t="s">
        <v>2380</v>
      </c>
      <c r="R15" s="2907" t="s">
        <v>2342</v>
      </c>
      <c r="S15" s="2841"/>
      <c r="T15" s="2841"/>
      <c r="U15" s="2841"/>
      <c r="V15" s="2849"/>
    </row>
    <row r="16" spans="1:22" s="2853" customFormat="1" ht="13.2" customHeight="1">
      <c r="A16" s="2896" t="s">
        <v>2381</v>
      </c>
      <c r="B16" s="3682" t="s">
        <v>2382</v>
      </c>
      <c r="C16" s="3683"/>
      <c r="D16" s="2908">
        <f>D6*E16</f>
        <v>0</v>
      </c>
      <c r="E16" s="2909"/>
      <c r="F16" s="2894" t="s">
        <v>2383</v>
      </c>
      <c r="G16" s="2873"/>
      <c r="H16" s="2848"/>
      <c r="I16" s="2849"/>
      <c r="J16" s="3672"/>
      <c r="K16" s="3674"/>
      <c r="L16" s="2883" t="s">
        <v>2384</v>
      </c>
      <c r="M16" s="2884"/>
      <c r="N16" s="2884"/>
      <c r="O16" s="2885"/>
      <c r="P16" s="2886">
        <v>365</v>
      </c>
      <c r="Q16" s="2860"/>
      <c r="R16" s="2907">
        <f>ROUND(M16*N16*O16*P16/10000,0)</f>
        <v>0</v>
      </c>
      <c r="S16" s="2841"/>
      <c r="T16" s="2841"/>
      <c r="U16" s="2841"/>
      <c r="V16" s="2849"/>
    </row>
    <row r="17" spans="1:22" s="2853" customFormat="1" ht="13.2" customHeight="1" thickBot="1">
      <c r="A17" s="2910">
        <v>4</v>
      </c>
      <c r="B17" s="3684" t="s">
        <v>2385</v>
      </c>
      <c r="C17" s="3685"/>
      <c r="D17" s="2911">
        <f>ROUND(D6*E17,0)</f>
        <v>0</v>
      </c>
      <c r="E17" s="2912"/>
      <c r="F17" s="2913" t="s">
        <v>2386</v>
      </c>
      <c r="G17" s="2873"/>
      <c r="H17" s="2848"/>
      <c r="I17" s="2849"/>
      <c r="J17" s="3672"/>
      <c r="K17" s="3674"/>
      <c r="L17" s="2883" t="s">
        <v>2387</v>
      </c>
      <c r="M17" s="2884"/>
      <c r="N17" s="2884"/>
      <c r="O17" s="2885"/>
      <c r="P17" s="2886">
        <v>365</v>
      </c>
      <c r="Q17" s="2860"/>
      <c r="R17" s="2907">
        <f>ROUND(M17*N17*O17*P17/10000,0)</f>
        <v>0</v>
      </c>
      <c r="S17" s="2841"/>
      <c r="T17" s="2841"/>
      <c r="U17" s="2841"/>
      <c r="V17" s="2849"/>
    </row>
    <row r="18" spans="1:22" s="2853" customFormat="1" ht="13.2" customHeight="1" thickBot="1">
      <c r="A18" s="2876" t="s">
        <v>2388</v>
      </c>
      <c r="B18" s="2877"/>
      <c r="C18" s="2877"/>
      <c r="D18" s="2914">
        <f>ROUND(D6*E18,0)</f>
        <v>0</v>
      </c>
      <c r="E18" s="2915"/>
      <c r="F18" s="2916" t="s">
        <v>2389</v>
      </c>
      <c r="G18" s="2873"/>
      <c r="H18" s="2848"/>
      <c r="I18" s="2849"/>
      <c r="J18" s="3672"/>
      <c r="K18" s="3674"/>
      <c r="L18" s="2883" t="s">
        <v>2390</v>
      </c>
      <c r="M18" s="2884"/>
      <c r="N18" s="2884"/>
      <c r="O18" s="2885"/>
      <c r="P18" s="2886">
        <v>365</v>
      </c>
      <c r="Q18" s="2860"/>
      <c r="R18" s="2907">
        <f>ROUND(M18*N18*O18*P18/10000,0)</f>
        <v>0</v>
      </c>
      <c r="S18" s="2841"/>
      <c r="T18" s="2841"/>
      <c r="U18" s="2841"/>
      <c r="V18" s="2849"/>
    </row>
    <row r="19" spans="1:22" s="2853" customFormat="1" ht="13.2" customHeight="1" thickBot="1">
      <c r="A19" s="2917" t="s">
        <v>2391</v>
      </c>
      <c r="B19" s="2871"/>
      <c r="C19" s="2871"/>
      <c r="D19" s="2871"/>
      <c r="E19" s="2871"/>
      <c r="F19" s="2872"/>
      <c r="G19" s="2892"/>
      <c r="H19" s="2848"/>
      <c r="I19" s="2849"/>
      <c r="J19" s="3672"/>
      <c r="K19" s="3675"/>
      <c r="L19" s="2903" t="s">
        <v>2371</v>
      </c>
      <c r="M19" s="2904"/>
      <c r="N19" s="2904">
        <f>SUM(N16:N18)</f>
        <v>0</v>
      </c>
      <c r="O19" s="2905"/>
      <c r="P19" s="2918" t="s">
        <v>2435</v>
      </c>
      <c r="Q19" s="2885">
        <v>0</v>
      </c>
      <c r="R19" s="2919">
        <f>ROUND(IF(P19="按比例",R14*Q19,SUM(R16:R18)),0)</f>
        <v>0</v>
      </c>
      <c r="S19" s="2841"/>
      <c r="T19" s="2841"/>
      <c r="U19" s="2841"/>
      <c r="V19" s="2849"/>
    </row>
    <row r="20" spans="1:22" s="2853" customFormat="1" ht="13.2" customHeight="1">
      <c r="A20" s="2876"/>
      <c r="B20" s="2877"/>
      <c r="C20" s="2877"/>
      <c r="D20" s="2877"/>
      <c r="E20" s="2877"/>
      <c r="F20" s="2920"/>
      <c r="G20" s="2892"/>
      <c r="H20" s="2848"/>
      <c r="I20" s="2849"/>
      <c r="J20" s="3672">
        <v>3</v>
      </c>
      <c r="K20" s="3673" t="s">
        <v>2392</v>
      </c>
      <c r="L20" s="2883" t="s">
        <v>2393</v>
      </c>
      <c r="M20" s="2884" t="s">
        <v>2394</v>
      </c>
      <c r="N20" s="2921" t="s">
        <v>2395</v>
      </c>
      <c r="O20" s="2885" t="s">
        <v>2396</v>
      </c>
      <c r="P20" s="2886" t="s">
        <v>2397</v>
      </c>
      <c r="Q20" s="2860" t="s">
        <v>2398</v>
      </c>
      <c r="R20" s="2907" t="s">
        <v>2399</v>
      </c>
      <c r="S20" s="2922"/>
      <c r="T20" s="2922"/>
      <c r="U20" s="2922"/>
      <c r="V20" s="2849"/>
    </row>
    <row r="21" spans="1:22" s="2853" customFormat="1" ht="13.2" customHeight="1">
      <c r="A21" s="2876"/>
      <c r="B21" s="2877"/>
      <c r="C21" s="2923" t="s">
        <v>2400</v>
      </c>
      <c r="D21" s="2924" t="s">
        <v>2401</v>
      </c>
      <c r="E21" s="2925" t="s">
        <v>2402</v>
      </c>
      <c r="F21" s="2920"/>
      <c r="G21" s="2892"/>
      <c r="H21" s="2848"/>
      <c r="I21" s="2849"/>
      <c r="J21" s="3672"/>
      <c r="K21" s="3674"/>
      <c r="L21" s="2883" t="s">
        <v>2403</v>
      </c>
      <c r="M21" s="2884"/>
      <c r="N21" s="2884"/>
      <c r="O21" s="2885"/>
      <c r="P21" s="2886">
        <v>365</v>
      </c>
      <c r="Q21" s="2860"/>
      <c r="R21" s="2926">
        <f>ROUND(M21*N21*O21*P21/10000,0)</f>
        <v>0</v>
      </c>
      <c r="S21" s="2922"/>
      <c r="T21" s="2922"/>
      <c r="U21" s="2922"/>
      <c r="V21" s="2849"/>
    </row>
    <row r="22" spans="1:22" s="2853" customFormat="1" ht="13.2" customHeight="1">
      <c r="A22" s="2876"/>
      <c r="B22" s="2877"/>
      <c r="C22" s="2927" t="s">
        <v>2404</v>
      </c>
      <c r="D22" s="2928" t="s">
        <v>2405</v>
      </c>
      <c r="E22" s="2929" t="s">
        <v>2406</v>
      </c>
      <c r="F22" s="2920"/>
      <c r="G22" s="2930"/>
      <c r="H22" s="2848"/>
      <c r="I22" s="2849"/>
      <c r="J22" s="3672"/>
      <c r="K22" s="3674"/>
      <c r="L22" s="2883" t="s">
        <v>2407</v>
      </c>
      <c r="M22" s="2884"/>
      <c r="N22" s="2884"/>
      <c r="O22" s="2885"/>
      <c r="P22" s="2886">
        <v>365</v>
      </c>
      <c r="Q22" s="2860"/>
      <c r="R22" s="2926">
        <f>ROUND(M22*N22*O22*P22/10000,0)</f>
        <v>0</v>
      </c>
      <c r="S22" s="2922"/>
      <c r="T22" s="2922"/>
      <c r="U22" s="2922"/>
      <c r="V22" s="2849"/>
    </row>
    <row r="23" spans="1:22" s="2853" customFormat="1" ht="13.2" customHeight="1">
      <c r="A23" s="2931">
        <v>1</v>
      </c>
      <c r="B23" s="2932" t="s">
        <v>2408</v>
      </c>
      <c r="C23" s="2933">
        <f>D6</f>
        <v>0</v>
      </c>
      <c r="D23" s="2934">
        <f>C23*(1+D24)</f>
        <v>0</v>
      </c>
      <c r="E23" s="2935">
        <f>D23*(1+E24)</f>
        <v>0</v>
      </c>
      <c r="F23" s="2936"/>
      <c r="G23" s="2937"/>
      <c r="H23" s="2848"/>
      <c r="I23" s="2849"/>
      <c r="J23" s="3672"/>
      <c r="K23" s="3674"/>
      <c r="L23" s="2883" t="s">
        <v>2409</v>
      </c>
      <c r="M23" s="2884"/>
      <c r="N23" s="2884"/>
      <c r="O23" s="2885"/>
      <c r="P23" s="2886">
        <v>365</v>
      </c>
      <c r="Q23" s="2860"/>
      <c r="R23" s="2926">
        <f>ROUND(M23*N23*O23*P23/10000,0)</f>
        <v>0</v>
      </c>
      <c r="S23" s="2841"/>
      <c r="T23" s="2841"/>
      <c r="U23" s="2841"/>
      <c r="V23" s="2849"/>
    </row>
    <row r="24" spans="1:22" s="2853" customFormat="1" ht="13.2" customHeight="1">
      <c r="A24" s="2938"/>
      <c r="B24" s="2939" t="s">
        <v>2410</v>
      </c>
      <c r="C24" s="2940"/>
      <c r="D24" s="2941"/>
      <c r="E24" s="2942"/>
      <c r="F24" s="2943"/>
      <c r="G24" s="2937"/>
      <c r="H24" s="2848"/>
      <c r="I24" s="2849"/>
      <c r="J24" s="3672"/>
      <c r="K24" s="3675"/>
      <c r="L24" s="2903" t="s">
        <v>2371</v>
      </c>
      <c r="M24" s="2904">
        <f>SUM(M21:M23)</f>
        <v>0</v>
      </c>
      <c r="N24" s="2904"/>
      <c r="O24" s="2905"/>
      <c r="P24" s="2918" t="s">
        <v>2435</v>
      </c>
      <c r="Q24" s="2885">
        <v>0</v>
      </c>
      <c r="R24" s="2919">
        <f>ROUND(IF(P24="按比例",R14*Q24,SUM(R21:R23)),0)</f>
        <v>0</v>
      </c>
      <c r="S24" s="2841"/>
      <c r="T24" s="2841"/>
      <c r="U24" s="2841"/>
      <c r="V24" s="2849"/>
    </row>
    <row r="25" spans="1:22" s="2950" customFormat="1" ht="13.2" customHeight="1">
      <c r="A25" s="2938"/>
      <c r="B25" s="2939"/>
      <c r="C25" s="2940"/>
      <c r="D25" s="2941"/>
      <c r="E25" s="2942"/>
      <c r="F25" s="2943"/>
      <c r="G25" s="2930"/>
      <c r="H25" s="2848"/>
      <c r="I25" s="2849"/>
      <c r="J25" s="2944">
        <v>4</v>
      </c>
      <c r="K25" s="2945" t="s">
        <v>2411</v>
      </c>
      <c r="L25" s="2946"/>
      <c r="M25" s="2946"/>
      <c r="N25" s="2946"/>
      <c r="O25" s="2946"/>
      <c r="P25" s="2947"/>
      <c r="Q25" s="2948">
        <v>0</v>
      </c>
      <c r="R25" s="2919">
        <f>ROUND(R14*Q25,0)</f>
        <v>0</v>
      </c>
      <c r="S25" s="2841"/>
      <c r="T25" s="2841"/>
      <c r="U25" s="2841"/>
      <c r="V25" s="2949"/>
    </row>
    <row r="26" spans="1:22" s="2950" customFormat="1" ht="13.2" customHeight="1">
      <c r="A26" s="2931">
        <v>2</v>
      </c>
      <c r="B26" s="2932" t="s">
        <v>2412</v>
      </c>
      <c r="C26" s="2933">
        <f>D7</f>
        <v>0</v>
      </c>
      <c r="D26" s="2934">
        <f>D23*D27</f>
        <v>0</v>
      </c>
      <c r="E26" s="2935">
        <f>E23*E27</f>
        <v>0</v>
      </c>
      <c r="F26" s="2936"/>
      <c r="G26" s="2937"/>
      <c r="H26" s="2848"/>
      <c r="I26" s="2849"/>
      <c r="J26" s="3676">
        <v>5</v>
      </c>
      <c r="K26" s="2951" t="s">
        <v>2413</v>
      </c>
      <c r="L26" s="2952"/>
      <c r="M26" s="2953"/>
      <c r="N26" s="2954" t="s">
        <v>2414</v>
      </c>
      <c r="O26" s="2954" t="s">
        <v>2415</v>
      </c>
      <c r="P26" s="2955" t="s">
        <v>2416</v>
      </c>
      <c r="Q26" s="2955" t="s">
        <v>2417</v>
      </c>
      <c r="R26" s="2858" t="s">
        <v>2342</v>
      </c>
      <c r="S26" s="2956"/>
      <c r="T26" s="2956"/>
      <c r="U26" s="2956"/>
      <c r="V26" s="2949"/>
    </row>
    <row r="27" spans="1:22" s="2853" customFormat="1" ht="13.2" customHeight="1">
      <c r="A27" s="2938"/>
      <c r="B27" s="2939" t="s">
        <v>2418</v>
      </c>
      <c r="C27" s="2957" t="e">
        <f>E7</f>
        <v>#DIV/0!</v>
      </c>
      <c r="D27" s="2941"/>
      <c r="E27" s="2942"/>
      <c r="F27" s="2943"/>
      <c r="G27" s="2937"/>
      <c r="H27" s="2958"/>
      <c r="I27" s="2949"/>
      <c r="J27" s="3677"/>
      <c r="K27" s="2959"/>
      <c r="L27" s="2960"/>
      <c r="M27" s="2961"/>
      <c r="N27" s="2962"/>
      <c r="O27" s="2962"/>
      <c r="P27" s="2962"/>
      <c r="Q27" s="2963"/>
      <c r="R27" s="2919">
        <f>ROUND(O27*N27*P27*(1-Q27)/10000,0)</f>
        <v>0</v>
      </c>
      <c r="S27" s="2841"/>
      <c r="T27" s="2841"/>
      <c r="U27" s="2841"/>
      <c r="V27" s="2849"/>
    </row>
    <row r="28" spans="1:22" s="2950" customFormat="1" ht="13.2" customHeight="1" thickBot="1">
      <c r="A28" s="2938"/>
      <c r="B28" s="2939"/>
      <c r="C28" s="2957"/>
      <c r="D28" s="2941"/>
      <c r="E28" s="2942" t="s">
        <v>2419</v>
      </c>
      <c r="F28" s="2943"/>
      <c r="G28" s="2930"/>
      <c r="H28" s="2958"/>
      <c r="I28" s="2949"/>
      <c r="J28" s="2964">
        <v>6</v>
      </c>
      <c r="K28" s="2965" t="s">
        <v>2420</v>
      </c>
      <c r="L28" s="2966" t="s">
        <v>2421</v>
      </c>
      <c r="M28" s="2967"/>
      <c r="N28" s="2966" t="s">
        <v>2422</v>
      </c>
      <c r="O28" s="2968"/>
      <c r="P28" s="2966" t="s">
        <v>2423</v>
      </c>
      <c r="Q28" s="2969">
        <v>1.4999999999999999E-2</v>
      </c>
      <c r="R28" s="2970"/>
      <c r="S28" s="2922"/>
      <c r="T28" s="2922"/>
      <c r="U28" s="2922"/>
      <c r="V28" s="2949"/>
    </row>
    <row r="29" spans="1:22" s="2950" customFormat="1" ht="13.2" customHeight="1">
      <c r="A29" s="2931">
        <v>3</v>
      </c>
      <c r="B29" s="2932" t="s">
        <v>2424</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2" customHeight="1" thickBot="1">
      <c r="A30" s="2938"/>
      <c r="B30" s="2939" t="s">
        <v>2418</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2" customHeight="1">
      <c r="A31" s="2938"/>
      <c r="B31" s="2939"/>
      <c r="C31" s="2972"/>
      <c r="D31" s="2971"/>
      <c r="E31" s="2902"/>
      <c r="F31" s="2943"/>
      <c r="G31" s="2930"/>
      <c r="H31" s="2958"/>
      <c r="I31" s="2949"/>
      <c r="J31" s="2838" t="s">
        <v>2425</v>
      </c>
      <c r="K31" s="2839"/>
      <c r="L31" s="2839"/>
      <c r="M31" s="2839"/>
      <c r="N31" s="2839"/>
      <c r="O31" s="2839"/>
      <c r="P31" s="2839"/>
      <c r="Q31" s="2839"/>
      <c r="R31" s="2840"/>
      <c r="S31" s="2922"/>
      <c r="T31" s="2841"/>
      <c r="U31" s="2841"/>
      <c r="V31" s="2949"/>
    </row>
    <row r="32" spans="1:22" s="2950" customFormat="1" ht="13.2" customHeight="1">
      <c r="A32" s="2931">
        <v>4</v>
      </c>
      <c r="B32" s="2932" t="s">
        <v>2426</v>
      </c>
      <c r="C32" s="2933">
        <f>C23-C26-C29</f>
        <v>0</v>
      </c>
      <c r="D32" s="2934">
        <f>D23-D26-D29</f>
        <v>0</v>
      </c>
      <c r="E32" s="2935">
        <f>E23-E26-E29</f>
        <v>0</v>
      </c>
      <c r="F32" s="2936"/>
      <c r="G32" s="2930"/>
      <c r="H32" s="2848"/>
      <c r="I32" s="2849"/>
      <c r="J32" s="3678" t="s">
        <v>2318</v>
      </c>
      <c r="K32" s="3679"/>
      <c r="L32" s="2850" t="s">
        <v>2319</v>
      </c>
      <c r="M32" s="2850" t="s">
        <v>2320</v>
      </c>
      <c r="N32" s="2850" t="s">
        <v>2321</v>
      </c>
      <c r="O32" s="2850" t="s">
        <v>2322</v>
      </c>
      <c r="P32" s="2850" t="s">
        <v>2323</v>
      </c>
      <c r="Q32" s="2851" t="s">
        <v>2324</v>
      </c>
      <c r="R32" s="2973" t="s">
        <v>2325</v>
      </c>
      <c r="S32" s="2922"/>
      <c r="T32" s="2841"/>
      <c r="U32" s="2841"/>
      <c r="V32" s="2949"/>
    </row>
    <row r="33" spans="1:23" s="2853" customFormat="1" ht="13.2" customHeight="1">
      <c r="A33" s="2931"/>
      <c r="B33" s="2932"/>
      <c r="C33" s="2933"/>
      <c r="D33" s="2974"/>
      <c r="E33" s="2975"/>
      <c r="F33" s="2936"/>
      <c r="G33" s="2930"/>
      <c r="H33" s="2958"/>
      <c r="I33" s="2949"/>
      <c r="J33" s="3680" t="s">
        <v>2328</v>
      </c>
      <c r="K33" s="3681"/>
      <c r="L33" s="2856"/>
      <c r="M33" s="2856"/>
      <c r="N33" s="2856"/>
      <c r="O33" s="2856"/>
      <c r="P33" s="2856"/>
      <c r="Q33" s="2857"/>
      <c r="R33" s="2976">
        <f>SUM(L33:Q33)</f>
        <v>0</v>
      </c>
      <c r="S33" s="2922"/>
      <c r="T33" s="2841"/>
      <c r="U33" s="2841"/>
      <c r="V33" s="2849"/>
    </row>
    <row r="34" spans="1:23" s="2853" customFormat="1" ht="13.2" customHeight="1">
      <c r="A34" s="2931">
        <v>5</v>
      </c>
      <c r="B34" s="2932" t="s">
        <v>2427</v>
      </c>
      <c r="C34" s="2977"/>
      <c r="D34" s="2978"/>
      <c r="E34" s="2979"/>
      <c r="F34" s="2936"/>
      <c r="G34" s="2930"/>
      <c r="H34" s="2958"/>
      <c r="I34" s="2949"/>
      <c r="J34" s="3680" t="s">
        <v>2330</v>
      </c>
      <c r="K34" s="3681"/>
      <c r="L34" s="2861"/>
      <c r="M34" s="2861"/>
      <c r="N34" s="2861"/>
      <c r="O34" s="2861"/>
      <c r="P34" s="2861"/>
      <c r="Q34" s="2862"/>
      <c r="R34" s="2980">
        <f>SUM(L34:Q34)</f>
        <v>0</v>
      </c>
      <c r="S34" s="2922"/>
      <c r="T34" s="2841"/>
      <c r="U34" s="2841" t="e">
        <f>ROUND(R35*10000/365/R33,1)</f>
        <v>#DIV/0!</v>
      </c>
      <c r="V34" s="2849"/>
    </row>
    <row r="35" spans="1:23" s="2853" customFormat="1" ht="13.2" customHeight="1">
      <c r="A35" s="2931">
        <v>6</v>
      </c>
      <c r="B35" s="2932" t="s">
        <v>2428</v>
      </c>
      <c r="C35" s="2981"/>
      <c r="D35" s="2982"/>
      <c r="E35" s="2983"/>
      <c r="F35" s="2936"/>
      <c r="G35" s="2984"/>
      <c r="H35" s="2848"/>
      <c r="I35" s="2949"/>
      <c r="J35" s="2867" t="s">
        <v>2332</v>
      </c>
      <c r="K35" s="2868"/>
      <c r="L35" s="2868"/>
      <c r="M35" s="2869"/>
      <c r="N35" s="2869"/>
      <c r="O35" s="2869"/>
      <c r="P35" s="2869"/>
      <c r="Q35" s="2869"/>
      <c r="R35" s="2985">
        <f>R40+R41+R43</f>
        <v>0</v>
      </c>
      <c r="S35" s="2922"/>
      <c r="T35" s="2841" t="s">
        <v>2333</v>
      </c>
      <c r="U35" s="2841"/>
      <c r="V35" s="2849"/>
    </row>
    <row r="36" spans="1:23" s="2853" customFormat="1" ht="13.2" customHeight="1" thickBot="1">
      <c r="A36" s="2931">
        <v>7</v>
      </c>
      <c r="B36" s="2986" t="s">
        <v>2429</v>
      </c>
      <c r="C36" s="2987"/>
      <c r="D36" s="2988"/>
      <c r="E36" s="2989"/>
      <c r="F36" s="2990">
        <f>C36+D36+E36</f>
        <v>0</v>
      </c>
      <c r="G36" s="2930"/>
      <c r="H36" s="2848"/>
      <c r="I36" s="2849"/>
      <c r="J36" s="3672">
        <v>1</v>
      </c>
      <c r="K36" s="3673" t="s">
        <v>2430</v>
      </c>
      <c r="L36" s="2874"/>
      <c r="M36" s="2875"/>
      <c r="N36" s="2875"/>
      <c r="O36" s="2875"/>
      <c r="P36" s="2875"/>
      <c r="Q36" s="2875"/>
      <c r="R36" s="2858" t="s">
        <v>2342</v>
      </c>
      <c r="S36" s="2922"/>
      <c r="T36" s="2841" t="s">
        <v>2343</v>
      </c>
      <c r="U36" s="2841"/>
      <c r="V36" s="2849"/>
    </row>
    <row r="37" spans="1:23" s="2853" customFormat="1" ht="13.2" customHeight="1">
      <c r="A37" s="2931"/>
      <c r="B37" s="2932"/>
      <c r="C37" s="2932"/>
      <c r="D37" s="2932"/>
      <c r="E37" s="2932"/>
      <c r="F37" s="2936"/>
      <c r="G37" s="2930"/>
      <c r="H37" s="2848"/>
      <c r="I37" s="2849"/>
      <c r="J37" s="3672"/>
      <c r="K37" s="3674"/>
      <c r="L37" s="2883"/>
      <c r="M37" s="2884"/>
      <c r="N37" s="2860"/>
      <c r="O37" s="2885"/>
      <c r="P37" s="2885"/>
      <c r="Q37" s="2886"/>
      <c r="R37" s="2887"/>
      <c r="S37" s="2922"/>
      <c r="T37" s="2841" t="s">
        <v>2346</v>
      </c>
      <c r="U37" s="2841"/>
      <c r="V37" s="2849"/>
    </row>
    <row r="38" spans="1:23" s="2853" customFormat="1" ht="13.2" customHeight="1">
      <c r="A38" s="2931">
        <v>8</v>
      </c>
      <c r="B38" s="2932"/>
      <c r="C38" s="2889" t="e">
        <f>ROUND(C32*(1-((1+C35)/(1+C34))^C36)/(C34-C35),0)</f>
        <v>#DIV/0!</v>
      </c>
      <c r="D38" s="2889">
        <f>IF(D23=0,0,ROUND(D32*(1-((1+D35)/(1+D34))^D36)/(D34-D35),0))</f>
        <v>0</v>
      </c>
      <c r="E38" s="2889">
        <f>IF(E23=0,0,ROUND(E32*(1-((1+E35)/(1+E34))^E36)/(E34-E35),0))</f>
        <v>0</v>
      </c>
      <c r="F38" s="2936"/>
      <c r="G38" s="2930"/>
      <c r="H38" s="2848"/>
      <c r="I38" s="2849"/>
      <c r="J38" s="3672"/>
      <c r="K38" s="3674"/>
      <c r="L38" s="2883"/>
      <c r="M38" s="2884"/>
      <c r="N38" s="2860"/>
      <c r="O38" s="2885"/>
      <c r="P38" s="2885"/>
      <c r="Q38" s="2886"/>
      <c r="R38" s="2887"/>
      <c r="S38" s="2922"/>
      <c r="T38" s="2841" t="s">
        <v>2353</v>
      </c>
      <c r="U38" s="2841"/>
      <c r="V38" s="2849"/>
    </row>
    <row r="39" spans="1:23" s="2853" customFormat="1" ht="13.2" customHeight="1">
      <c r="A39" s="2931">
        <v>9</v>
      </c>
      <c r="B39" s="2932" t="s">
        <v>2431</v>
      </c>
      <c r="C39" s="2897" t="e">
        <f>C38</f>
        <v>#DIV/0!</v>
      </c>
      <c r="D39" s="2932">
        <f>D38/(1+D34)^C36</f>
        <v>0</v>
      </c>
      <c r="E39" s="2932">
        <f>E38/(1+E34)^(C36+D36)</f>
        <v>0</v>
      </c>
      <c r="F39" s="2936"/>
      <c r="G39" s="2991"/>
      <c r="H39" s="2848"/>
      <c r="I39" s="2849"/>
      <c r="J39" s="3672"/>
      <c r="K39" s="3674"/>
      <c r="L39" s="2883"/>
      <c r="M39" s="2884"/>
      <c r="N39" s="2860"/>
      <c r="O39" s="2885"/>
      <c r="P39" s="2885"/>
      <c r="Q39" s="2886"/>
      <c r="R39" s="2887"/>
      <c r="S39" s="2922"/>
      <c r="T39" s="2841"/>
      <c r="U39" s="2841"/>
      <c r="V39" s="2849"/>
    </row>
    <row r="40" spans="1:23" s="2853" customFormat="1" ht="13.2" customHeight="1">
      <c r="A40" s="2992">
        <v>10</v>
      </c>
      <c r="B40" s="2932" t="s">
        <v>2432</v>
      </c>
      <c r="C40" s="2993" t="e">
        <f>C39+D39+E39</f>
        <v>#DIV/0!</v>
      </c>
      <c r="D40" s="2994"/>
      <c r="E40" s="2994"/>
      <c r="F40" s="2995"/>
      <c r="G40" s="2930"/>
      <c r="H40" s="2848"/>
      <c r="I40" s="2849"/>
      <c r="J40" s="3672"/>
      <c r="K40" s="3675"/>
      <c r="L40" s="2903" t="s">
        <v>2371</v>
      </c>
      <c r="M40" s="2904"/>
      <c r="N40" s="2904"/>
      <c r="O40" s="2905"/>
      <c r="P40" s="2905"/>
      <c r="Q40" s="2906"/>
      <c r="R40" s="2852">
        <f>SUM(R37:R39)</f>
        <v>0</v>
      </c>
      <c r="S40" s="2922"/>
      <c r="T40" s="2841"/>
      <c r="U40" s="2841"/>
      <c r="V40" s="2849"/>
    </row>
    <row r="41" spans="1:23" s="2853" customFormat="1" ht="13.2" customHeight="1" thickBot="1">
      <c r="A41" s="2996">
        <v>11</v>
      </c>
      <c r="B41" s="2997" t="s">
        <v>2433</v>
      </c>
      <c r="C41" s="2997" t="e">
        <f>ROUND(C40*10000/B4,0)</f>
        <v>#DIV/0!</v>
      </c>
      <c r="D41" s="2998"/>
      <c r="E41" s="2998"/>
      <c r="F41" s="2999"/>
      <c r="G41" s="3000"/>
      <c r="H41" s="2848"/>
      <c r="I41" s="2849"/>
      <c r="J41" s="2944">
        <v>2</v>
      </c>
      <c r="K41" s="2945" t="s">
        <v>2411</v>
      </c>
      <c r="L41" s="2946"/>
      <c r="M41" s="2946"/>
      <c r="N41" s="2946"/>
      <c r="O41" s="2946"/>
      <c r="P41" s="2947"/>
      <c r="Q41" s="2948"/>
      <c r="R41" s="2919">
        <f>ROUND(R40*Q41,0)</f>
        <v>0</v>
      </c>
      <c r="S41" s="2922"/>
      <c r="T41" s="2841"/>
      <c r="U41" s="2956"/>
      <c r="V41" s="2849"/>
    </row>
    <row r="42" spans="1:23" s="2853" customFormat="1" ht="13.2" customHeight="1">
      <c r="G42" s="3000"/>
      <c r="H42" s="2848"/>
      <c r="I42" s="2849"/>
      <c r="J42" s="3676">
        <v>3</v>
      </c>
      <c r="K42" s="2951" t="s">
        <v>2413</v>
      </c>
      <c r="L42" s="2952"/>
      <c r="M42" s="2953"/>
      <c r="N42" s="2954" t="s">
        <v>2414</v>
      </c>
      <c r="O42" s="2954" t="s">
        <v>2415</v>
      </c>
      <c r="P42" s="2955" t="s">
        <v>2416</v>
      </c>
      <c r="Q42" s="2955" t="s">
        <v>2417</v>
      </c>
      <c r="R42" s="2858" t="s">
        <v>2342</v>
      </c>
      <c r="S42" s="2956"/>
      <c r="T42" s="2956"/>
      <c r="U42" s="2841"/>
      <c r="V42" s="2849"/>
    </row>
    <row r="43" spans="1:23" ht="13.2" customHeight="1">
      <c r="A43" s="2853"/>
      <c r="B43" s="2853"/>
      <c r="C43" s="2853"/>
      <c r="D43" s="2853"/>
      <c r="E43" s="2853"/>
      <c r="F43" s="2853"/>
      <c r="I43" s="2836"/>
      <c r="J43" s="3677"/>
      <c r="K43" s="2959"/>
      <c r="L43" s="2960"/>
      <c r="M43" s="2961"/>
      <c r="N43" s="2884"/>
      <c r="O43" s="2884"/>
      <c r="P43" s="2884"/>
      <c r="Q43" s="2948"/>
      <c r="R43" s="2919">
        <f>ROUND(O43*N43*P43*(1-Q43)/10000,0)</f>
        <v>0</v>
      </c>
      <c r="S43" s="2922"/>
      <c r="T43" s="2841"/>
      <c r="V43" s="3002"/>
      <c r="W43" s="3003"/>
    </row>
    <row r="44" spans="1:23" ht="13.2" customHeight="1" thickBot="1">
      <c r="J44" s="2964">
        <v>6</v>
      </c>
      <c r="K44" s="2965" t="s">
        <v>2420</v>
      </c>
      <c r="L44" s="3004" t="s">
        <v>2421</v>
      </c>
      <c r="M44" s="2967"/>
      <c r="N44" s="3004" t="s">
        <v>2422</v>
      </c>
      <c r="O44" s="2967"/>
      <c r="P44" s="3004" t="s">
        <v>2423</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7"/>
      <c r="G1" s="1489"/>
      <c r="H1" s="1489"/>
      <c r="I1" s="1489"/>
      <c r="J1" s="1489"/>
      <c r="K1" s="1489"/>
      <c r="L1" s="1489"/>
      <c r="M1" s="1489"/>
      <c r="N1" s="1489"/>
      <c r="O1" s="1489"/>
      <c r="P1" s="1489"/>
      <c r="Q1" s="1489"/>
      <c r="R1" s="1489"/>
      <c r="S1" s="1489"/>
    </row>
    <row r="2" spans="1:22" ht="15.6">
      <c r="A2" s="1870" t="s">
        <v>1462</v>
      </c>
      <c r="B2" s="1871">
        <f ca="1">SUMIF(B6:B13,"&lt;&gt;#ref!",B6:B13)</f>
        <v>590.14700000000005</v>
      </c>
      <c r="C2" s="1872" t="s">
        <v>1651</v>
      </c>
      <c r="D2" s="1873" t="s">
        <v>1652</v>
      </c>
      <c r="E2" s="2607">
        <f>SUM(E6:E13)</f>
        <v>275.64999999999998</v>
      </c>
      <c r="F2" s="2707"/>
      <c r="G2" s="1489"/>
      <c r="H2" s="1489"/>
      <c r="I2" s="1489"/>
      <c r="J2" s="1489"/>
      <c r="K2" s="1489"/>
      <c r="L2" s="1489"/>
      <c r="M2" s="1489"/>
      <c r="N2" s="1489"/>
      <c r="O2" s="1489"/>
      <c r="P2" s="1489"/>
      <c r="Q2" s="1489"/>
      <c r="R2" s="1489"/>
      <c r="S2" s="1489"/>
    </row>
    <row r="3" spans="1:22" ht="15.6">
      <c r="A3" s="1870" t="s">
        <v>686</v>
      </c>
      <c r="B3" s="2601">
        <f ca="1">ROUND(B2*10000/E2,0)</f>
        <v>21409</v>
      </c>
      <c r="C3" s="1872" t="s">
        <v>1659</v>
      </c>
      <c r="D3" s="2709"/>
      <c r="E3" s="2711"/>
      <c r="F3" s="2707"/>
      <c r="G3" s="1489"/>
      <c r="H3" s="1489"/>
      <c r="I3" s="1489"/>
      <c r="J3" s="1489"/>
      <c r="K3" s="1489"/>
      <c r="L3" s="1489"/>
      <c r="M3" s="1489"/>
      <c r="N3" s="1489"/>
      <c r="O3" s="1489"/>
      <c r="P3" s="1489"/>
      <c r="Q3" s="1489"/>
      <c r="R3" s="1489"/>
      <c r="S3" s="1489"/>
    </row>
    <row r="4" spans="1:22" ht="15.6">
      <c r="A4" s="2712"/>
      <c r="B4" s="2709"/>
      <c r="C4" s="2709"/>
      <c r="D4" s="2709"/>
      <c r="E4" s="2711"/>
      <c r="F4" s="2707"/>
      <c r="G4" s="1489"/>
      <c r="H4" s="1489"/>
      <c r="I4" s="1489"/>
      <c r="J4" s="1489"/>
      <c r="K4" s="1489"/>
      <c r="L4" s="1489"/>
      <c r="M4" s="1489"/>
      <c r="N4" s="1489"/>
      <c r="O4" s="1489"/>
      <c r="P4" s="1489"/>
      <c r="Q4" s="1489"/>
      <c r="R4" s="1489"/>
      <c r="S4" s="1489"/>
    </row>
    <row r="5" spans="1:22" ht="14.4">
      <c r="A5" s="2603" t="s">
        <v>1653</v>
      </c>
      <c r="B5" s="3691" t="s">
        <v>1654</v>
      </c>
      <c r="C5" s="3692"/>
      <c r="D5" s="2708"/>
      <c r="E5" s="1874" t="s">
        <v>1655</v>
      </c>
      <c r="F5" s="1875" t="s">
        <v>1656</v>
      </c>
      <c r="G5" s="1489"/>
      <c r="H5" s="1489"/>
      <c r="I5" s="1489"/>
      <c r="J5" s="1489"/>
      <c r="K5" s="1489"/>
      <c r="L5" s="1489"/>
      <c r="M5" s="1489"/>
      <c r="N5" s="1489"/>
      <c r="O5" s="1489"/>
      <c r="P5" s="1489"/>
      <c r="Q5" s="1489"/>
      <c r="R5" s="1489"/>
      <c r="S5" s="1489"/>
    </row>
    <row r="6" spans="1:22" ht="14.4">
      <c r="A6" s="2604" t="str">
        <f>'数据-取费表'!AN6</f>
        <v>成本法 (元)</v>
      </c>
      <c r="B6" s="2602">
        <f ca="1">IF(F6="是",'数据-取费表'!AO6,0)</f>
        <v>590.14700000000005</v>
      </c>
      <c r="C6" s="1872" t="s">
        <v>1651</v>
      </c>
      <c r="D6" s="2709"/>
      <c r="E6" s="2606">
        <f>IF(OR(A6=0,F6="否"),0,'数据-取费表'!K6+'数据-取费表'!S6)</f>
        <v>275.64999999999998</v>
      </c>
      <c r="F6" s="1876" t="s">
        <v>1657</v>
      </c>
      <c r="G6" s="1489"/>
      <c r="H6" s="1489"/>
      <c r="I6" s="1489"/>
      <c r="J6" s="1489"/>
      <c r="K6" s="1489"/>
      <c r="L6" s="1489"/>
      <c r="M6" s="1489"/>
      <c r="N6" s="1489"/>
      <c r="O6" s="1489"/>
      <c r="P6" s="1489"/>
      <c r="Q6" s="1489"/>
      <c r="R6" s="1489"/>
      <c r="S6" s="1489"/>
    </row>
    <row r="7" spans="1:22" ht="14.4">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ht="14.4">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ht="14.4">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ht="14.4">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86" zoomScale="90" zoomScaleNormal="60" zoomScaleSheetLayoutView="90" workbookViewId="0">
      <selection activeCell="D128" sqref="D128"/>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7.66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t="s">
        <v>3388</v>
      </c>
      <c r="E1" s="3426" t="s">
        <v>3394</v>
      </c>
      <c r="F1" s="1879" t="s">
        <v>3395</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f>IF(E1="项目模式",IF(C2="——",ROUND(C49*D3/10000,0),ROUND(C49*D3/10000,0)-D2),IF(E1="单套模式",IF(C2="——",ROUND(C49*D3/10000,4),ROUND(C49*D3/10000,4)-D2)))</f>
        <v>1147.972</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41646</v>
      </c>
      <c r="C3" s="354" t="s">
        <v>1665</v>
      </c>
      <c r="D3" s="353">
        <f>IF(D1="",'数据-汇总表'!E3,SUMIF('数据-汇总表'!$C19:$C33,D1,'数据-汇总表'!$E19:$E33))</f>
        <v>275.64999999999998</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4.4">
      <c r="A4" s="355" t="s">
        <v>1666</v>
      </c>
      <c r="B4" s="356"/>
      <c r="C4" s="3711" t="s">
        <v>1667</v>
      </c>
      <c r="D4" s="3712"/>
      <c r="E4" s="3713" t="s">
        <v>1668</v>
      </c>
      <c r="F4" s="3714"/>
      <c r="G4" s="3711" t="s">
        <v>1669</v>
      </c>
      <c r="H4" s="3712"/>
      <c r="I4" s="3711" t="s">
        <v>1670</v>
      </c>
      <c r="J4" s="3712"/>
      <c r="K4" s="1889" t="s">
        <v>1671</v>
      </c>
      <c r="L4" s="2715"/>
      <c r="M4" s="2716"/>
      <c r="N4" s="2716"/>
      <c r="O4" s="2716"/>
      <c r="P4" s="3715" t="s">
        <v>1672</v>
      </c>
      <c r="Q4" s="3716"/>
      <c r="R4" s="3721" t="s">
        <v>1668</v>
      </c>
      <c r="S4" s="3722"/>
      <c r="T4" s="3721" t="s">
        <v>1669</v>
      </c>
      <c r="U4" s="3722"/>
      <c r="V4" s="3727" t="s">
        <v>1670</v>
      </c>
      <c r="W4" s="3727"/>
      <c r="X4" s="1355"/>
      <c r="Y4" s="3721" t="s">
        <v>1672</v>
      </c>
      <c r="Z4" s="3722"/>
      <c r="AA4" s="3708" t="s">
        <v>1668</v>
      </c>
      <c r="AB4" s="3708" t="s">
        <v>1669</v>
      </c>
      <c r="AC4" s="3708" t="s">
        <v>1670</v>
      </c>
    </row>
    <row r="5" spans="1:29" ht="39.75" customHeight="1">
      <c r="A5" s="358"/>
      <c r="B5" s="359"/>
      <c r="C5" s="3730" t="s">
        <v>3424</v>
      </c>
      <c r="D5" s="3731"/>
      <c r="E5" s="3737" t="str">
        <f>案例!G5</f>
        <v>倚林佳园</v>
      </c>
      <c r="F5" s="3738"/>
      <c r="G5" s="3730" t="str">
        <f>案例!G23</f>
        <v>国奥村</v>
      </c>
      <c r="H5" s="3731"/>
      <c r="I5" s="3730" t="str">
        <f>案例!G30</f>
        <v>澳林观邸</v>
      </c>
      <c r="J5" s="3731"/>
      <c r="K5" s="1890"/>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28"/>
      <c r="D6" s="3729"/>
      <c r="E6" s="3735" t="str">
        <f>案例!C5</f>
        <v>2012-3-14810-RA</v>
      </c>
      <c r="F6" s="3736"/>
      <c r="G6" s="3728" t="str">
        <f>案例!C23</f>
        <v>2012-3-12504-RA</v>
      </c>
      <c r="H6" s="3729"/>
      <c r="I6" s="3728" t="str">
        <f>案例!C30</f>
        <v>2013-3-03150-RA</v>
      </c>
      <c r="J6" s="3729"/>
      <c r="K6" s="1890"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f>案例!$U$5</f>
        <v>41243</v>
      </c>
      <c r="F7" s="367">
        <f>SUMIF(58:58,YEAR(E7)&amp;"-"&amp;MONTH(E7),59:59)</f>
        <v>99</v>
      </c>
      <c r="G7" s="366">
        <f>案例!$U$23</f>
        <v>41205</v>
      </c>
      <c r="H7" s="365">
        <f>SUMIF(58:58,YEAR(G7)&amp;"-"&amp;MONTH(G7),59:59)</f>
        <v>99</v>
      </c>
      <c r="I7" s="366">
        <f>案例!$U$30</f>
        <v>41333</v>
      </c>
      <c r="J7" s="365">
        <f>SUMIF(58:58,YEAR(I7)&amp;"-"&amp;MONTH(I7),59:59)</f>
        <v>100</v>
      </c>
      <c r="K7" s="1891"/>
      <c r="L7" s="2717"/>
      <c r="M7" s="2718"/>
      <c r="N7" s="2718"/>
      <c r="O7" s="2718"/>
      <c r="P7" s="3732" t="s">
        <v>1680</v>
      </c>
      <c r="Q7" s="3734"/>
      <c r="R7" s="701" t="s">
        <v>20</v>
      </c>
      <c r="S7" s="702">
        <f t="shared" ref="S7:S15" si="0">F7</f>
        <v>99</v>
      </c>
      <c r="T7" s="701" t="s">
        <v>20</v>
      </c>
      <c r="U7" s="702">
        <f t="shared" ref="U7:U15" si="1">H7</f>
        <v>99</v>
      </c>
      <c r="V7" s="701" t="s">
        <v>20</v>
      </c>
      <c r="W7" s="702">
        <f t="shared" ref="W7:W15" si="2">J7</f>
        <v>100</v>
      </c>
      <c r="X7" s="703"/>
      <c r="Y7" s="3732" t="s">
        <v>1680</v>
      </c>
      <c r="Z7" s="3733"/>
      <c r="AA7" s="704">
        <f>D7/F7</f>
        <v>1.0101010101010102</v>
      </c>
      <c r="AB7" s="704">
        <f>D7/H7</f>
        <v>1.0101010101010102</v>
      </c>
      <c r="AC7" s="704">
        <f>D7/J7</f>
        <v>1</v>
      </c>
    </row>
    <row r="8" spans="1:29" s="108" customFormat="1" ht="15" thickBot="1">
      <c r="A8" s="362" t="s">
        <v>1681</v>
      </c>
      <c r="B8" s="363"/>
      <c r="C8" s="368" t="s">
        <v>3396</v>
      </c>
      <c r="D8" s="365">
        <v>100</v>
      </c>
      <c r="E8" s="1892" t="s">
        <v>3396</v>
      </c>
      <c r="F8" s="367">
        <f>SUMIF(61:61,E8,62:62)-SUMIF(61:61,C8,62:62)+100</f>
        <v>100</v>
      </c>
      <c r="G8" s="368" t="s">
        <v>3396</v>
      </c>
      <c r="H8" s="365">
        <f>SUMIF(61:61,G8,62:62)-SUMIF(61:61,C8,62:62)+100</f>
        <v>100</v>
      </c>
      <c r="I8" s="1892" t="s">
        <v>3396</v>
      </c>
      <c r="J8" s="365">
        <f>SUMIF(61:61,I8,62:62)-SUMIF(61:61,C8,62:62)+100</f>
        <v>100</v>
      </c>
      <c r="K8" s="1891"/>
      <c r="L8" s="2717"/>
      <c r="M8" s="2718"/>
      <c r="N8" s="2718"/>
      <c r="O8" s="2718"/>
      <c r="P8" s="3732" t="s">
        <v>1683</v>
      </c>
      <c r="Q8" s="3733"/>
      <c r="R8" s="701" t="s">
        <v>20</v>
      </c>
      <c r="S8" s="702">
        <f t="shared" si="0"/>
        <v>100</v>
      </c>
      <c r="T8" s="701" t="s">
        <v>20</v>
      </c>
      <c r="U8" s="702">
        <f t="shared" si="1"/>
        <v>100</v>
      </c>
      <c r="V8" s="701" t="s">
        <v>20</v>
      </c>
      <c r="W8" s="702">
        <f t="shared" si="2"/>
        <v>100</v>
      </c>
      <c r="X8" s="703"/>
      <c r="Y8" s="3732" t="s">
        <v>1683</v>
      </c>
      <c r="Z8" s="3733"/>
      <c r="AA8" s="704">
        <f t="shared" ref="AA8:AA19" si="3">D8/F8</f>
        <v>1</v>
      </c>
      <c r="AB8" s="704">
        <f t="shared" ref="AB8:AB19" si="4">D8/H8</f>
        <v>1</v>
      </c>
      <c r="AC8" s="704">
        <f t="shared" ref="AC8:AC19" si="5">D8/J8</f>
        <v>1</v>
      </c>
    </row>
    <row r="9" spans="1:29" s="108" customFormat="1" ht="14.4">
      <c r="A9" s="369" t="s">
        <v>1684</v>
      </c>
      <c r="B9" s="63" t="s">
        <v>1685</v>
      </c>
      <c r="C9" s="3449" t="s">
        <v>3397</v>
      </c>
      <c r="D9" s="126">
        <v>100</v>
      </c>
      <c r="E9" s="371" t="s">
        <v>3388</v>
      </c>
      <c r="F9" s="372">
        <f>SUMIF(63:63,E9,64:64)-SUMIF(63:63,C9,64:64)+100</f>
        <v>100</v>
      </c>
      <c r="G9" s="373" t="s">
        <v>3388</v>
      </c>
      <c r="H9" s="126">
        <f>SUMIF(63:63,G9,64:64)-SUMIF(63:63,C9,64:64)+100</f>
        <v>100</v>
      </c>
      <c r="I9" s="373" t="s">
        <v>3388</v>
      </c>
      <c r="J9" s="126">
        <f>SUMIF(63:63,I9,64:64)-SUMIF(63:63,C9,64:64)+100</f>
        <v>100</v>
      </c>
      <c r="K9" s="1891"/>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21"/>
      <c r="M11" s="2716"/>
      <c r="N11" s="2716"/>
      <c r="O11" s="2716"/>
      <c r="P11" s="3707"/>
      <c r="Q11" s="1343" t="str">
        <f t="shared" si="6"/>
        <v>容积率</v>
      </c>
      <c r="R11" s="701" t="s">
        <v>18</v>
      </c>
      <c r="S11" s="702">
        <f t="shared" si="0"/>
        <v>100</v>
      </c>
      <c r="T11" s="701" t="s">
        <v>18</v>
      </c>
      <c r="U11" s="702">
        <f t="shared" si="1"/>
        <v>100</v>
      </c>
      <c r="V11" s="701" t="s">
        <v>18</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7"/>
      <c r="Q12" s="1343">
        <f t="shared" si="6"/>
        <v>111</v>
      </c>
      <c r="R12" s="701" t="s">
        <v>18</v>
      </c>
      <c r="S12" s="702">
        <f t="shared" si="0"/>
        <v>100</v>
      </c>
      <c r="T12" s="701" t="s">
        <v>18</v>
      </c>
      <c r="U12" s="702">
        <f t="shared" si="1"/>
        <v>100</v>
      </c>
      <c r="V12" s="701" t="s">
        <v>18</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7"/>
      <c r="Q13" s="1343">
        <f t="shared" si="6"/>
        <v>111</v>
      </c>
      <c r="R13" s="701" t="s">
        <v>18</v>
      </c>
      <c r="S13" s="702">
        <f t="shared" si="0"/>
        <v>100</v>
      </c>
      <c r="T13" s="701" t="s">
        <v>18</v>
      </c>
      <c r="U13" s="702">
        <f t="shared" si="1"/>
        <v>100</v>
      </c>
      <c r="V13" s="701" t="s">
        <v>18</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7"/>
      <c r="Q14" s="1343">
        <f t="shared" si="6"/>
        <v>111</v>
      </c>
      <c r="R14" s="701" t="s">
        <v>18</v>
      </c>
      <c r="S14" s="702">
        <f t="shared" si="0"/>
        <v>100</v>
      </c>
      <c r="T14" s="701" t="s">
        <v>18</v>
      </c>
      <c r="U14" s="702">
        <f t="shared" si="1"/>
        <v>100</v>
      </c>
      <c r="V14" s="701" t="s">
        <v>18</v>
      </c>
      <c r="W14" s="702">
        <f t="shared" si="2"/>
        <v>100</v>
      </c>
      <c r="X14" s="703"/>
      <c r="Y14" s="3571"/>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5" t="s">
        <v>1691</v>
      </c>
      <c r="Q15" s="1352" t="str">
        <f t="shared" si="6"/>
        <v>居住社区成熟度</v>
      </c>
      <c r="R15" s="705" t="s">
        <v>18</v>
      </c>
      <c r="S15" s="706">
        <f t="shared" si="0"/>
        <v>100</v>
      </c>
      <c r="T15" s="705" t="s">
        <v>18</v>
      </c>
      <c r="U15" s="706">
        <f t="shared" si="1"/>
        <v>100</v>
      </c>
      <c r="V15" s="705" t="s">
        <v>18</v>
      </c>
      <c r="W15" s="706">
        <f t="shared" si="2"/>
        <v>100</v>
      </c>
      <c r="X15" s="1355"/>
      <c r="Y15" s="369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97</v>
      </c>
      <c r="I17" s="403"/>
      <c r="J17" s="406">
        <f>SUMIF(78:78,I18,79:79)-SUMIF(78:78,C18,79:79)+100</f>
        <v>97</v>
      </c>
      <c r="K17" s="396">
        <v>3</v>
      </c>
      <c r="L17" s="2722"/>
      <c r="M17" s="2716"/>
      <c r="N17" s="2716"/>
      <c r="O17" s="2716"/>
      <c r="P17" s="3706"/>
      <c r="Q17" s="1352" t="str">
        <f>B17</f>
        <v>交通便捷度</v>
      </c>
      <c r="R17" s="705" t="s">
        <v>18</v>
      </c>
      <c r="S17" s="706">
        <f>F17</f>
        <v>100</v>
      </c>
      <c r="T17" s="705" t="s">
        <v>18</v>
      </c>
      <c r="U17" s="706">
        <f>H17</f>
        <v>97</v>
      </c>
      <c r="V17" s="705" t="s">
        <v>18</v>
      </c>
      <c r="W17" s="706">
        <f>J17</f>
        <v>97</v>
      </c>
      <c r="X17" s="1355"/>
      <c r="Y17" s="3699"/>
      <c r="Z17" s="1356" t="str">
        <f>Q17</f>
        <v>交通便捷度</v>
      </c>
      <c r="AA17" s="1353">
        <f t="shared" si="3"/>
        <v>1</v>
      </c>
      <c r="AB17" s="1353">
        <f t="shared" si="4"/>
        <v>1.0309278350515463</v>
      </c>
      <c r="AC17" s="1353">
        <f t="shared" si="5"/>
        <v>1.0309278350515463</v>
      </c>
    </row>
    <row r="18" spans="1:29" ht="15">
      <c r="A18" s="379"/>
      <c r="B18" s="407"/>
      <c r="C18" s="1901" t="s">
        <v>3416</v>
      </c>
      <c r="D18" s="401"/>
      <c r="E18" s="1902" t="s">
        <v>3416</v>
      </c>
      <c r="F18" s="401"/>
      <c r="G18" s="1903" t="s">
        <v>3559</v>
      </c>
      <c r="H18" s="399"/>
      <c r="I18" s="1903" t="s">
        <v>3559</v>
      </c>
      <c r="J18" s="399"/>
      <c r="K18" s="1899"/>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6"/>
      <c r="Q19" s="1352" t="str">
        <f>B19</f>
        <v>公共配套设施</v>
      </c>
      <c r="R19" s="705" t="s">
        <v>18</v>
      </c>
      <c r="S19" s="706">
        <f>F19</f>
        <v>100</v>
      </c>
      <c r="T19" s="705" t="s">
        <v>18</v>
      </c>
      <c r="U19" s="706">
        <f>H19</f>
        <v>100</v>
      </c>
      <c r="V19" s="705" t="s">
        <v>18</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6"/>
      <c r="Q23" s="1352" t="str">
        <f>B23</f>
        <v>自然及人文环境</v>
      </c>
      <c r="R23" s="705" t="s">
        <v>18</v>
      </c>
      <c r="S23" s="706">
        <f>F23</f>
        <v>100</v>
      </c>
      <c r="T23" s="705" t="s">
        <v>18</v>
      </c>
      <c r="U23" s="706">
        <f>H23</f>
        <v>100</v>
      </c>
      <c r="V23" s="705" t="s">
        <v>18</v>
      </c>
      <c r="W23" s="706">
        <f>J23</f>
        <v>100</v>
      </c>
      <c r="X23" s="1355"/>
      <c r="Y23" s="369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6"/>
      <c r="Q24" s="1352"/>
      <c r="R24" s="705"/>
      <c r="S24" s="706"/>
      <c r="T24" s="705"/>
      <c r="U24" s="706"/>
      <c r="V24" s="705"/>
      <c r="W24" s="706"/>
      <c r="X24" s="1355"/>
      <c r="Y24" s="3699"/>
      <c r="Z24" s="1356"/>
      <c r="AA24" s="1353">
        <v>1</v>
      </c>
      <c r="AB24" s="1353">
        <v>1</v>
      </c>
      <c r="AC24" s="1353">
        <v>1</v>
      </c>
    </row>
    <row r="25" spans="1:29" ht="15" hidden="1">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9"/>
      <c r="Z25" s="1356" t="str">
        <f>Q25</f>
        <v>楼层-1</v>
      </c>
      <c r="AA25" s="1353">
        <f t="shared" ref="AA25:AA46" si="15">D25/F25</f>
        <v>1</v>
      </c>
      <c r="AB25" s="1353">
        <f t="shared" ref="AB25:AB46" si="16">D25/H25</f>
        <v>1</v>
      </c>
      <c r="AC25" s="1353">
        <f t="shared" ref="AC25:AC46" si="17">D25/J25</f>
        <v>1</v>
      </c>
    </row>
    <row r="26" spans="1:29" ht="15">
      <c r="A26" s="379"/>
      <c r="B26" s="375" t="s">
        <v>1693</v>
      </c>
      <c r="C26" s="411" t="s">
        <v>3414</v>
      </c>
      <c r="D26" s="386">
        <v>100</v>
      </c>
      <c r="E26" s="1906" t="s">
        <v>3414</v>
      </c>
      <c r="F26" s="386">
        <f>SUMIF(88:88,E26,89:89)-SUMIF(88:88,C26,89:89)+100</f>
        <v>100</v>
      </c>
      <c r="G26" s="1907" t="s">
        <v>3414</v>
      </c>
      <c r="H26" s="386">
        <f>SUMIF(88:88,G26,89:89)-SUMIF(88:88,C26,89:89)+100</f>
        <v>100</v>
      </c>
      <c r="I26" s="1907" t="s">
        <v>3414</v>
      </c>
      <c r="J26" s="386">
        <f>SUMIF(88:88,I26,89:89)-SUMIF(88:88,C26,89:89)+100</f>
        <v>100</v>
      </c>
      <c r="K26" s="377">
        <v>2</v>
      </c>
      <c r="L26" s="2722"/>
      <c r="M26" s="2716"/>
      <c r="N26" s="2716"/>
      <c r="O26" s="2716"/>
      <c r="P26" s="3706"/>
      <c r="Q26" s="1352" t="str">
        <f t="shared" si="11"/>
        <v>朝向</v>
      </c>
      <c r="R26" s="705" t="s">
        <v>18</v>
      </c>
      <c r="S26" s="706">
        <f t="shared" si="12"/>
        <v>100</v>
      </c>
      <c r="T26" s="705" t="s">
        <v>18</v>
      </c>
      <c r="U26" s="706">
        <f t="shared" si="13"/>
        <v>100</v>
      </c>
      <c r="V26" s="705" t="s">
        <v>18</v>
      </c>
      <c r="W26" s="706">
        <f t="shared" si="14"/>
        <v>100</v>
      </c>
      <c r="X26" s="1355"/>
      <c r="Y26" s="3699"/>
      <c r="Z26" s="1356" t="str">
        <f>Q26</f>
        <v>朝向</v>
      </c>
      <c r="AA26" s="1353">
        <f t="shared" si="15"/>
        <v>1</v>
      </c>
      <c r="AB26" s="1353">
        <f t="shared" si="16"/>
        <v>1</v>
      </c>
      <c r="AC26" s="1353">
        <f t="shared" si="17"/>
        <v>1</v>
      </c>
    </row>
    <row r="27" spans="1:29" s="108" customFormat="1" ht="15">
      <c r="A27" s="382"/>
      <c r="B27" s="3450" t="s">
        <v>3398</v>
      </c>
      <c r="C27" s="383"/>
      <c r="D27" s="413">
        <v>100</v>
      </c>
      <c r="E27" s="383"/>
      <c r="F27" s="413">
        <f>SUMIF(90:90,E27,91:91)-SUMIF(90:90,C27,91:91)+100</f>
        <v>100</v>
      </c>
      <c r="G27" s="1960"/>
      <c r="H27" s="413">
        <f>SUMIF(90:90,G27,91:91)-SUMIF(90:90,C27,91:91)+100</f>
        <v>100</v>
      </c>
      <c r="I27" s="1960"/>
      <c r="J27" s="413">
        <f>SUMIF(90:90,I27,91:91)-SUMIF(90:90,C27,91:91)+100</f>
        <v>100</v>
      </c>
      <c r="K27" s="1894"/>
      <c r="L27" s="2717"/>
      <c r="M27" s="2718"/>
      <c r="N27" s="2718"/>
      <c r="O27" s="2718"/>
      <c r="P27" s="3706"/>
      <c r="Q27" s="1343" t="str">
        <f t="shared" si="11"/>
        <v>楼层</v>
      </c>
      <c r="R27" s="701" t="s">
        <v>18</v>
      </c>
      <c r="S27" s="702">
        <f t="shared" si="12"/>
        <v>100</v>
      </c>
      <c r="T27" s="701" t="s">
        <v>18</v>
      </c>
      <c r="U27" s="702">
        <f t="shared" si="13"/>
        <v>100</v>
      </c>
      <c r="V27" s="701" t="s">
        <v>18</v>
      </c>
      <c r="W27" s="702">
        <f t="shared" si="14"/>
        <v>100</v>
      </c>
      <c r="X27" s="703"/>
      <c r="Y27" s="3699"/>
      <c r="Z27" s="52" t="str">
        <f>Q27</f>
        <v>楼层</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6"/>
      <c r="Q28" s="1352">
        <f t="shared" si="11"/>
        <v>111</v>
      </c>
      <c r="R28" s="705" t="s">
        <v>18</v>
      </c>
      <c r="S28" s="706">
        <f t="shared" si="12"/>
        <v>100</v>
      </c>
      <c r="T28" s="705" t="s">
        <v>18</v>
      </c>
      <c r="U28" s="706">
        <f t="shared" si="13"/>
        <v>100</v>
      </c>
      <c r="V28" s="705" t="s">
        <v>18</v>
      </c>
      <c r="W28" s="706">
        <f t="shared" si="14"/>
        <v>100</v>
      </c>
      <c r="X28" s="1355"/>
      <c r="Y28" s="369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6"/>
      <c r="Q29" s="1352">
        <f t="shared" si="11"/>
        <v>111</v>
      </c>
      <c r="R29" s="705" t="s">
        <v>18</v>
      </c>
      <c r="S29" s="706">
        <f t="shared" si="12"/>
        <v>100</v>
      </c>
      <c r="T29" s="705" t="s">
        <v>18</v>
      </c>
      <c r="U29" s="706">
        <f t="shared" si="13"/>
        <v>100</v>
      </c>
      <c r="V29" s="705" t="s">
        <v>18</v>
      </c>
      <c r="W29" s="706">
        <f t="shared" si="14"/>
        <v>100</v>
      </c>
      <c r="X29" s="1355"/>
      <c r="Y29" s="369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6"/>
      <c r="Q30" s="1352">
        <f t="shared" si="11"/>
        <v>111</v>
      </c>
      <c r="R30" s="705" t="s">
        <v>18</v>
      </c>
      <c r="S30" s="706">
        <f t="shared" si="12"/>
        <v>100</v>
      </c>
      <c r="T30" s="705" t="s">
        <v>18</v>
      </c>
      <c r="U30" s="706">
        <f t="shared" si="13"/>
        <v>100</v>
      </c>
      <c r="V30" s="705" t="s">
        <v>18</v>
      </c>
      <c r="W30" s="706">
        <f t="shared" si="14"/>
        <v>100</v>
      </c>
      <c r="X30" s="1355"/>
      <c r="Y30" s="3699"/>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6"/>
      <c r="Q31" s="1352">
        <f t="shared" si="11"/>
        <v>111</v>
      </c>
      <c r="R31" s="705" t="s">
        <v>18</v>
      </c>
      <c r="S31" s="706">
        <f t="shared" si="12"/>
        <v>100</v>
      </c>
      <c r="T31" s="705" t="s">
        <v>18</v>
      </c>
      <c r="U31" s="706">
        <f t="shared" si="13"/>
        <v>100</v>
      </c>
      <c r="V31" s="705" t="s">
        <v>18</v>
      </c>
      <c r="W31" s="706">
        <f t="shared" si="14"/>
        <v>100</v>
      </c>
      <c r="X31" s="1355"/>
      <c r="Y31" s="3699"/>
      <c r="Z31" s="1356">
        <f t="shared" si="18"/>
        <v>111</v>
      </c>
      <c r="AA31" s="1353">
        <f t="shared" si="15"/>
        <v>1</v>
      </c>
      <c r="AB31" s="1353">
        <f t="shared" si="16"/>
        <v>1</v>
      </c>
      <c r="AC31" s="1353">
        <f t="shared" si="17"/>
        <v>1</v>
      </c>
    </row>
    <row r="32" spans="1:29" ht="15">
      <c r="A32" s="391" t="s">
        <v>1694</v>
      </c>
      <c r="B32" s="63" t="s">
        <v>1695</v>
      </c>
      <c r="C32" s="1910" t="s">
        <v>3406</v>
      </c>
      <c r="D32" s="418">
        <v>100</v>
      </c>
      <c r="E32" s="1911" t="s">
        <v>3560</v>
      </c>
      <c r="F32" s="412">
        <f>SUMIF(100:100,E32,101:101)-SUMIF(100:100,C32,101:101)+100</f>
        <v>101.5</v>
      </c>
      <c r="G32" s="1910" t="s">
        <v>3560</v>
      </c>
      <c r="H32" s="418">
        <f>SUMIF(100:100,G32,101:101)-SUMIF(100:100,C32,101:101)+100</f>
        <v>101.5</v>
      </c>
      <c r="I32" s="1911" t="s">
        <v>3560</v>
      </c>
      <c r="J32" s="386">
        <f>SUMIF(100:100,I32,101:101)-SUMIF(100:100,C32,101:101)+100</f>
        <v>101.5</v>
      </c>
      <c r="K32" s="377">
        <v>1.5</v>
      </c>
      <c r="L32" s="2722"/>
      <c r="M32" s="2716"/>
      <c r="N32" s="2716"/>
      <c r="O32" s="2716"/>
      <c r="P32" s="3700" t="s">
        <v>1696</v>
      </c>
      <c r="Q32" s="1352" t="str">
        <f t="shared" si="11"/>
        <v>建筑类型</v>
      </c>
      <c r="R32" s="705" t="s">
        <v>18</v>
      </c>
      <c r="S32" s="706">
        <f t="shared" si="12"/>
        <v>101.5</v>
      </c>
      <c r="T32" s="705" t="s">
        <v>18</v>
      </c>
      <c r="U32" s="706">
        <f t="shared" si="13"/>
        <v>101.5</v>
      </c>
      <c r="V32" s="705" t="s">
        <v>18</v>
      </c>
      <c r="W32" s="706">
        <f t="shared" si="14"/>
        <v>101.5</v>
      </c>
      <c r="X32" s="1355"/>
      <c r="Y32" s="3703" t="s">
        <v>1696</v>
      </c>
      <c r="Z32" s="1356" t="str">
        <f t="shared" si="18"/>
        <v>建筑类型</v>
      </c>
      <c r="AA32" s="1353">
        <f t="shared" si="15"/>
        <v>0.98522167487684731</v>
      </c>
      <c r="AB32" s="1353">
        <f t="shared" si="16"/>
        <v>0.98522167487684731</v>
      </c>
      <c r="AC32" s="1353">
        <f t="shared" si="17"/>
        <v>0.98522167487684731</v>
      </c>
    </row>
    <row r="33" spans="1:29" s="422" customFormat="1" ht="15">
      <c r="A33" s="419"/>
      <c r="B33" s="375" t="s">
        <v>1697</v>
      </c>
      <c r="C33" s="420">
        <f>'数据-汇总表'!F19</f>
        <v>275.64999999999998</v>
      </c>
      <c r="D33" s="127">
        <v>100</v>
      </c>
      <c r="E33" s="381">
        <v>191</v>
      </c>
      <c r="F33" s="376">
        <f>LOOKUP(E33,103:103,104:104)-LOOKUP(C33,103:103,104:104)+100</f>
        <v>102</v>
      </c>
      <c r="G33" s="380">
        <v>201.52</v>
      </c>
      <c r="H33" s="127">
        <f>LOOKUP(G33,103:103,104:104)-LOOKUP(C33,103:103,104:104)+100</f>
        <v>102</v>
      </c>
      <c r="I33" s="381">
        <v>265.55</v>
      </c>
      <c r="J33" s="386">
        <f>LOOKUP(I33,103:103,104:104)-LOOKUP(C33,103:103,104:104)+100</f>
        <v>100</v>
      </c>
      <c r="K33" s="1894"/>
      <c r="L33" s="2721"/>
      <c r="M33" s="2723"/>
      <c r="N33" s="2723"/>
      <c r="O33" s="2723"/>
      <c r="P33" s="3701"/>
      <c r="Q33" s="707" t="str">
        <f t="shared" si="11"/>
        <v>项目建筑规模</v>
      </c>
      <c r="R33" s="708" t="s">
        <v>18</v>
      </c>
      <c r="S33" s="709">
        <f t="shared" si="12"/>
        <v>102</v>
      </c>
      <c r="T33" s="708" t="s">
        <v>18</v>
      </c>
      <c r="U33" s="709">
        <f t="shared" si="13"/>
        <v>102</v>
      </c>
      <c r="V33" s="708" t="s">
        <v>18</v>
      </c>
      <c r="W33" s="709">
        <f t="shared" si="14"/>
        <v>100</v>
      </c>
      <c r="X33" s="710"/>
      <c r="Y33" s="3703"/>
      <c r="Z33" s="711" t="str">
        <f t="shared" si="18"/>
        <v>项目建筑规模</v>
      </c>
      <c r="AA33" s="1353">
        <f t="shared" si="15"/>
        <v>0.98039215686274506</v>
      </c>
      <c r="AB33" s="1353">
        <f t="shared" si="16"/>
        <v>0.98039215686274506</v>
      </c>
      <c r="AC33" s="1353">
        <f t="shared" si="17"/>
        <v>1</v>
      </c>
    </row>
    <row r="34" spans="1:29" ht="15">
      <c r="A34" s="423"/>
      <c r="B34" s="375" t="s">
        <v>1698</v>
      </c>
      <c r="C34" s="1912" t="s">
        <v>3399</v>
      </c>
      <c r="D34" s="386">
        <v>100</v>
      </c>
      <c r="E34" s="1913" t="s">
        <v>3399</v>
      </c>
      <c r="F34" s="412">
        <f>SUMIF(105:105,E34,106:106)-SUMIF(105:105,C34,106:106)+100</f>
        <v>100</v>
      </c>
      <c r="G34" s="1912" t="s">
        <v>3399</v>
      </c>
      <c r="H34" s="386">
        <f>SUMIF(105:105,G34,106:106)-SUMIF(105:105,C34,106:106)+100</f>
        <v>100</v>
      </c>
      <c r="I34" s="1913" t="s">
        <v>3399</v>
      </c>
      <c r="J34" s="386">
        <f>SUMIF(105:105,I34,106:106)-SUMIF(105:105,C34,106:106)+100</f>
        <v>100</v>
      </c>
      <c r="K34" s="377"/>
      <c r="L34" s="2722"/>
      <c r="M34" s="2716"/>
      <c r="N34" s="2716"/>
      <c r="O34" s="2716"/>
      <c r="P34" s="3701"/>
      <c r="Q34" s="1352" t="str">
        <f t="shared" si="11"/>
        <v>建筑结构</v>
      </c>
      <c r="R34" s="705" t="s">
        <v>18</v>
      </c>
      <c r="S34" s="706">
        <f t="shared" si="12"/>
        <v>100</v>
      </c>
      <c r="T34" s="705" t="s">
        <v>18</v>
      </c>
      <c r="U34" s="706">
        <f t="shared" si="13"/>
        <v>100</v>
      </c>
      <c r="V34" s="705" t="s">
        <v>18</v>
      </c>
      <c r="W34" s="706">
        <f t="shared" si="14"/>
        <v>100</v>
      </c>
      <c r="X34" s="1355"/>
      <c r="Y34" s="370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1"/>
      <c r="Q35" s="1352" t="str">
        <f t="shared" si="11"/>
        <v>建筑品质</v>
      </c>
      <c r="R35" s="705" t="s">
        <v>18</v>
      </c>
      <c r="S35" s="706">
        <f t="shared" si="12"/>
        <v>100</v>
      </c>
      <c r="T35" s="705" t="s">
        <v>18</v>
      </c>
      <c r="U35" s="706">
        <f t="shared" si="13"/>
        <v>100</v>
      </c>
      <c r="V35" s="705" t="s">
        <v>18</v>
      </c>
      <c r="W35" s="706">
        <f t="shared" si="14"/>
        <v>100</v>
      </c>
      <c r="X35" s="1355"/>
      <c r="Y35" s="3703"/>
      <c r="Z35" s="1356" t="str">
        <f t="shared" si="18"/>
        <v>建筑品质</v>
      </c>
      <c r="AA35" s="1353">
        <f t="shared" si="15"/>
        <v>1</v>
      </c>
      <c r="AB35" s="1353">
        <f t="shared" si="16"/>
        <v>1</v>
      </c>
      <c r="AC35" s="1353">
        <f t="shared" si="17"/>
        <v>1</v>
      </c>
    </row>
    <row r="36" spans="1:29" ht="15">
      <c r="A36" s="423"/>
      <c r="B36" s="375" t="s">
        <v>1700</v>
      </c>
      <c r="C36" s="1906" t="s">
        <v>3404</v>
      </c>
      <c r="D36" s="386">
        <v>100</v>
      </c>
      <c r="E36" s="1907" t="s">
        <v>3404</v>
      </c>
      <c r="F36" s="412">
        <f>SUMIF(109:109,E36,110:110)-SUMIF(109:109,C36,110:110)+100</f>
        <v>100</v>
      </c>
      <c r="G36" s="1906" t="s">
        <v>3404</v>
      </c>
      <c r="H36" s="386">
        <f>SUMIF(109:109,G36,110:110)-SUMIF(109:109,C36,110:110)+100</f>
        <v>100</v>
      </c>
      <c r="I36" s="1907" t="s">
        <v>3404</v>
      </c>
      <c r="J36" s="386">
        <f>SUMIF(109:109,I36,110:110)-SUMIF(109:109,C36,110:110)+100</f>
        <v>100</v>
      </c>
      <c r="K36" s="377"/>
      <c r="L36" s="2722"/>
      <c r="M36" s="2716"/>
      <c r="N36" s="2716"/>
      <c r="O36" s="2716"/>
      <c r="P36" s="3701"/>
      <c r="Q36" s="1352" t="str">
        <f t="shared" si="11"/>
        <v>公共部分装修</v>
      </c>
      <c r="R36" s="705" t="s">
        <v>18</v>
      </c>
      <c r="S36" s="706">
        <f t="shared" si="12"/>
        <v>100</v>
      </c>
      <c r="T36" s="705" t="s">
        <v>18</v>
      </c>
      <c r="U36" s="706">
        <f t="shared" si="13"/>
        <v>100</v>
      </c>
      <c r="V36" s="705" t="s">
        <v>18</v>
      </c>
      <c r="W36" s="706">
        <f t="shared" si="14"/>
        <v>100</v>
      </c>
      <c r="X36" s="1355"/>
      <c r="Y36" s="3703"/>
      <c r="Z36" s="1356" t="str">
        <f t="shared" si="18"/>
        <v>公共部分装修</v>
      </c>
      <c r="AA36" s="1353">
        <f t="shared" si="15"/>
        <v>1</v>
      </c>
      <c r="AB36" s="1353">
        <f t="shared" si="16"/>
        <v>1</v>
      </c>
      <c r="AC36" s="1353">
        <f t="shared" si="17"/>
        <v>1</v>
      </c>
    </row>
    <row r="37" spans="1:29" s="108" customFormat="1" ht="15" hidden="1">
      <c r="A37" s="424"/>
      <c r="B37" s="375" t="s">
        <v>1701</v>
      </c>
      <c r="C37" s="3457">
        <v>0.95</v>
      </c>
      <c r="D37" s="3456">
        <v>100</v>
      </c>
      <c r="E37" s="3457">
        <v>0.95</v>
      </c>
      <c r="F37" s="3458">
        <f>LOOKUP(E37,112:112,113:113)-LOOKUP(C37,112:112,113:113)+100</f>
        <v>100</v>
      </c>
      <c r="G37" s="3459">
        <f>C37</f>
        <v>0.95</v>
      </c>
      <c r="H37" s="3456">
        <f>LOOKUP(G37,112:112,113:113)-LOOKUP(C37,112:112,113:113)+100</f>
        <v>100</v>
      </c>
      <c r="I37" s="3460">
        <f>C37</f>
        <v>0.95</v>
      </c>
      <c r="J37" s="127">
        <f>LOOKUP(I37,112:112,113:113)-LOOKUP(C37,112:112,113:113)+100</f>
        <v>100</v>
      </c>
      <c r="K37" s="377"/>
      <c r="L37" s="2717"/>
      <c r="M37" s="2718"/>
      <c r="N37" s="2718"/>
      <c r="O37" s="2718"/>
      <c r="P37" s="3701"/>
      <c r="Q37" s="1343" t="str">
        <f t="shared" si="11"/>
        <v>成新度</v>
      </c>
      <c r="R37" s="701" t="s">
        <v>18</v>
      </c>
      <c r="S37" s="702">
        <f t="shared" si="12"/>
        <v>100</v>
      </c>
      <c r="T37" s="701" t="s">
        <v>18</v>
      </c>
      <c r="U37" s="702">
        <f t="shared" si="13"/>
        <v>100</v>
      </c>
      <c r="V37" s="701" t="s">
        <v>18</v>
      </c>
      <c r="W37" s="702">
        <f t="shared" si="14"/>
        <v>100</v>
      </c>
      <c r="X37" s="703"/>
      <c r="Y37" s="3703"/>
      <c r="Z37" s="52" t="str">
        <f t="shared" si="18"/>
        <v>成新度</v>
      </c>
      <c r="AA37" s="704">
        <f t="shared" si="15"/>
        <v>1</v>
      </c>
      <c r="AB37" s="704">
        <f t="shared" si="16"/>
        <v>1</v>
      </c>
      <c r="AC37" s="704">
        <f t="shared" si="17"/>
        <v>1</v>
      </c>
    </row>
    <row r="38" spans="1:29" ht="15">
      <c r="A38" s="423"/>
      <c r="B38" s="375" t="s">
        <v>1702</v>
      </c>
      <c r="C38" s="1906" t="s">
        <v>3417</v>
      </c>
      <c r="D38" s="386">
        <v>100</v>
      </c>
      <c r="E38" s="1907" t="s">
        <v>3417</v>
      </c>
      <c r="F38" s="412">
        <f>SUMIF(114:114,E38,115:115)-SUMIF(114:114,C38,115:115)+100</f>
        <v>100</v>
      </c>
      <c r="G38" s="1906" t="s">
        <v>3417</v>
      </c>
      <c r="H38" s="386">
        <f>SUMIF(114:114,G38,115:115)-SUMIF(114:114,C38,115:115)+100</f>
        <v>100</v>
      </c>
      <c r="I38" s="1907" t="s">
        <v>3417</v>
      </c>
      <c r="J38" s="386">
        <f>SUMIF(114:114,I38,115:115)-SUMIF(114:114,C38,115:115)+100</f>
        <v>100</v>
      </c>
      <c r="K38" s="377"/>
      <c r="L38" s="2722"/>
      <c r="M38" s="2716"/>
      <c r="N38" s="2716"/>
      <c r="O38" s="2716"/>
      <c r="P38" s="3701" t="s">
        <v>1696</v>
      </c>
      <c r="Q38" s="1352" t="str">
        <f t="shared" si="11"/>
        <v>物业管理</v>
      </c>
      <c r="R38" s="705" t="s">
        <v>18</v>
      </c>
      <c r="S38" s="706">
        <f t="shared" si="12"/>
        <v>100</v>
      </c>
      <c r="T38" s="705" t="s">
        <v>18</v>
      </c>
      <c r="U38" s="706">
        <f t="shared" si="13"/>
        <v>100</v>
      </c>
      <c r="V38" s="705" t="s">
        <v>18</v>
      </c>
      <c r="W38" s="706">
        <f t="shared" si="14"/>
        <v>100</v>
      </c>
      <c r="X38" s="1355"/>
      <c r="Y38" s="3703" t="s">
        <v>1696</v>
      </c>
      <c r="Z38" s="1356" t="str">
        <f t="shared" si="18"/>
        <v>物业管理</v>
      </c>
      <c r="AA38" s="1353">
        <f t="shared" si="15"/>
        <v>1</v>
      </c>
      <c r="AB38" s="1353">
        <f t="shared" si="16"/>
        <v>1</v>
      </c>
      <c r="AC38" s="1353">
        <f t="shared" si="17"/>
        <v>1</v>
      </c>
    </row>
    <row r="39" spans="1:29" ht="15">
      <c r="A39" s="423"/>
      <c r="B39" s="375" t="s">
        <v>1703</v>
      </c>
      <c r="C39" s="1906" t="s">
        <v>3408</v>
      </c>
      <c r="D39" s="386">
        <v>100</v>
      </c>
      <c r="E39" s="1907" t="s">
        <v>3408</v>
      </c>
      <c r="F39" s="412">
        <f>SUMIF(116:116,E39,117:117)-SUMIF(116:116,C39,117:117)+100</f>
        <v>100</v>
      </c>
      <c r="G39" s="1906" t="s">
        <v>3408</v>
      </c>
      <c r="H39" s="386">
        <f>SUMIF(116:116,G39,117:117)-SUMIF(116:116,C39,117:117)+100</f>
        <v>100</v>
      </c>
      <c r="I39" s="1907" t="s">
        <v>3408</v>
      </c>
      <c r="J39" s="386">
        <f>SUMIF(116:116,I39,117:117)-SUMIF(116:116,C39,117:117)+100</f>
        <v>100</v>
      </c>
      <c r="K39" s="377"/>
      <c r="L39" s="2722"/>
      <c r="M39" s="2716"/>
      <c r="N39" s="2716"/>
      <c r="O39" s="2716"/>
      <c r="P39" s="3701"/>
      <c r="Q39" s="1352" t="str">
        <f t="shared" si="11"/>
        <v>市政基础设施</v>
      </c>
      <c r="R39" s="705" t="s">
        <v>18</v>
      </c>
      <c r="S39" s="706">
        <f t="shared" si="12"/>
        <v>100</v>
      </c>
      <c r="T39" s="705" t="s">
        <v>18</v>
      </c>
      <c r="U39" s="706">
        <f t="shared" si="13"/>
        <v>100</v>
      </c>
      <c r="V39" s="705" t="s">
        <v>18</v>
      </c>
      <c r="W39" s="706">
        <f t="shared" si="14"/>
        <v>100</v>
      </c>
      <c r="X39" s="1355"/>
      <c r="Y39" s="3703"/>
      <c r="Z39" s="1356" t="str">
        <f t="shared" si="18"/>
        <v>市政基础设施</v>
      </c>
      <c r="AA39" s="1353">
        <f t="shared" si="15"/>
        <v>1</v>
      </c>
      <c r="AB39" s="1353">
        <f t="shared" si="16"/>
        <v>1</v>
      </c>
      <c r="AC39" s="1353">
        <f t="shared" si="17"/>
        <v>1</v>
      </c>
    </row>
    <row r="40" spans="1:29" ht="15">
      <c r="A40" s="423"/>
      <c r="B40" s="375" t="s">
        <v>1704</v>
      </c>
      <c r="C40" s="1906" t="s">
        <v>3410</v>
      </c>
      <c r="D40" s="386">
        <v>100</v>
      </c>
      <c r="E40" s="1907" t="s">
        <v>3410</v>
      </c>
      <c r="F40" s="412">
        <f>SUMIF(118:118,E40,119:119)-SUMIF(118:118,C40,119:119)+100</f>
        <v>100</v>
      </c>
      <c r="G40" s="1906" t="s">
        <v>3410</v>
      </c>
      <c r="H40" s="386">
        <f>SUMIF(118:118,G40,119:119)-SUMIF(118:118,C40,119:119)+100</f>
        <v>100</v>
      </c>
      <c r="I40" s="1907" t="s">
        <v>3410</v>
      </c>
      <c r="J40" s="386">
        <f>SUMIF(118:118,I40,119:119)-SUMIF(118:118,C40,119:119)+100</f>
        <v>100</v>
      </c>
      <c r="K40" s="377"/>
      <c r="L40" s="2722"/>
      <c r="M40" s="2716"/>
      <c r="N40" s="2716"/>
      <c r="O40" s="2716"/>
      <c r="P40" s="3701"/>
      <c r="Q40" s="1352" t="str">
        <f t="shared" si="11"/>
        <v>房型</v>
      </c>
      <c r="R40" s="705" t="s">
        <v>18</v>
      </c>
      <c r="S40" s="706">
        <f t="shared" si="12"/>
        <v>100</v>
      </c>
      <c r="T40" s="705" t="s">
        <v>18</v>
      </c>
      <c r="U40" s="706">
        <f t="shared" si="13"/>
        <v>100</v>
      </c>
      <c r="V40" s="705" t="s">
        <v>18</v>
      </c>
      <c r="W40" s="706">
        <f t="shared" si="14"/>
        <v>100</v>
      </c>
      <c r="X40" s="1355"/>
      <c r="Y40" s="3703"/>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1"/>
      <c r="Q41" s="707" t="str">
        <f t="shared" si="11"/>
        <v>单套/主力户型建筑面积</v>
      </c>
      <c r="R41" s="708" t="s">
        <v>18</v>
      </c>
      <c r="S41" s="709">
        <f t="shared" si="12"/>
        <v>100</v>
      </c>
      <c r="T41" s="708" t="s">
        <v>18</v>
      </c>
      <c r="U41" s="709">
        <f t="shared" si="13"/>
        <v>100</v>
      </c>
      <c r="V41" s="708" t="s">
        <v>18</v>
      </c>
      <c r="W41" s="709">
        <f t="shared" si="14"/>
        <v>100</v>
      </c>
      <c r="X41" s="710"/>
      <c r="Y41" s="3703"/>
      <c r="Z41" s="711" t="str">
        <f t="shared" si="18"/>
        <v>单套/主力户型建筑面积</v>
      </c>
      <c r="AA41" s="1353">
        <f t="shared" si="15"/>
        <v>1</v>
      </c>
      <c r="AB41" s="1353">
        <f t="shared" si="16"/>
        <v>1</v>
      </c>
      <c r="AC41" s="1353">
        <f t="shared" si="17"/>
        <v>1</v>
      </c>
    </row>
    <row r="42" spans="1:29" ht="15">
      <c r="A42" s="423"/>
      <c r="B42" s="375" t="s">
        <v>1706</v>
      </c>
      <c r="C42" s="1906" t="s">
        <v>3567</v>
      </c>
      <c r="D42" s="386">
        <v>100</v>
      </c>
      <c r="E42" s="1907" t="s">
        <v>3404</v>
      </c>
      <c r="F42" s="412">
        <f>SUMIF(122:122,E42,123:123)-SUMIF(122:122,C42,123:123)+100</f>
        <v>104</v>
      </c>
      <c r="G42" s="1906" t="s">
        <v>3404</v>
      </c>
      <c r="H42" s="386">
        <f>SUMIF(122:122,G42,123:123)-SUMIF(122:122,C42,123:123)+100</f>
        <v>104</v>
      </c>
      <c r="I42" s="1907" t="s">
        <v>3404</v>
      </c>
      <c r="J42" s="386">
        <f>SUMIF(122:122,I42,123:123)-SUMIF(122:122,C42,123:123)+100</f>
        <v>104</v>
      </c>
      <c r="K42" s="377">
        <v>2</v>
      </c>
      <c r="L42" s="2722"/>
      <c r="M42" s="2716"/>
      <c r="N42" s="2716"/>
      <c r="O42" s="2716"/>
      <c r="P42" s="3701"/>
      <c r="Q42" s="1352" t="str">
        <f t="shared" si="11"/>
        <v>内部装修</v>
      </c>
      <c r="R42" s="705" t="s">
        <v>18</v>
      </c>
      <c r="S42" s="706">
        <f t="shared" si="12"/>
        <v>104</v>
      </c>
      <c r="T42" s="705" t="s">
        <v>18</v>
      </c>
      <c r="U42" s="706">
        <f t="shared" si="13"/>
        <v>104</v>
      </c>
      <c r="V42" s="705" t="s">
        <v>18</v>
      </c>
      <c r="W42" s="706">
        <f t="shared" si="14"/>
        <v>104</v>
      </c>
      <c r="X42" s="1355"/>
      <c r="Y42" s="3703"/>
      <c r="Z42" s="1356" t="str">
        <f t="shared" si="18"/>
        <v>内部装修</v>
      </c>
      <c r="AA42" s="1353">
        <f t="shared" si="15"/>
        <v>0.96153846153846156</v>
      </c>
      <c r="AB42" s="1353">
        <f t="shared" si="16"/>
        <v>0.96153846153846156</v>
      </c>
      <c r="AC42" s="1353">
        <f t="shared" si="17"/>
        <v>0.96153846153846156</v>
      </c>
    </row>
    <row r="43" spans="1:29" ht="28.8">
      <c r="A43" s="423"/>
      <c r="B43" s="375" t="s">
        <v>1707</v>
      </c>
      <c r="C43" s="1906" t="s">
        <v>3416</v>
      </c>
      <c r="D43" s="386">
        <v>100</v>
      </c>
      <c r="E43" s="1907" t="s">
        <v>3416</v>
      </c>
      <c r="F43" s="412">
        <f>SUMIF(124:124,E43,125:125)-SUMIF(124:124,C43,125:125)+100</f>
        <v>100</v>
      </c>
      <c r="G43" s="1906" t="s">
        <v>3416</v>
      </c>
      <c r="H43" s="386">
        <f>SUMIF(124:124,G43,125:125)-SUMIF(124:124,C43,125:125)+100</f>
        <v>100</v>
      </c>
      <c r="I43" s="1907" t="s">
        <v>3416</v>
      </c>
      <c r="J43" s="386">
        <f>SUMIF(124:124,I43,125:125)-SUMIF(124:124,C43,125:125)+100</f>
        <v>100</v>
      </c>
      <c r="K43" s="377"/>
      <c r="L43" s="2722"/>
      <c r="M43" s="2716"/>
      <c r="N43" s="2716"/>
      <c r="O43" s="2716"/>
      <c r="P43" s="3701"/>
      <c r="Q43" s="1352" t="str">
        <f t="shared" si="11"/>
        <v>内部装修维护情况</v>
      </c>
      <c r="R43" s="705" t="s">
        <v>18</v>
      </c>
      <c r="S43" s="706">
        <f t="shared" si="12"/>
        <v>100</v>
      </c>
      <c r="T43" s="705" t="s">
        <v>18</v>
      </c>
      <c r="U43" s="706">
        <f t="shared" si="13"/>
        <v>100</v>
      </c>
      <c r="V43" s="705" t="s">
        <v>18</v>
      </c>
      <c r="W43" s="706">
        <f t="shared" si="14"/>
        <v>100</v>
      </c>
      <c r="X43" s="1355"/>
      <c r="Y43" s="3703"/>
      <c r="Z43" s="1356" t="str">
        <f t="shared" si="18"/>
        <v>内部装修维护情况</v>
      </c>
      <c r="AA43" s="1353">
        <f t="shared" si="15"/>
        <v>1</v>
      </c>
      <c r="AB43" s="1353">
        <f t="shared" si="16"/>
        <v>1</v>
      </c>
      <c r="AC43" s="1353">
        <f t="shared" si="17"/>
        <v>1</v>
      </c>
    </row>
    <row r="44" spans="1:29" s="108" customFormat="1" ht="15">
      <c r="A44" s="424"/>
      <c r="B44" s="3450" t="s">
        <v>3415</v>
      </c>
      <c r="C44" s="420">
        <v>2013</v>
      </c>
      <c r="D44" s="127">
        <v>100</v>
      </c>
      <c r="E44" s="420">
        <v>2002</v>
      </c>
      <c r="F44" s="376">
        <f>SUMIF(126:126,E44,127:127)-SUMIF(126:126,C44,127:127)+100</f>
        <v>98</v>
      </c>
      <c r="G44" s="420">
        <v>2008</v>
      </c>
      <c r="H44" s="127">
        <f>SUMIF(126:126,G44,127:127)-SUMIF(126:126,C44,127:127)+100</f>
        <v>99</v>
      </c>
      <c r="I44" s="420">
        <v>2007</v>
      </c>
      <c r="J44" s="127">
        <f>SUMIF(126:126,I44,127:127)-SUMIF(126:126,C44,127:127)+100</f>
        <v>99</v>
      </c>
      <c r="K44" s="1894"/>
      <c r="L44" s="2717"/>
      <c r="M44" s="2718"/>
      <c r="N44" s="2718"/>
      <c r="O44" s="2718"/>
      <c r="P44" s="3701"/>
      <c r="Q44" s="1343" t="str">
        <f t="shared" si="11"/>
        <v>建成年代</v>
      </c>
      <c r="R44" s="701" t="s">
        <v>18</v>
      </c>
      <c r="S44" s="702">
        <f t="shared" si="12"/>
        <v>98</v>
      </c>
      <c r="T44" s="701" t="s">
        <v>18</v>
      </c>
      <c r="U44" s="702">
        <f t="shared" si="13"/>
        <v>99</v>
      </c>
      <c r="V44" s="701" t="s">
        <v>18</v>
      </c>
      <c r="W44" s="702">
        <f t="shared" si="14"/>
        <v>99</v>
      </c>
      <c r="X44" s="703"/>
      <c r="Y44" s="3703"/>
      <c r="Z44" s="52" t="str">
        <f t="shared" si="18"/>
        <v>建成年代</v>
      </c>
      <c r="AA44" s="704">
        <f t="shared" si="15"/>
        <v>1.0204081632653061</v>
      </c>
      <c r="AB44" s="704">
        <f t="shared" si="16"/>
        <v>1.0101010101010102</v>
      </c>
      <c r="AC44" s="704">
        <f t="shared" si="17"/>
        <v>1.0101010101010102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1"/>
      <c r="Q45" s="1352">
        <f t="shared" si="11"/>
        <v>111</v>
      </c>
      <c r="R45" s="705" t="s">
        <v>18</v>
      </c>
      <c r="S45" s="706">
        <f t="shared" si="12"/>
        <v>100</v>
      </c>
      <c r="T45" s="705" t="s">
        <v>18</v>
      </c>
      <c r="U45" s="706">
        <f t="shared" si="13"/>
        <v>100</v>
      </c>
      <c r="V45" s="705" t="s">
        <v>18</v>
      </c>
      <c r="W45" s="706">
        <f t="shared" si="14"/>
        <v>100</v>
      </c>
      <c r="X45" s="1355"/>
      <c r="Y45" s="3703"/>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2"/>
      <c r="Q46" s="1352">
        <f t="shared" si="11"/>
        <v>111</v>
      </c>
      <c r="R46" s="705" t="s">
        <v>17</v>
      </c>
      <c r="S46" s="706">
        <f t="shared" si="12"/>
        <v>100</v>
      </c>
      <c r="T46" s="705" t="s">
        <v>17</v>
      </c>
      <c r="U46" s="706">
        <f t="shared" si="13"/>
        <v>100</v>
      </c>
      <c r="V46" s="705" t="s">
        <v>17</v>
      </c>
      <c r="W46" s="706">
        <f t="shared" si="14"/>
        <v>100</v>
      </c>
      <c r="X46" s="1355"/>
      <c r="Y46" s="3704"/>
      <c r="Z46" s="1356">
        <f t="shared" si="18"/>
        <v>111</v>
      </c>
      <c r="AA46" s="1353">
        <f t="shared" si="15"/>
        <v>1</v>
      </c>
      <c r="AB46" s="1353">
        <f t="shared" si="16"/>
        <v>1</v>
      </c>
      <c r="AC46" s="1353">
        <f t="shared" si="17"/>
        <v>1</v>
      </c>
    </row>
    <row r="47" spans="1:29" ht="14.4">
      <c r="A47" s="430" t="s">
        <v>1708</v>
      </c>
      <c r="B47" s="431"/>
      <c r="C47" s="1154" t="s">
        <v>16</v>
      </c>
      <c r="D47" s="1155"/>
      <c r="E47" s="1156">
        <f>案例!$S$5</f>
        <v>40109</v>
      </c>
      <c r="F47" s="1157"/>
      <c r="G47" s="1158">
        <f>案例!$S$23</f>
        <v>45833</v>
      </c>
      <c r="H47" s="1159"/>
      <c r="I47" s="1156">
        <f>案例!$S$30</f>
        <v>42339</v>
      </c>
      <c r="J47" s="1159"/>
      <c r="K47" s="1914"/>
      <c r="L47" s="2724"/>
      <c r="M47" s="2725"/>
      <c r="N47" s="2716"/>
      <c r="O47" s="2725"/>
      <c r="P47" s="3696" t="str">
        <f>A47</f>
        <v>成交单价（元/平方米）</v>
      </c>
      <c r="Q47" s="3696"/>
      <c r="R47" s="3697">
        <f>E47</f>
        <v>40109</v>
      </c>
      <c r="S47" s="3697"/>
      <c r="T47" s="3697">
        <f>G47</f>
        <v>45833</v>
      </c>
      <c r="U47" s="3697"/>
      <c r="V47" s="3697">
        <f>I47</f>
        <v>42339</v>
      </c>
      <c r="W47" s="3697"/>
      <c r="X47" s="690"/>
      <c r="Y47" s="712"/>
      <c r="Z47" s="690"/>
      <c r="AA47" s="690"/>
      <c r="AB47" s="690"/>
      <c r="AC47" s="690"/>
    </row>
    <row r="48" spans="1:29" ht="15" thickBot="1">
      <c r="A48" s="437" t="s">
        <v>1709</v>
      </c>
      <c r="B48" s="438"/>
      <c r="C48" s="1160">
        <f>R49</f>
        <v>41646</v>
      </c>
      <c r="D48" s="2317" t="s">
        <v>2138</v>
      </c>
      <c r="E48" s="1161">
        <f>R48</f>
        <v>38396</v>
      </c>
      <c r="F48" s="2318"/>
      <c r="G48" s="1160">
        <f>T48</f>
        <v>44775</v>
      </c>
      <c r="H48" s="2318"/>
      <c r="I48" s="1161">
        <f>V48</f>
        <v>41767</v>
      </c>
      <c r="J48" s="2318"/>
      <c r="K48" s="2319">
        <f>F48+H48+J48</f>
        <v>0</v>
      </c>
      <c r="L48" s="2724"/>
      <c r="M48" s="2725"/>
      <c r="N48" s="2725"/>
      <c r="O48" s="2725"/>
      <c r="P48" s="3696" t="str">
        <f>A48</f>
        <v>比较价值（元/平方米）</v>
      </c>
      <c r="Q48" s="3696"/>
      <c r="R48" s="3697">
        <f>IF(F1="售价",ROUND(PRODUCT(R47,AA7:AA46),0),ROUND(PRODUCT(R47,AA7:AA46),1))</f>
        <v>38396</v>
      </c>
      <c r="S48" s="3697"/>
      <c r="T48" s="3697">
        <f>IF(F1="售价",ROUND(PRODUCT(T47,AB7:AB46),0),ROUND(PRODUCT(T47,AB7:AB46),1))</f>
        <v>44775</v>
      </c>
      <c r="U48" s="3697"/>
      <c r="V48" s="3697">
        <f>IF(F1="售价",ROUND(PRODUCT(V47,AC7:AC46),0),ROUND(PRODUCT(V47,AC7:AC46),1))</f>
        <v>41767</v>
      </c>
      <c r="W48" s="3697"/>
      <c r="X48" s="690"/>
      <c r="Y48" s="690"/>
      <c r="Z48" s="690"/>
      <c r="AA48" s="690"/>
      <c r="AB48" s="690"/>
      <c r="AC48" s="690"/>
    </row>
    <row r="49" spans="1:29" ht="15" thickBot="1">
      <c r="A49" s="441" t="s">
        <v>1710</v>
      </c>
      <c r="B49" s="442"/>
      <c r="C49" s="1162">
        <f>R49</f>
        <v>41646</v>
      </c>
      <c r="D49" s="1163"/>
      <c r="E49" s="1163"/>
      <c r="F49" s="1163"/>
      <c r="G49" s="1163"/>
      <c r="H49" s="1163"/>
      <c r="I49" s="1163"/>
      <c r="J49" s="1163"/>
      <c r="K49" s="1915"/>
      <c r="L49" s="2724"/>
      <c r="M49" s="2725"/>
      <c r="N49" s="2725"/>
      <c r="O49" s="2725"/>
      <c r="P49" s="3693" t="str">
        <f>A49</f>
        <v>估价对象XX用房的比较价值（楼面单价，元/平方米）</v>
      </c>
      <c r="Q49" s="3694"/>
      <c r="R49" s="3695">
        <f>IF(F1="售价",ROUND(IF(D48="简单平均",AVERAGE(R48:V48),R48*F48+T48*H48+V48*J48),0),ROUND(IF(D48="简单平均",AVERAGE(R48:V48),R48*F48+T48*H48+V48*J48),1))</f>
        <v>41646</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f>IF(E47&lt;E48,E48/E47-1,E47/E48-1)</f>
        <v>4.4614022293989031E-2</v>
      </c>
      <c r="F52" s="449" t="str">
        <f>IF(OR(E52&gt;=0.3,E52&lt;=-0.3),"超过30%","")</f>
        <v/>
      </c>
      <c r="G52" s="448">
        <f>IF(G47&lt;G48,G48/G47-1,G47/G48-1)</f>
        <v>2.3629257398101622E-2</v>
      </c>
      <c r="H52" s="449" t="str">
        <f>IF(OR(G52&gt;=0.3,G52&lt;=-0.3),"超过30%","")</f>
        <v/>
      </c>
      <c r="I52" s="448">
        <f>IF(I47&lt;I48,I48/I47-1,I47/I48-1)</f>
        <v>1.3695022386094324E-2</v>
      </c>
      <c r="J52" s="449" t="str">
        <f>IF(OR(I52&gt;=0.3,I52&lt;=-0.3),"超过30%","")</f>
        <v/>
      </c>
      <c r="K52" s="2730"/>
      <c r="L52" s="2726"/>
      <c r="M52" s="2725"/>
      <c r="N52" s="2725"/>
      <c r="O52" s="2725"/>
    </row>
    <row r="53" spans="1:29" ht="13.5" customHeight="1">
      <c r="A53" s="2725"/>
      <c r="B53" s="2725"/>
      <c r="C53" s="446" t="s">
        <v>1712</v>
      </c>
      <c r="D53" s="450"/>
      <c r="E53" s="448">
        <f>IF(E48&lt;G48,G48/E48-1,E48/G48-1)</f>
        <v>0.16613709761433482</v>
      </c>
      <c r="F53" s="449" t="str">
        <f>IF(OR(E53&gt;=0.2,E53&lt;=-0.2),"超过20%","")</f>
        <v/>
      </c>
      <c r="G53" s="448">
        <f>IF(G48&lt;I48,I48/G48-1,G48/I48-1)</f>
        <v>7.2018579261139193E-2</v>
      </c>
      <c r="H53" s="449" t="str">
        <f>IF(OR(G53&gt;=0.2,G53&lt;=-0.2),"超过20%","")</f>
        <v/>
      </c>
      <c r="I53" s="448">
        <f>IF(I48&lt;E48,E48/I48-1,I48/E48-1)</f>
        <v>8.7795603708719749E-2</v>
      </c>
      <c r="J53" s="449" t="str">
        <f>IF(OR(I53&gt;=0.2,I53&lt;=-0.2),"超过20%","")</f>
        <v/>
      </c>
      <c r="K53" s="2730"/>
      <c r="L53" s="2726"/>
      <c r="M53" s="2725"/>
      <c r="N53" s="2725"/>
      <c r="O53" s="2725"/>
    </row>
    <row r="54" spans="1:29" s="451" customFormat="1" ht="13.5" customHeight="1">
      <c r="A54" s="2728"/>
      <c r="B54" s="2728"/>
      <c r="C54" s="446" t="s">
        <v>1713</v>
      </c>
      <c r="D54" s="450"/>
      <c r="E54" s="448">
        <f>IF(E47&lt;G47,G47/E47-1,E47/G47-1)</f>
        <v>0.14271111221920263</v>
      </c>
      <c r="F54" s="449" t="str">
        <f>IF(OR(E54&gt;=0.3,E54&lt;=-0.3),"超过30%","")</f>
        <v/>
      </c>
      <c r="G54" s="448">
        <f>IF(G47&lt;I47,I47/G47-1,G47/I47-1)</f>
        <v>8.2524386499444935E-2</v>
      </c>
      <c r="H54" s="449" t="str">
        <f>IF(OR(G54&gt;=0.3,G54&lt;=-0.3),"超过30%","")</f>
        <v/>
      </c>
      <c r="I54" s="448">
        <f>IF(I47&lt;E47,E47/I47-1,I47/E47-1)</f>
        <v>5.5598494103567875E-2</v>
      </c>
      <c r="J54" s="449" t="str">
        <f>IF(OR(I54&gt;=0.3,I54&lt;=-0.3),"超过30%","")</f>
        <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2013-3</v>
      </c>
      <c r="D58" s="1185">
        <f>EDATE(C58,-1)</f>
        <v>41306</v>
      </c>
      <c r="E58" s="1185">
        <f>EDATE(D58,-1)</f>
        <v>41275</v>
      </c>
      <c r="F58" s="1185">
        <f t="shared" ref="F58:O58" si="19">EDATE(E58,-1)</f>
        <v>41244</v>
      </c>
      <c r="G58" s="1185">
        <f t="shared" si="19"/>
        <v>41214</v>
      </c>
      <c r="H58" s="1185">
        <f t="shared" si="19"/>
        <v>41183</v>
      </c>
      <c r="I58" s="1185">
        <f t="shared" si="19"/>
        <v>41153</v>
      </c>
      <c r="J58" s="1185">
        <f t="shared" si="19"/>
        <v>41122</v>
      </c>
      <c r="K58" s="1185">
        <f t="shared" si="19"/>
        <v>41091</v>
      </c>
      <c r="L58" s="1185">
        <f t="shared" si="19"/>
        <v>41061</v>
      </c>
      <c r="M58" s="1185">
        <f t="shared" si="19"/>
        <v>41030</v>
      </c>
      <c r="N58" s="1185">
        <f t="shared" si="19"/>
        <v>41000</v>
      </c>
      <c r="O58" s="1185">
        <f t="shared" si="19"/>
        <v>40969</v>
      </c>
      <c r="P58" s="1181"/>
    </row>
    <row r="59" spans="1:29" s="108" customFormat="1">
      <c r="A59" s="458"/>
      <c r="B59" s="1919"/>
      <c r="C59" s="1183">
        <v>100</v>
      </c>
      <c r="D59" s="460">
        <f>C59</f>
        <v>100</v>
      </c>
      <c r="E59" s="461">
        <f>C59</f>
        <v>100</v>
      </c>
      <c r="F59" s="461">
        <v>99</v>
      </c>
      <c r="G59" s="461">
        <f>F59</f>
        <v>99</v>
      </c>
      <c r="H59" s="461">
        <f>F59</f>
        <v>99</v>
      </c>
      <c r="I59" s="461">
        <v>98</v>
      </c>
      <c r="J59" s="461">
        <f>I59</f>
        <v>98</v>
      </c>
      <c r="K59" s="461">
        <f>I59</f>
        <v>98</v>
      </c>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t="str">
        <f>C9</f>
        <v>住宅</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v>1</v>
      </c>
      <c r="D68" s="498">
        <v>3</v>
      </c>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97</v>
      </c>
      <c r="E79" s="493">
        <f>D79-$K17</f>
        <v>94</v>
      </c>
      <c r="F79" s="493">
        <f>E79-$K17</f>
        <v>91</v>
      </c>
      <c r="G79" s="493">
        <f>F79-$K17</f>
        <v>88</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3451" t="s">
        <v>3425</v>
      </c>
      <c r="D88" s="3451" t="s">
        <v>3427</v>
      </c>
      <c r="E88" s="3451" t="s">
        <v>3426</v>
      </c>
      <c r="F88" s="3454" t="s">
        <v>3419</v>
      </c>
      <c r="G88" s="3451" t="s">
        <v>3420</v>
      </c>
      <c r="H88" s="503"/>
      <c r="I88" s="503"/>
      <c r="J88" s="503"/>
      <c r="K88" s="503"/>
      <c r="L88" s="503"/>
      <c r="M88" s="530"/>
      <c r="N88" s="932"/>
      <c r="O88" s="932"/>
      <c r="P88" s="1922"/>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2"/>
      <c r="Q89" s="453"/>
    </row>
    <row r="90" spans="1:17" s="422" customFormat="1" ht="15" thickTop="1">
      <c r="A90" s="502"/>
      <c r="B90" s="487" t="str">
        <f>B27</f>
        <v>楼层</v>
      </c>
      <c r="C90" s="503" t="s">
        <v>3562</v>
      </c>
      <c r="D90" s="503" t="s">
        <v>3563</v>
      </c>
      <c r="E90" s="503" t="s">
        <v>3564</v>
      </c>
      <c r="F90" s="503" t="s">
        <v>3565</v>
      </c>
      <c r="G90" s="503"/>
      <c r="H90" s="504"/>
      <c r="I90" s="504"/>
      <c r="J90" s="504"/>
      <c r="K90" s="504"/>
      <c r="L90" s="505"/>
      <c r="M90" s="506"/>
      <c r="N90" s="935"/>
      <c r="O90" s="935"/>
      <c r="P90" s="1923"/>
      <c r="Q90" s="508"/>
    </row>
    <row r="91" spans="1:17" s="422" customFormat="1" ht="14.4" thickBot="1">
      <c r="A91" s="502"/>
      <c r="B91" s="492"/>
      <c r="C91" s="509">
        <v>100</v>
      </c>
      <c r="D91" s="509">
        <v>98</v>
      </c>
      <c r="E91" s="509">
        <v>102</v>
      </c>
      <c r="F91" s="509">
        <v>100</v>
      </c>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3453" t="s">
        <v>3561</v>
      </c>
      <c r="D100" s="3453" t="s">
        <v>3407</v>
      </c>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98.5</v>
      </c>
      <c r="E101" s="493">
        <f t="shared" si="25"/>
        <v>97</v>
      </c>
      <c r="F101" s="493">
        <f t="shared" si="25"/>
        <v>95.5</v>
      </c>
      <c r="G101" s="493">
        <f t="shared" si="25"/>
        <v>94</v>
      </c>
      <c r="H101" s="493">
        <f t="shared" si="25"/>
        <v>92.5</v>
      </c>
      <c r="I101" s="493">
        <f t="shared" si="25"/>
        <v>91</v>
      </c>
      <c r="J101" s="493">
        <f t="shared" si="25"/>
        <v>89.5</v>
      </c>
      <c r="K101" s="493">
        <f t="shared" si="25"/>
        <v>88</v>
      </c>
      <c r="L101" s="493">
        <f t="shared" si="25"/>
        <v>86.5</v>
      </c>
      <c r="M101" s="493">
        <f t="shared" si="25"/>
        <v>85</v>
      </c>
      <c r="N101" s="934"/>
      <c r="O101" s="934"/>
      <c r="P101" s="1922"/>
      <c r="Q101" s="453"/>
    </row>
    <row r="102" spans="1:17" ht="15" thickTop="1">
      <c r="A102" s="483"/>
      <c r="B102" s="487" t="s">
        <v>1737</v>
      </c>
      <c r="C102" s="527" t="str">
        <f>C103&amp;"(含)"&amp;"-"&amp;D103</f>
        <v>0(含)-90</v>
      </c>
      <c r="D102" s="527" t="str">
        <f t="shared" ref="D102:L102" si="26">D103&amp;"(含)"&amp;"-"&amp;E103</f>
        <v>90(含)-120</v>
      </c>
      <c r="E102" s="527" t="str">
        <f t="shared" si="26"/>
        <v>120(含)-150</v>
      </c>
      <c r="F102" s="527" t="str">
        <f t="shared" si="26"/>
        <v>150(含)-180</v>
      </c>
      <c r="G102" s="527" t="str">
        <f t="shared" si="26"/>
        <v>180(含)-220</v>
      </c>
      <c r="H102" s="527" t="str">
        <f t="shared" si="26"/>
        <v>220(含)-260</v>
      </c>
      <c r="I102" s="527" t="str">
        <f t="shared" si="26"/>
        <v>260(含)-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90</v>
      </c>
      <c r="E103" s="544">
        <v>120</v>
      </c>
      <c r="F103" s="544">
        <v>150</v>
      </c>
      <c r="G103" s="544">
        <v>180</v>
      </c>
      <c r="H103" s="544">
        <v>220</v>
      </c>
      <c r="I103" s="544">
        <v>260</v>
      </c>
      <c r="J103" s="545"/>
      <c r="K103" s="545"/>
      <c r="L103" s="546"/>
      <c r="M103" s="547"/>
      <c r="N103" s="935"/>
      <c r="O103" s="935"/>
      <c r="P103" s="1923"/>
      <c r="Q103" s="508"/>
    </row>
    <row r="104" spans="1:17" s="422" customFormat="1" ht="14.4" thickBot="1">
      <c r="A104" s="502"/>
      <c r="B104" s="492"/>
      <c r="C104" s="509">
        <v>100</v>
      </c>
      <c r="D104" s="485">
        <v>99</v>
      </c>
      <c r="E104" s="485">
        <v>98</v>
      </c>
      <c r="F104" s="485">
        <v>97</v>
      </c>
      <c r="G104" s="485">
        <v>96</v>
      </c>
      <c r="H104" s="485">
        <v>95</v>
      </c>
      <c r="I104" s="485">
        <v>94</v>
      </c>
      <c r="J104" s="485"/>
      <c r="K104" s="485"/>
      <c r="L104" s="485"/>
      <c r="M104" s="485"/>
      <c r="N104" s="934"/>
      <c r="O104" s="934"/>
      <c r="P104" s="1923"/>
      <c r="Q104" s="508"/>
    </row>
    <row r="105" spans="1:17" ht="15" thickTop="1">
      <c r="A105" s="548"/>
      <c r="B105" s="487" t="s">
        <v>1738</v>
      </c>
      <c r="C105" s="3451" t="s">
        <v>3400</v>
      </c>
      <c r="D105" s="3451" t="s">
        <v>3566</v>
      </c>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3452" t="s">
        <v>3401</v>
      </c>
      <c r="D107" s="3452" t="s">
        <v>3402</v>
      </c>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1" t="s">
        <v>3403</v>
      </c>
      <c r="D109" s="3451" t="s">
        <v>3405</v>
      </c>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1" t="s">
        <v>3418</v>
      </c>
      <c r="D114" s="3451"/>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1" t="s">
        <v>3409</v>
      </c>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2" t="s">
        <v>3411</v>
      </c>
      <c r="D118" s="3452" t="s">
        <v>3412</v>
      </c>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1" t="s">
        <v>3403</v>
      </c>
      <c r="D122" s="3451" t="s">
        <v>3405</v>
      </c>
      <c r="E122" s="3451" t="s">
        <v>3413</v>
      </c>
      <c r="F122" s="3452" t="s">
        <v>3568</v>
      </c>
      <c r="G122" s="532"/>
      <c r="H122" s="532"/>
      <c r="I122" s="532"/>
      <c r="J122" s="532"/>
      <c r="K122" s="533"/>
      <c r="L122" s="534"/>
      <c r="M122" s="535"/>
      <c r="N122" s="933"/>
      <c r="O122" s="933"/>
      <c r="P122" s="1922"/>
      <c r="Q122" s="453"/>
    </row>
    <row r="123" spans="1:17" ht="14.4" thickBot="1">
      <c r="A123" s="483"/>
      <c r="B123" s="492"/>
      <c r="C123" s="493">
        <v>100</v>
      </c>
      <c r="D123" s="493">
        <f t="shared" ref="D123:M123" si="32">C123-$K42</f>
        <v>98</v>
      </c>
      <c r="E123" s="493">
        <f t="shared" si="32"/>
        <v>96</v>
      </c>
      <c r="F123" s="493">
        <f t="shared" si="32"/>
        <v>94</v>
      </c>
      <c r="G123" s="493">
        <f t="shared" si="32"/>
        <v>92</v>
      </c>
      <c r="H123" s="493">
        <f t="shared" si="32"/>
        <v>90</v>
      </c>
      <c r="I123" s="493">
        <f t="shared" si="32"/>
        <v>88</v>
      </c>
      <c r="J123" s="493">
        <f t="shared" si="32"/>
        <v>86</v>
      </c>
      <c r="K123" s="493">
        <f t="shared" si="32"/>
        <v>84</v>
      </c>
      <c r="L123" s="493">
        <f t="shared" si="32"/>
        <v>82</v>
      </c>
      <c r="M123" s="493">
        <f t="shared" si="32"/>
        <v>80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t="str">
        <f>B44</f>
        <v>建成年代</v>
      </c>
      <c r="C126" s="503">
        <f>C44</f>
        <v>2013</v>
      </c>
      <c r="D126" s="503">
        <f>E44</f>
        <v>2002</v>
      </c>
      <c r="E126" s="503">
        <v>2008</v>
      </c>
      <c r="F126" s="503">
        <v>2007</v>
      </c>
      <c r="G126" s="503"/>
      <c r="H126" s="504"/>
      <c r="I126" s="504"/>
      <c r="J126" s="504"/>
      <c r="K126" s="504"/>
      <c r="L126" s="505"/>
      <c r="M126" s="506"/>
      <c r="N126" s="935"/>
      <c r="O126" s="935"/>
      <c r="P126" s="1923"/>
      <c r="Q126" s="508"/>
    </row>
    <row r="127" spans="1:17" s="422" customFormat="1" ht="14.4" thickBot="1">
      <c r="A127" s="502"/>
      <c r="B127" s="492"/>
      <c r="C127" s="509">
        <v>100</v>
      </c>
      <c r="D127" s="485">
        <v>98</v>
      </c>
      <c r="E127" s="485">
        <v>99</v>
      </c>
      <c r="F127" s="485">
        <v>99</v>
      </c>
      <c r="G127" s="509"/>
      <c r="H127" s="511"/>
      <c r="I127" s="511"/>
      <c r="J127" s="511"/>
      <c r="K127" s="511"/>
      <c r="L127" s="511"/>
      <c r="M127" s="512"/>
      <c r="N127" s="935"/>
      <c r="O127" s="935"/>
      <c r="P127" s="1923"/>
      <c r="Q127" s="508"/>
    </row>
    <row r="128" spans="1:17" ht="14.4" thickTop="1">
      <c r="A128" s="548"/>
      <c r="B128" s="487">
        <f>B45</f>
        <v>111</v>
      </c>
      <c r="C128" s="503"/>
      <c r="D128" s="503">
        <f>ROUND(1-(2013-D126)/60,2)</f>
        <v>0.82</v>
      </c>
      <c r="E128" s="503">
        <f>ROUND(1-(2013-E126)/60,2)</f>
        <v>0.92</v>
      </c>
      <c r="F128" s="503">
        <f>ROUND(1-(2013-F126)/60,2)</f>
        <v>0.9</v>
      </c>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27"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27"/>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27"/>
      <c r="AC6" s="3710"/>
    </row>
    <row r="7" spans="1:29" s="108" customFormat="1" ht="15" thickBot="1">
      <c r="A7" s="362" t="s">
        <v>1679</v>
      </c>
      <c r="B7" s="363"/>
      <c r="C7" s="364">
        <f>'数据-取费表'!B2</f>
        <v>41356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7"/>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5" t="s">
        <v>1691</v>
      </c>
      <c r="Q15" s="1352" t="str">
        <f t="shared" si="6"/>
        <v>商业繁华度</v>
      </c>
      <c r="R15" s="705" t="s">
        <v>14</v>
      </c>
      <c r="S15" s="706">
        <f t="shared" si="0"/>
        <v>100</v>
      </c>
      <c r="T15" s="705" t="s">
        <v>14</v>
      </c>
      <c r="U15" s="706">
        <f t="shared" si="1"/>
        <v>100</v>
      </c>
      <c r="V15" s="705" t="s">
        <v>14</v>
      </c>
      <c r="W15" s="706">
        <f t="shared" si="2"/>
        <v>100</v>
      </c>
      <c r="X15" s="1355"/>
      <c r="Y15" s="369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6"/>
      <c r="Q22" s="1352"/>
      <c r="R22" s="705"/>
      <c r="S22" s="706"/>
      <c r="T22" s="705"/>
      <c r="U22" s="706"/>
      <c r="V22" s="705"/>
      <c r="W22" s="706"/>
      <c r="X22" s="1355"/>
      <c r="Y22" s="3699"/>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6"/>
      <c r="Q23" s="1352" t="str">
        <f>B23</f>
        <v>自然及人文环境</v>
      </c>
      <c r="R23" s="705" t="s">
        <v>14</v>
      </c>
      <c r="S23" s="706">
        <f>F23</f>
        <v>100</v>
      </c>
      <c r="T23" s="705" t="s">
        <v>14</v>
      </c>
      <c r="U23" s="706">
        <f>H23</f>
        <v>100</v>
      </c>
      <c r="V23" s="705" t="s">
        <v>14</v>
      </c>
      <c r="W23" s="706">
        <f>J23</f>
        <v>100</v>
      </c>
      <c r="X23" s="1355"/>
      <c r="Y23" s="369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6"/>
      <c r="Q25" s="1352" t="str">
        <f t="shared" ref="Q25:Q46" si="11">B25</f>
        <v>临街状况</v>
      </c>
      <c r="R25" s="705" t="s">
        <v>14</v>
      </c>
      <c r="S25" s="706">
        <f>F25</f>
        <v>100</v>
      </c>
      <c r="T25" s="705" t="s">
        <v>14</v>
      </c>
      <c r="U25" s="706">
        <f>H25</f>
        <v>100</v>
      </c>
      <c r="V25" s="705" t="s">
        <v>14</v>
      </c>
      <c r="W25" s="706">
        <f>J25</f>
        <v>100</v>
      </c>
      <c r="X25" s="1355"/>
      <c r="Y25" s="369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6"/>
      <c r="Q26" s="1352" t="str">
        <f t="shared" si="11"/>
        <v>平面位置/可视性</v>
      </c>
      <c r="R26" s="705" t="s">
        <v>14</v>
      </c>
      <c r="S26" s="706">
        <f>F26</f>
        <v>100</v>
      </c>
      <c r="T26" s="705" t="s">
        <v>14</v>
      </c>
      <c r="U26" s="706">
        <f>H26</f>
        <v>100</v>
      </c>
      <c r="V26" s="705" t="s">
        <v>14</v>
      </c>
      <c r="W26" s="706">
        <f>J26</f>
        <v>100</v>
      </c>
      <c r="X26" s="1355"/>
      <c r="Y26" s="369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6"/>
      <c r="Q27" s="1343" t="str">
        <f t="shared" si="11"/>
        <v>人流量</v>
      </c>
      <c r="R27" s="701" t="s">
        <v>14</v>
      </c>
      <c r="S27" s="702">
        <f>F27</f>
        <v>100</v>
      </c>
      <c r="T27" s="701" t="s">
        <v>14</v>
      </c>
      <c r="U27" s="702">
        <f>H27</f>
        <v>100</v>
      </c>
      <c r="V27" s="701" t="s">
        <v>14</v>
      </c>
      <c r="W27" s="702">
        <f>J27</f>
        <v>100</v>
      </c>
      <c r="X27" s="703"/>
      <c r="Y27" s="369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6"/>
      <c r="Q29" s="1352">
        <f t="shared" si="11"/>
        <v>111</v>
      </c>
      <c r="R29" s="705" t="s">
        <v>14</v>
      </c>
      <c r="S29" s="706">
        <f t="shared" si="12"/>
        <v>100</v>
      </c>
      <c r="T29" s="705" t="s">
        <v>14</v>
      </c>
      <c r="U29" s="706">
        <f t="shared" si="13"/>
        <v>100</v>
      </c>
      <c r="V29" s="705" t="s">
        <v>14</v>
      </c>
      <c r="W29" s="706">
        <f t="shared" si="14"/>
        <v>100</v>
      </c>
      <c r="X29" s="1355"/>
      <c r="Y29" s="369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0" t="s">
        <v>1696</v>
      </c>
      <c r="Q32" s="1352" t="str">
        <f t="shared" si="11"/>
        <v>商业类型</v>
      </c>
      <c r="R32" s="705" t="s">
        <v>14</v>
      </c>
      <c r="S32" s="706">
        <f t="shared" si="12"/>
        <v>100</v>
      </c>
      <c r="T32" s="705" t="s">
        <v>14</v>
      </c>
      <c r="U32" s="706">
        <f t="shared" si="13"/>
        <v>100</v>
      </c>
      <c r="V32" s="705" t="s">
        <v>14</v>
      </c>
      <c r="W32" s="706">
        <f t="shared" si="14"/>
        <v>100</v>
      </c>
      <c r="X32" s="1355"/>
      <c r="Y32" s="370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1"/>
      <c r="Q33" s="707" t="str">
        <f t="shared" si="11"/>
        <v>项目建筑规模</v>
      </c>
      <c r="R33" s="708" t="s">
        <v>14</v>
      </c>
      <c r="S33" s="709" t="e">
        <f t="shared" si="12"/>
        <v>#N/A</v>
      </c>
      <c r="T33" s="708" t="s">
        <v>14</v>
      </c>
      <c r="U33" s="709" t="e">
        <f t="shared" si="13"/>
        <v>#N/A</v>
      </c>
      <c r="V33" s="708" t="s">
        <v>14</v>
      </c>
      <c r="W33" s="709" t="e">
        <f t="shared" si="14"/>
        <v>#N/A</v>
      </c>
      <c r="X33" s="710"/>
      <c r="Y33" s="370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1"/>
      <c r="Q34" s="1352" t="str">
        <f t="shared" si="11"/>
        <v>建筑结构</v>
      </c>
      <c r="R34" s="705" t="s">
        <v>14</v>
      </c>
      <c r="S34" s="706">
        <f t="shared" si="12"/>
        <v>100</v>
      </c>
      <c r="T34" s="705" t="s">
        <v>14</v>
      </c>
      <c r="U34" s="706">
        <f t="shared" si="13"/>
        <v>100</v>
      </c>
      <c r="V34" s="705" t="s">
        <v>14</v>
      </c>
      <c r="W34" s="706">
        <f t="shared" si="14"/>
        <v>100</v>
      </c>
      <c r="X34" s="1355"/>
      <c r="Y34" s="370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1"/>
      <c r="Q35" s="1352" t="str">
        <f t="shared" si="11"/>
        <v>公共部分装修</v>
      </c>
      <c r="R35" s="705" t="s">
        <v>14</v>
      </c>
      <c r="S35" s="706">
        <f t="shared" si="12"/>
        <v>100</v>
      </c>
      <c r="T35" s="705" t="s">
        <v>14</v>
      </c>
      <c r="U35" s="706">
        <f t="shared" si="13"/>
        <v>100</v>
      </c>
      <c r="V35" s="705" t="s">
        <v>14</v>
      </c>
      <c r="W35" s="706">
        <f t="shared" si="14"/>
        <v>100</v>
      </c>
      <c r="X35" s="1355"/>
      <c r="Y35" s="370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1"/>
      <c r="Q36" s="1352" t="str">
        <f t="shared" si="11"/>
        <v>成新度</v>
      </c>
      <c r="R36" s="705" t="s">
        <v>14</v>
      </c>
      <c r="S36" s="706" t="e">
        <f t="shared" si="12"/>
        <v>#N/A</v>
      </c>
      <c r="T36" s="705" t="s">
        <v>14</v>
      </c>
      <c r="U36" s="706" t="e">
        <f t="shared" si="13"/>
        <v>#N/A</v>
      </c>
      <c r="V36" s="705" t="s">
        <v>14</v>
      </c>
      <c r="W36" s="706" t="e">
        <f t="shared" si="14"/>
        <v>#N/A</v>
      </c>
      <c r="X36" s="1355"/>
      <c r="Y36" s="370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1"/>
      <c r="Q37" s="1343" t="str">
        <f t="shared" si="11"/>
        <v>市政基础设施</v>
      </c>
      <c r="R37" s="701" t="s">
        <v>14</v>
      </c>
      <c r="S37" s="702">
        <f t="shared" si="12"/>
        <v>100</v>
      </c>
      <c r="T37" s="701" t="s">
        <v>14</v>
      </c>
      <c r="U37" s="702">
        <f t="shared" si="13"/>
        <v>100</v>
      </c>
      <c r="V37" s="701" t="s">
        <v>14</v>
      </c>
      <c r="W37" s="702">
        <f t="shared" si="14"/>
        <v>100</v>
      </c>
      <c r="X37" s="703"/>
      <c r="Y37" s="370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1" t="s">
        <v>1696</v>
      </c>
      <c r="Q38" s="1352" t="str">
        <f t="shared" si="11"/>
        <v>业态</v>
      </c>
      <c r="R38" s="705" t="s">
        <v>14</v>
      </c>
      <c r="S38" s="706">
        <f t="shared" si="12"/>
        <v>100</v>
      </c>
      <c r="T38" s="705" t="s">
        <v>14</v>
      </c>
      <c r="U38" s="706">
        <f t="shared" si="13"/>
        <v>100</v>
      </c>
      <c r="V38" s="705" t="s">
        <v>14</v>
      </c>
      <c r="W38" s="706">
        <f t="shared" si="14"/>
        <v>100</v>
      </c>
      <c r="X38" s="1355"/>
      <c r="Y38" s="370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1"/>
      <c r="Q39" s="1352" t="str">
        <f t="shared" si="11"/>
        <v>层高</v>
      </c>
      <c r="R39" s="705" t="s">
        <v>14</v>
      </c>
      <c r="S39" s="706">
        <f t="shared" si="12"/>
        <v>100</v>
      </c>
      <c r="T39" s="705" t="s">
        <v>14</v>
      </c>
      <c r="U39" s="706">
        <f t="shared" si="13"/>
        <v>100</v>
      </c>
      <c r="V39" s="705" t="s">
        <v>14</v>
      </c>
      <c r="W39" s="706">
        <f t="shared" si="14"/>
        <v>100</v>
      </c>
      <c r="X39" s="1355"/>
      <c r="Y39" s="370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1"/>
      <c r="Q40" s="1352" t="str">
        <f t="shared" si="11"/>
        <v>单套建筑面积</v>
      </c>
      <c r="R40" s="705" t="s">
        <v>14</v>
      </c>
      <c r="S40" s="706">
        <f t="shared" si="12"/>
        <v>100</v>
      </c>
      <c r="T40" s="705" t="s">
        <v>14</v>
      </c>
      <c r="U40" s="706">
        <f t="shared" si="13"/>
        <v>100</v>
      </c>
      <c r="V40" s="705" t="s">
        <v>14</v>
      </c>
      <c r="W40" s="706">
        <f t="shared" si="14"/>
        <v>100</v>
      </c>
      <c r="X40" s="1355"/>
      <c r="Y40" s="370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1"/>
      <c r="Q41" s="707" t="str">
        <f t="shared" si="11"/>
        <v>进深比</v>
      </c>
      <c r="R41" s="708" t="s">
        <v>14</v>
      </c>
      <c r="S41" s="709">
        <f t="shared" si="12"/>
        <v>100</v>
      </c>
      <c r="T41" s="708" t="s">
        <v>14</v>
      </c>
      <c r="U41" s="709">
        <f t="shared" si="13"/>
        <v>100</v>
      </c>
      <c r="V41" s="708" t="s">
        <v>14</v>
      </c>
      <c r="W41" s="709">
        <f t="shared" si="14"/>
        <v>100</v>
      </c>
      <c r="X41" s="710"/>
      <c r="Y41" s="370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1"/>
      <c r="Q42" s="1352" t="str">
        <f t="shared" si="11"/>
        <v>内部装修</v>
      </c>
      <c r="R42" s="705" t="s">
        <v>14</v>
      </c>
      <c r="S42" s="706">
        <f t="shared" si="12"/>
        <v>100</v>
      </c>
      <c r="T42" s="705" t="s">
        <v>14</v>
      </c>
      <c r="U42" s="706">
        <f t="shared" si="13"/>
        <v>100</v>
      </c>
      <c r="V42" s="705" t="s">
        <v>14</v>
      </c>
      <c r="W42" s="706">
        <f t="shared" si="14"/>
        <v>100</v>
      </c>
      <c r="X42" s="1355"/>
      <c r="Y42" s="3703"/>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1"/>
      <c r="Q43" s="1352" t="str">
        <f t="shared" si="11"/>
        <v>内部装修维护情况</v>
      </c>
      <c r="R43" s="705" t="s">
        <v>14</v>
      </c>
      <c r="S43" s="706">
        <f t="shared" si="12"/>
        <v>100</v>
      </c>
      <c r="T43" s="705" t="s">
        <v>14</v>
      </c>
      <c r="U43" s="706">
        <f t="shared" si="13"/>
        <v>100</v>
      </c>
      <c r="V43" s="705" t="s">
        <v>14</v>
      </c>
      <c r="W43" s="706">
        <f t="shared" si="14"/>
        <v>100</v>
      </c>
      <c r="X43" s="1355"/>
      <c r="Y43" s="370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1"/>
      <c r="Q44" s="1343">
        <f t="shared" si="11"/>
        <v>111</v>
      </c>
      <c r="R44" s="701" t="s">
        <v>14</v>
      </c>
      <c r="S44" s="702">
        <f t="shared" si="12"/>
        <v>100</v>
      </c>
      <c r="T44" s="701" t="s">
        <v>14</v>
      </c>
      <c r="U44" s="702">
        <f t="shared" si="13"/>
        <v>100</v>
      </c>
      <c r="V44" s="701" t="s">
        <v>14</v>
      </c>
      <c r="W44" s="702">
        <f t="shared" si="14"/>
        <v>100</v>
      </c>
      <c r="X44" s="703"/>
      <c r="Y44" s="370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1"/>
      <c r="Q45" s="1352">
        <f t="shared" si="11"/>
        <v>111</v>
      </c>
      <c r="R45" s="705" t="s">
        <v>14</v>
      </c>
      <c r="S45" s="706">
        <f t="shared" si="12"/>
        <v>100</v>
      </c>
      <c r="T45" s="705" t="s">
        <v>14</v>
      </c>
      <c r="U45" s="706">
        <f t="shared" si="13"/>
        <v>100</v>
      </c>
      <c r="V45" s="705" t="s">
        <v>14</v>
      </c>
      <c r="W45" s="706">
        <f t="shared" si="14"/>
        <v>100</v>
      </c>
      <c r="X45" s="1355"/>
      <c r="Y45" s="3703"/>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4"/>
      <c r="M47" s="2725"/>
      <c r="N47" s="2716"/>
      <c r="O47" s="2725"/>
      <c r="P47" s="3696" t="str">
        <f>A47</f>
        <v>成交单价（元/平方米）</v>
      </c>
      <c r="Q47" s="3696"/>
      <c r="R47" s="3727">
        <f>E47</f>
        <v>0</v>
      </c>
      <c r="S47" s="3727"/>
      <c r="T47" s="3727">
        <f>G47</f>
        <v>0</v>
      </c>
      <c r="U47" s="3727"/>
      <c r="V47" s="3727">
        <f>I47</f>
        <v>0</v>
      </c>
      <c r="W47" s="3727"/>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6" t="str">
        <f>A48</f>
        <v>比较价值（元/平方米）</v>
      </c>
      <c r="Q48" s="3696"/>
      <c r="R48" s="3697" t="e">
        <f>IF(F1="售价",ROUND(PRODUCT(R47,AA7:AA46),0),ROUND(PRODUCT(R47,AA7:AA46),1))</f>
        <v>#DIV/0!</v>
      </c>
      <c r="S48" s="3697"/>
      <c r="T48" s="3697" t="e">
        <f>IF(F1="售价",ROUND(PRODUCT(T47,AB7:AB46),0),ROUND(PRODUCT(T47,AB7:AB46),1))</f>
        <v>#DIV/0!</v>
      </c>
      <c r="U48" s="3697"/>
      <c r="V48" s="3697" t="e">
        <f>IF(F1="售价",ROUND(PRODUCT(V47,AC7:AC46),0),ROUND(PRODUCT(V47,AC7:AC46),1))</f>
        <v>#DIV/0!</v>
      </c>
      <c r="W48" s="3697"/>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4"/>
      <c r="M49" s="2725"/>
      <c r="N49" s="2716"/>
      <c r="O49" s="2725"/>
      <c r="P49" s="3693" t="str">
        <f>A49</f>
        <v>估价对象XX用房的比较价值（楼面单价，元/平方米）</v>
      </c>
      <c r="Q49" s="3694"/>
      <c r="R49" s="3695" t="e">
        <f>IF(F1="售价",ROUND(IF(D48="简单平均",AVERAGE(R48:V48),R48*F48+T48*H48+V48*J48),0),ROUND(IF(D48="简单平均",AVERAGE(R48:V48),R48*F48+T48*H48+V48*J48),1))</f>
        <v>#DIV/0!</v>
      </c>
      <c r="S49" s="3695"/>
      <c r="T49" s="3695"/>
      <c r="U49" s="3695"/>
      <c r="V49" s="3695"/>
      <c r="W49" s="3695"/>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2.2"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4.4">
      <c r="A58" s="454" t="s">
        <v>1679</v>
      </c>
      <c r="B58" s="455"/>
      <c r="C58" s="1184" t="str">
        <f>YEAR(C7)&amp;"-"&amp;MONTH(C7)</f>
        <v>2013-3</v>
      </c>
      <c r="D58" s="1185">
        <f>EDATE(C58,-1)</f>
        <v>41306</v>
      </c>
      <c r="E58" s="1185">
        <f t="shared" ref="E58:N58" si="16">EDATE(D58,-1)</f>
        <v>41275</v>
      </c>
      <c r="F58" s="1185">
        <f t="shared" si="16"/>
        <v>41244</v>
      </c>
      <c r="G58" s="1185">
        <f t="shared" si="16"/>
        <v>41214</v>
      </c>
      <c r="H58" s="1185">
        <f t="shared" si="16"/>
        <v>41183</v>
      </c>
      <c r="I58" s="1185">
        <f t="shared" si="16"/>
        <v>41153</v>
      </c>
      <c r="J58" s="1185">
        <f t="shared" si="16"/>
        <v>41122</v>
      </c>
      <c r="K58" s="1185">
        <f t="shared" si="16"/>
        <v>41091</v>
      </c>
      <c r="L58" s="1185">
        <f t="shared" si="16"/>
        <v>41061</v>
      </c>
      <c r="M58" s="1185">
        <f t="shared" si="16"/>
        <v>41030</v>
      </c>
      <c r="N58" s="1185">
        <f t="shared" si="16"/>
        <v>41000</v>
      </c>
      <c r="O58" s="1185">
        <f>EDATE(N58,-1)</f>
        <v>40969</v>
      </c>
      <c r="P58" s="2740"/>
      <c r="Q58" s="2741"/>
      <c r="R58" s="2741"/>
      <c r="S58" s="2741"/>
      <c r="T58" s="2741"/>
      <c r="U58" s="2741"/>
      <c r="V58" s="2741"/>
      <c r="W58" s="2741"/>
      <c r="X58" s="2741"/>
      <c r="Y58" s="2741"/>
      <c r="Z58" s="2741"/>
      <c r="AA58" s="2741"/>
      <c r="AB58" s="2741"/>
      <c r="AC58" s="2741"/>
    </row>
    <row r="59" spans="1:29" s="108" customFormat="1">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4.4">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4.4"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ht="14.4">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4.4"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9.4"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4.4"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4.4"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4.4"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4.4"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4.4"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4.4"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4.4"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ht="14.4">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4.4"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4.4"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4.4"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4.4"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4.4"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4.4"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4.4"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4.4"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4.4"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4.4"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4.4"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ht="14.4">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4.4"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4.4"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4.4"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4.4"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4.4"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4.4"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4.4"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4.4"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275.64999999999998</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49" t="s">
        <v>1775</v>
      </c>
      <c r="Q4" s="3750"/>
      <c r="R4" s="3753" t="s">
        <v>1771</v>
      </c>
      <c r="S4" s="3754"/>
      <c r="T4" s="3753" t="s">
        <v>1772</v>
      </c>
      <c r="U4" s="3754"/>
      <c r="V4" s="3755" t="s">
        <v>1773</v>
      </c>
      <c r="W4" s="3755"/>
      <c r="X4" s="1958"/>
      <c r="Y4" s="3753" t="s">
        <v>1775</v>
      </c>
      <c r="Z4" s="3754"/>
      <c r="AA4" s="3757" t="s">
        <v>1771</v>
      </c>
      <c r="AB4" s="3757" t="s">
        <v>1772</v>
      </c>
      <c r="AC4" s="3746" t="s">
        <v>1773</v>
      </c>
    </row>
    <row r="5" spans="1:29">
      <c r="A5" s="358"/>
      <c r="B5" s="359"/>
      <c r="C5" s="3740" t="s">
        <v>1673</v>
      </c>
      <c r="D5" s="3731"/>
      <c r="E5" s="3742" t="s">
        <v>1674</v>
      </c>
      <c r="F5" s="3738"/>
      <c r="G5" s="3740" t="s">
        <v>1675</v>
      </c>
      <c r="H5" s="3731"/>
      <c r="I5" s="3740" t="s">
        <v>1676</v>
      </c>
      <c r="J5" s="3731"/>
      <c r="K5" s="559"/>
      <c r="L5" s="2715"/>
      <c r="M5" s="2716"/>
      <c r="N5" s="2716"/>
      <c r="O5" s="2716"/>
      <c r="P5" s="3751"/>
      <c r="Q5" s="3718"/>
      <c r="R5" s="3723"/>
      <c r="S5" s="3724"/>
      <c r="T5" s="3723"/>
      <c r="U5" s="3724"/>
      <c r="V5" s="3727"/>
      <c r="W5" s="3727"/>
      <c r="X5" s="1355"/>
      <c r="Y5" s="3723"/>
      <c r="Z5" s="3724"/>
      <c r="AA5" s="3709"/>
      <c r="AB5" s="3709"/>
      <c r="AC5" s="3747"/>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52"/>
      <c r="Q6" s="3720"/>
      <c r="R6" s="3723"/>
      <c r="S6" s="3724"/>
      <c r="T6" s="3725"/>
      <c r="U6" s="3726"/>
      <c r="V6" s="3727"/>
      <c r="W6" s="3727"/>
      <c r="X6" s="1355"/>
      <c r="Y6" s="3725"/>
      <c r="Z6" s="3726"/>
      <c r="AA6" s="3710"/>
      <c r="AB6" s="3710"/>
      <c r="AC6" s="3748"/>
    </row>
    <row r="7" spans="1:29" s="108" customFormat="1" ht="15" thickBot="1">
      <c r="A7" s="362" t="s">
        <v>1679</v>
      </c>
      <c r="B7" s="363"/>
      <c r="C7" s="364">
        <f>'数据-取费表'!B2</f>
        <v>41356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6"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6" t="s">
        <v>1683</v>
      </c>
      <c r="Q8" s="3733"/>
      <c r="R8" s="701" t="s">
        <v>14</v>
      </c>
      <c r="S8" s="702">
        <f t="shared" si="0"/>
        <v>100</v>
      </c>
      <c r="T8" s="701" t="s">
        <v>14</v>
      </c>
      <c r="U8" s="702">
        <f t="shared" si="1"/>
        <v>100</v>
      </c>
      <c r="V8" s="701" t="s">
        <v>14</v>
      </c>
      <c r="W8" s="702">
        <f t="shared" si="2"/>
        <v>100</v>
      </c>
      <c r="X8" s="703"/>
      <c r="Y8" s="3732" t="s">
        <v>1683</v>
      </c>
      <c r="Z8" s="3733"/>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7"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1959">
        <f t="shared" si="5"/>
        <v>1</v>
      </c>
    </row>
    <row r="10" spans="1:29" s="378" customFormat="1" ht="28.8">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7"/>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7"/>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7"/>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7"/>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7"/>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5" t="s">
        <v>1691</v>
      </c>
      <c r="Q15" s="1352" t="str">
        <f t="shared" si="6"/>
        <v>办公集聚程度</v>
      </c>
      <c r="R15" s="705" t="s">
        <v>14</v>
      </c>
      <c r="S15" s="706">
        <f t="shared" si="0"/>
        <v>100</v>
      </c>
      <c r="T15" s="705" t="s">
        <v>14</v>
      </c>
      <c r="U15" s="706">
        <f t="shared" si="1"/>
        <v>100</v>
      </c>
      <c r="V15" s="705" t="s">
        <v>14</v>
      </c>
      <c r="W15" s="706">
        <f t="shared" si="2"/>
        <v>100</v>
      </c>
      <c r="X15" s="1355"/>
      <c r="Y15" s="369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6"/>
      <c r="Q16" s="1352"/>
      <c r="R16" s="705"/>
      <c r="S16" s="706"/>
      <c r="T16" s="705"/>
      <c r="U16" s="706"/>
      <c r="V16" s="705"/>
      <c r="W16" s="706"/>
      <c r="X16" s="1355"/>
      <c r="Y16" s="3699"/>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6"/>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6"/>
      <c r="Q18" s="1352"/>
      <c r="R18" s="705"/>
      <c r="S18" s="706"/>
      <c r="T18" s="705"/>
      <c r="U18" s="706"/>
      <c r="V18" s="705"/>
      <c r="W18" s="706"/>
      <c r="X18" s="1355"/>
      <c r="Y18" s="3699"/>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6"/>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6"/>
      <c r="Q20" s="1352"/>
      <c r="R20" s="705"/>
      <c r="S20" s="706"/>
      <c r="T20" s="705"/>
      <c r="U20" s="706"/>
      <c r="V20" s="705"/>
      <c r="W20" s="706"/>
      <c r="X20" s="1355"/>
      <c r="Y20" s="3699"/>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6"/>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6"/>
      <c r="Q22" s="1352"/>
      <c r="R22" s="705"/>
      <c r="S22" s="706"/>
      <c r="T22" s="705"/>
      <c r="U22" s="706"/>
      <c r="V22" s="705"/>
      <c r="W22" s="706"/>
      <c r="X22" s="1355"/>
      <c r="Y22" s="3699"/>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6"/>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6"/>
      <c r="Q24" s="1352"/>
      <c r="R24" s="705"/>
      <c r="S24" s="706"/>
      <c r="T24" s="705"/>
      <c r="U24" s="706"/>
      <c r="V24" s="705"/>
      <c r="W24" s="706"/>
      <c r="X24" s="1355"/>
      <c r="Y24" s="3699"/>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6"/>
      <c r="Q25" s="1352" t="str">
        <f>B25</f>
        <v>毗邻道路的类型与等级</v>
      </c>
      <c r="R25" s="705" t="s">
        <v>14</v>
      </c>
      <c r="S25" s="706">
        <f>F25</f>
        <v>100</v>
      </c>
      <c r="T25" s="705" t="s">
        <v>14</v>
      </c>
      <c r="U25" s="706">
        <f>H25</f>
        <v>100</v>
      </c>
      <c r="V25" s="705" t="s">
        <v>14</v>
      </c>
      <c r="W25" s="706">
        <f>J25</f>
        <v>100</v>
      </c>
      <c r="X25" s="1355"/>
      <c r="Y25" s="369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6"/>
      <c r="Q26" s="1352"/>
      <c r="R26" s="705"/>
      <c r="S26" s="706"/>
      <c r="T26" s="705"/>
      <c r="U26" s="706"/>
      <c r="V26" s="705"/>
      <c r="W26" s="706"/>
      <c r="X26" s="1355"/>
      <c r="Y26" s="369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6"/>
      <c r="Q27" s="1352" t="str">
        <f t="shared" ref="Q27:Q47" si="11">B27</f>
        <v>楼层</v>
      </c>
      <c r="R27" s="705" t="s">
        <v>14</v>
      </c>
      <c r="S27" s="706">
        <f>F27</f>
        <v>100</v>
      </c>
      <c r="T27" s="705" t="s">
        <v>14</v>
      </c>
      <c r="U27" s="706">
        <f>H27</f>
        <v>100</v>
      </c>
      <c r="V27" s="705" t="s">
        <v>14</v>
      </c>
      <c r="W27" s="706">
        <f>J27</f>
        <v>100</v>
      </c>
      <c r="X27" s="1355"/>
      <c r="Y27" s="369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6"/>
      <c r="Q28" s="1343" t="str">
        <f t="shared" si="11"/>
        <v>朝向</v>
      </c>
      <c r="R28" s="701" t="s">
        <v>14</v>
      </c>
      <c r="S28" s="702">
        <f>F28</f>
        <v>100</v>
      </c>
      <c r="T28" s="701" t="s">
        <v>14</v>
      </c>
      <c r="U28" s="702">
        <f>H28</f>
        <v>100</v>
      </c>
      <c r="V28" s="701" t="s">
        <v>14</v>
      </c>
      <c r="W28" s="702">
        <f>J28</f>
        <v>100</v>
      </c>
      <c r="X28" s="703"/>
      <c r="Y28" s="369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6"/>
      <c r="Q29" s="1352">
        <f t="shared" si="11"/>
        <v>111</v>
      </c>
      <c r="R29" s="705" t="s">
        <v>14</v>
      </c>
      <c r="S29" s="706">
        <f t="shared" ref="S29:S47" si="12">F29</f>
        <v>100</v>
      </c>
      <c r="T29" s="705" t="s">
        <v>14</v>
      </c>
      <c r="U29" s="706">
        <f t="shared" ref="U29:U47" si="13">H29</f>
        <v>100</v>
      </c>
      <c r="V29" s="705" t="s">
        <v>14</v>
      </c>
      <c r="W29" s="706">
        <f t="shared" ref="W29:W47" si="14">J29</f>
        <v>100</v>
      </c>
      <c r="X29" s="1355"/>
      <c r="Y29" s="369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6"/>
      <c r="Q30" s="1352">
        <f t="shared" si="11"/>
        <v>111</v>
      </c>
      <c r="R30" s="705" t="s">
        <v>14</v>
      </c>
      <c r="S30" s="706">
        <f t="shared" si="12"/>
        <v>100</v>
      </c>
      <c r="T30" s="705" t="s">
        <v>14</v>
      </c>
      <c r="U30" s="706">
        <f t="shared" si="13"/>
        <v>100</v>
      </c>
      <c r="V30" s="705" t="s">
        <v>14</v>
      </c>
      <c r="W30" s="706">
        <f t="shared" si="14"/>
        <v>100</v>
      </c>
      <c r="X30" s="1355"/>
      <c r="Y30" s="369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6"/>
      <c r="Q31" s="1352">
        <f t="shared" si="11"/>
        <v>111</v>
      </c>
      <c r="R31" s="705" t="s">
        <v>14</v>
      </c>
      <c r="S31" s="706">
        <f t="shared" si="12"/>
        <v>100</v>
      </c>
      <c r="T31" s="705" t="s">
        <v>14</v>
      </c>
      <c r="U31" s="706">
        <f t="shared" si="13"/>
        <v>100</v>
      </c>
      <c r="V31" s="705" t="s">
        <v>14</v>
      </c>
      <c r="W31" s="706">
        <f t="shared" si="14"/>
        <v>100</v>
      </c>
      <c r="X31" s="1355"/>
      <c r="Y31" s="3699"/>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6"/>
      <c r="Q32" s="1352">
        <f t="shared" si="11"/>
        <v>111</v>
      </c>
      <c r="R32" s="705" t="s">
        <v>14</v>
      </c>
      <c r="S32" s="706">
        <f t="shared" si="12"/>
        <v>100</v>
      </c>
      <c r="T32" s="705" t="s">
        <v>14</v>
      </c>
      <c r="U32" s="706">
        <f t="shared" si="13"/>
        <v>100</v>
      </c>
      <c r="V32" s="705" t="s">
        <v>14</v>
      </c>
      <c r="W32" s="706">
        <f t="shared" si="14"/>
        <v>100</v>
      </c>
      <c r="X32" s="1355"/>
      <c r="Y32" s="369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0" t="s">
        <v>1696</v>
      </c>
      <c r="Q33" s="1352" t="str">
        <f t="shared" si="11"/>
        <v>建筑类型</v>
      </c>
      <c r="R33" s="705" t="s">
        <v>14</v>
      </c>
      <c r="S33" s="706">
        <f t="shared" si="12"/>
        <v>100</v>
      </c>
      <c r="T33" s="705" t="s">
        <v>14</v>
      </c>
      <c r="U33" s="706">
        <f t="shared" si="13"/>
        <v>100</v>
      </c>
      <c r="V33" s="705" t="s">
        <v>14</v>
      </c>
      <c r="W33" s="706">
        <f t="shared" si="14"/>
        <v>100</v>
      </c>
      <c r="X33" s="1355"/>
      <c r="Y33" s="370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1"/>
      <c r="Q34" s="707" t="str">
        <f t="shared" si="11"/>
        <v>项目建筑规模</v>
      </c>
      <c r="R34" s="708" t="s">
        <v>14</v>
      </c>
      <c r="S34" s="709" t="e">
        <f t="shared" si="12"/>
        <v>#N/A</v>
      </c>
      <c r="T34" s="708" t="s">
        <v>14</v>
      </c>
      <c r="U34" s="709" t="e">
        <f t="shared" si="13"/>
        <v>#N/A</v>
      </c>
      <c r="V34" s="708" t="s">
        <v>14</v>
      </c>
      <c r="W34" s="709" t="e">
        <f t="shared" si="14"/>
        <v>#N/A</v>
      </c>
      <c r="X34" s="710"/>
      <c r="Y34" s="370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1"/>
      <c r="Q35" s="1352" t="str">
        <f t="shared" si="11"/>
        <v>建筑结构</v>
      </c>
      <c r="R35" s="705" t="s">
        <v>14</v>
      </c>
      <c r="S35" s="706">
        <f t="shared" si="12"/>
        <v>100</v>
      </c>
      <c r="T35" s="705" t="s">
        <v>14</v>
      </c>
      <c r="U35" s="706">
        <f t="shared" si="13"/>
        <v>100</v>
      </c>
      <c r="V35" s="705" t="s">
        <v>14</v>
      </c>
      <c r="W35" s="706">
        <f t="shared" si="14"/>
        <v>100</v>
      </c>
      <c r="X35" s="1355"/>
      <c r="Y35" s="370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1"/>
      <c r="Q36" s="1352" t="str">
        <f t="shared" si="11"/>
        <v>公共部分装修</v>
      </c>
      <c r="R36" s="705" t="s">
        <v>14</v>
      </c>
      <c r="S36" s="706">
        <f t="shared" si="12"/>
        <v>100</v>
      </c>
      <c r="T36" s="705" t="s">
        <v>14</v>
      </c>
      <c r="U36" s="706">
        <f t="shared" si="13"/>
        <v>100</v>
      </c>
      <c r="V36" s="705" t="s">
        <v>14</v>
      </c>
      <c r="W36" s="706">
        <f t="shared" si="14"/>
        <v>100</v>
      </c>
      <c r="X36" s="1355"/>
      <c r="Y36" s="370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1"/>
      <c r="Q37" s="1352" t="str">
        <f t="shared" si="11"/>
        <v>成新度</v>
      </c>
      <c r="R37" s="705" t="s">
        <v>14</v>
      </c>
      <c r="S37" s="706" t="e">
        <f t="shared" si="12"/>
        <v>#N/A</v>
      </c>
      <c r="T37" s="705" t="s">
        <v>14</v>
      </c>
      <c r="U37" s="706" t="e">
        <f t="shared" si="13"/>
        <v>#N/A</v>
      </c>
      <c r="V37" s="705" t="s">
        <v>14</v>
      </c>
      <c r="W37" s="706" t="e">
        <f t="shared" si="14"/>
        <v>#N/A</v>
      </c>
      <c r="X37" s="1355"/>
      <c r="Y37" s="370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1"/>
      <c r="Q38" s="1343" t="str">
        <f t="shared" si="11"/>
        <v>写字楼等级</v>
      </c>
      <c r="R38" s="701" t="s">
        <v>14</v>
      </c>
      <c r="S38" s="702">
        <f t="shared" si="12"/>
        <v>100</v>
      </c>
      <c r="T38" s="701" t="s">
        <v>14</v>
      </c>
      <c r="U38" s="702">
        <f t="shared" si="13"/>
        <v>100</v>
      </c>
      <c r="V38" s="701" t="s">
        <v>14</v>
      </c>
      <c r="W38" s="702">
        <f t="shared" si="14"/>
        <v>100</v>
      </c>
      <c r="X38" s="703"/>
      <c r="Y38" s="370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1" t="s">
        <v>1696</v>
      </c>
      <c r="Q39" s="1352" t="str">
        <f t="shared" si="11"/>
        <v>物业管理</v>
      </c>
      <c r="R39" s="705" t="s">
        <v>14</v>
      </c>
      <c r="S39" s="706">
        <f t="shared" si="12"/>
        <v>100</v>
      </c>
      <c r="T39" s="705" t="s">
        <v>14</v>
      </c>
      <c r="U39" s="706">
        <f t="shared" si="13"/>
        <v>100</v>
      </c>
      <c r="V39" s="705" t="s">
        <v>14</v>
      </c>
      <c r="W39" s="706">
        <f t="shared" si="14"/>
        <v>100</v>
      </c>
      <c r="X39" s="1355"/>
      <c r="Y39" s="370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1"/>
      <c r="Q40" s="1352" t="str">
        <f t="shared" si="11"/>
        <v>市政基础设施</v>
      </c>
      <c r="R40" s="705" t="s">
        <v>14</v>
      </c>
      <c r="S40" s="706">
        <f t="shared" si="12"/>
        <v>100</v>
      </c>
      <c r="T40" s="705" t="s">
        <v>14</v>
      </c>
      <c r="U40" s="706">
        <f t="shared" si="13"/>
        <v>100</v>
      </c>
      <c r="V40" s="705" t="s">
        <v>14</v>
      </c>
      <c r="W40" s="706">
        <f t="shared" si="14"/>
        <v>100</v>
      </c>
      <c r="X40" s="1355"/>
      <c r="Y40" s="370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1"/>
      <c r="Q41" s="1352" t="str">
        <f t="shared" si="11"/>
        <v>层高</v>
      </c>
      <c r="R41" s="705" t="s">
        <v>14</v>
      </c>
      <c r="S41" s="706">
        <f t="shared" si="12"/>
        <v>100</v>
      </c>
      <c r="T41" s="705" t="s">
        <v>14</v>
      </c>
      <c r="U41" s="706">
        <f t="shared" si="13"/>
        <v>100</v>
      </c>
      <c r="V41" s="705" t="s">
        <v>14</v>
      </c>
      <c r="W41" s="706">
        <f t="shared" si="14"/>
        <v>100</v>
      </c>
      <c r="X41" s="1355"/>
      <c r="Y41" s="370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1"/>
      <c r="Q42" s="707" t="str">
        <f t="shared" si="11"/>
        <v>单套建筑面积</v>
      </c>
      <c r="R42" s="708" t="s">
        <v>14</v>
      </c>
      <c r="S42" s="709">
        <f t="shared" si="12"/>
        <v>100</v>
      </c>
      <c r="T42" s="708" t="s">
        <v>14</v>
      </c>
      <c r="U42" s="709">
        <f t="shared" si="13"/>
        <v>100</v>
      </c>
      <c r="V42" s="708" t="s">
        <v>14</v>
      </c>
      <c r="W42" s="709">
        <f t="shared" si="14"/>
        <v>100</v>
      </c>
      <c r="X42" s="710"/>
      <c r="Y42" s="370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1"/>
      <c r="Q43" s="1352" t="str">
        <f t="shared" si="11"/>
        <v>内部装修</v>
      </c>
      <c r="R43" s="705" t="s">
        <v>14</v>
      </c>
      <c r="S43" s="706">
        <f t="shared" si="12"/>
        <v>100</v>
      </c>
      <c r="T43" s="705" t="s">
        <v>14</v>
      </c>
      <c r="U43" s="706">
        <f t="shared" si="13"/>
        <v>100</v>
      </c>
      <c r="V43" s="705" t="s">
        <v>14</v>
      </c>
      <c r="W43" s="706">
        <f t="shared" si="14"/>
        <v>100</v>
      </c>
      <c r="X43" s="1355"/>
      <c r="Y43" s="3703"/>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1"/>
      <c r="Q44" s="1352" t="str">
        <f t="shared" si="11"/>
        <v>内部装修维护情况</v>
      </c>
      <c r="R44" s="705" t="s">
        <v>14</v>
      </c>
      <c r="S44" s="706">
        <f t="shared" si="12"/>
        <v>100</v>
      </c>
      <c r="T44" s="705" t="s">
        <v>14</v>
      </c>
      <c r="U44" s="706">
        <f t="shared" si="13"/>
        <v>100</v>
      </c>
      <c r="V44" s="705" t="s">
        <v>14</v>
      </c>
      <c r="W44" s="706">
        <f t="shared" si="14"/>
        <v>100</v>
      </c>
      <c r="X44" s="1355"/>
      <c r="Y44" s="370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1"/>
      <c r="Q45" s="1343">
        <f t="shared" si="11"/>
        <v>111</v>
      </c>
      <c r="R45" s="701" t="s">
        <v>14</v>
      </c>
      <c r="S45" s="702">
        <f t="shared" si="12"/>
        <v>100</v>
      </c>
      <c r="T45" s="701" t="s">
        <v>14</v>
      </c>
      <c r="U45" s="702">
        <f t="shared" si="13"/>
        <v>100</v>
      </c>
      <c r="V45" s="701" t="s">
        <v>14</v>
      </c>
      <c r="W45" s="702">
        <f t="shared" si="14"/>
        <v>100</v>
      </c>
      <c r="X45" s="703"/>
      <c r="Y45" s="370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2"/>
      <c r="Q47" s="1352">
        <f t="shared" si="11"/>
        <v>111</v>
      </c>
      <c r="R47" s="705" t="s">
        <v>14</v>
      </c>
      <c r="S47" s="706">
        <f t="shared" si="12"/>
        <v>100</v>
      </c>
      <c r="T47" s="705" t="s">
        <v>14</v>
      </c>
      <c r="U47" s="706">
        <f t="shared" si="13"/>
        <v>100</v>
      </c>
      <c r="V47" s="705" t="s">
        <v>14</v>
      </c>
      <c r="W47" s="706">
        <f t="shared" si="14"/>
        <v>100</v>
      </c>
      <c r="X47" s="1355"/>
      <c r="Y47" s="3704"/>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4"/>
      <c r="M48" s="2716"/>
      <c r="N48" s="2716"/>
      <c r="O48" s="2716"/>
      <c r="P48" s="3707" t="str">
        <f>A48</f>
        <v>成交单价（元/平方米）</v>
      </c>
      <c r="Q48" s="3696"/>
      <c r="R48" s="3697">
        <f>E48</f>
        <v>0</v>
      </c>
      <c r="S48" s="3697"/>
      <c r="T48" s="3697">
        <f>G48</f>
        <v>0</v>
      </c>
      <c r="U48" s="3697"/>
      <c r="V48" s="3697">
        <f>I48</f>
        <v>0</v>
      </c>
      <c r="W48" s="3697"/>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7" t="str">
        <f>A49</f>
        <v>比较价值（元/平方米）</v>
      </c>
      <c r="Q49" s="3696"/>
      <c r="R49" s="3697" t="e">
        <f>IF(F1="售价",ROUND(PRODUCT(R48,AA7:AA47),0),ROUND(PRODUCT(R48,AA7:AA47),1))</f>
        <v>#DIV/0!</v>
      </c>
      <c r="S49" s="3697"/>
      <c r="T49" s="3697" t="e">
        <f>IF(F1="售价",ROUND(PRODUCT(T48,AB7:AB47),0),ROUND(PRODUCT(T48,AB7:AB47),1))</f>
        <v>#DIV/0!</v>
      </c>
      <c r="U49" s="3697"/>
      <c r="V49" s="3697" t="e">
        <f>IF(F1="售价",ROUND(PRODUCT(V48,AC7:AC47),0),ROUND(PRODUCT(V48,AC7:AC47),1))</f>
        <v>#DIV/0!</v>
      </c>
      <c r="W49" s="3697"/>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4"/>
      <c r="M50" s="2716"/>
      <c r="N50" s="2716"/>
      <c r="O50" s="2716"/>
      <c r="P50" s="3743" t="str">
        <f>A50</f>
        <v>估价对象XX用房的比较价值（楼面单价，元/平方米）</v>
      </c>
      <c r="Q50" s="3744"/>
      <c r="R50" s="3745" t="e">
        <f>IF(F1="售价",ROUND(IF(D49="简单平均",AVERAGE(R49:V49),R49*F49+T49*H49+V49*J49),0),ROUND(IF(D49="简单平均",AVERAGE(R49:V49),R49*F49+T49*H49+V49*J49),1))</f>
        <v>#DIV/0!</v>
      </c>
      <c r="S50" s="3745"/>
      <c r="T50" s="3745"/>
      <c r="U50" s="3745"/>
      <c r="V50" s="3745"/>
      <c r="W50" s="3745"/>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2.2"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4.4">
      <c r="A59" s="454" t="s">
        <v>1679</v>
      </c>
      <c r="B59" s="455"/>
      <c r="C59" s="1184" t="str">
        <f>YEAR(C7)&amp;"-"&amp;MONTH(C7)</f>
        <v>2013-3</v>
      </c>
      <c r="D59" s="1185">
        <f>EDATE(C59,-1)</f>
        <v>41306</v>
      </c>
      <c r="E59" s="1185">
        <f>EDATE(D59,-1)</f>
        <v>41275</v>
      </c>
      <c r="F59" s="1185">
        <f t="shared" ref="F59:O59" si="16">EDATE(E59,-1)</f>
        <v>41244</v>
      </c>
      <c r="G59" s="1185">
        <f t="shared" si="16"/>
        <v>41214</v>
      </c>
      <c r="H59" s="1185">
        <f t="shared" si="16"/>
        <v>41183</v>
      </c>
      <c r="I59" s="1185">
        <f t="shared" si="16"/>
        <v>41153</v>
      </c>
      <c r="J59" s="1185">
        <f t="shared" si="16"/>
        <v>41122</v>
      </c>
      <c r="K59" s="1185">
        <f t="shared" si="16"/>
        <v>41091</v>
      </c>
      <c r="L59" s="1185">
        <f t="shared" si="16"/>
        <v>41061</v>
      </c>
      <c r="M59" s="1185">
        <f t="shared" si="16"/>
        <v>41030</v>
      </c>
      <c r="N59" s="1185">
        <f t="shared" si="16"/>
        <v>41000</v>
      </c>
      <c r="O59" s="1185">
        <f t="shared" si="16"/>
        <v>40969</v>
      </c>
      <c r="P59" s="2759"/>
      <c r="Q59" s="2741"/>
      <c r="R59" s="2741"/>
      <c r="S59" s="2741"/>
      <c r="T59" s="2741"/>
      <c r="U59" s="2741"/>
      <c r="V59" s="2741"/>
      <c r="W59" s="2741"/>
      <c r="X59" s="2741"/>
      <c r="Y59" s="2741"/>
      <c r="Z59" s="2741"/>
      <c r="AA59" s="2741"/>
      <c r="AB59" s="2741"/>
      <c r="AC59" s="2741"/>
    </row>
    <row r="60" spans="1:29" s="108" customFormat="1">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4.4">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4.4"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ht="14.4">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4.4"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9.4"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4.4"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4.4"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4.4"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4.4"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4.4"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4.4"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4.4"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ht="14.4">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9.4"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4.4"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4.4"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4.4"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4.4"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4.4"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4.4"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4.4"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4.4"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ht="14.4">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4.4"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4.4"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4.4"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4.4"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4.4"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4.4"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4.4"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4.4"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275.64999999999998</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913"/>
      <c r="M4" s="914"/>
      <c r="N4" s="914"/>
      <c r="O4" s="914"/>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913"/>
      <c r="M5" s="914"/>
      <c r="N5" s="914"/>
      <c r="O5" s="914"/>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913"/>
      <c r="M6" s="914"/>
      <c r="N6" s="914"/>
      <c r="O6" s="914"/>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SUMIF(52:52,YEAR(E7)&amp;"-"&amp;MONTH(E7),53:53)</f>
        <v>0</v>
      </c>
      <c r="G7" s="366"/>
      <c r="H7" s="365">
        <f>SUMIF(52:52,YEAR(G7)&amp;"-"&amp;MONTH(G7),53:53)</f>
        <v>0</v>
      </c>
      <c r="I7" s="366"/>
      <c r="J7" s="365">
        <f>SUMIF(52:52,YEAR(I7)&amp;"-"&amp;MONTH(I7),53:53)</f>
        <v>0</v>
      </c>
      <c r="K7" s="560"/>
      <c r="L7" s="915"/>
      <c r="M7" s="916"/>
      <c r="N7" s="916"/>
      <c r="O7" s="916"/>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2" t="s">
        <v>1683</v>
      </c>
      <c r="Q8" s="3733"/>
      <c r="R8" s="701" t="s">
        <v>14</v>
      </c>
      <c r="S8" s="702">
        <f t="shared" si="0"/>
        <v>100</v>
      </c>
      <c r="T8" s="701" t="s">
        <v>14</v>
      </c>
      <c r="U8" s="702">
        <f t="shared" si="1"/>
        <v>100</v>
      </c>
      <c r="V8" s="701" t="s">
        <v>14</v>
      </c>
      <c r="W8" s="702">
        <f t="shared" si="2"/>
        <v>100</v>
      </c>
      <c r="X8" s="703"/>
      <c r="Y8" s="3732" t="s">
        <v>1683</v>
      </c>
      <c r="Z8" s="3733"/>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6"/>
      <c r="Q11" s="1343" t="str">
        <f t="shared" si="6"/>
        <v>容积率</v>
      </c>
      <c r="R11" s="701" t="s">
        <v>14</v>
      </c>
      <c r="S11" s="702">
        <f t="shared" si="0"/>
        <v>100</v>
      </c>
      <c r="T11" s="701" t="s">
        <v>14</v>
      </c>
      <c r="U11" s="702">
        <f t="shared" si="1"/>
        <v>100</v>
      </c>
      <c r="V11" s="701" t="s">
        <v>14</v>
      </c>
      <c r="W11" s="702">
        <f t="shared" si="2"/>
        <v>100</v>
      </c>
      <c r="X11" s="703"/>
      <c r="Y11" s="357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9"/>
      <c r="Q16" s="1352"/>
      <c r="R16" s="705"/>
      <c r="S16" s="706"/>
      <c r="T16" s="705"/>
      <c r="U16" s="706"/>
      <c r="V16" s="705"/>
      <c r="W16" s="706"/>
      <c r="X16" s="1355"/>
      <c r="Y16" s="3699"/>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9"/>
      <c r="Q18" s="1352"/>
      <c r="R18" s="705"/>
      <c r="S18" s="706"/>
      <c r="T18" s="705"/>
      <c r="U18" s="706"/>
      <c r="V18" s="705"/>
      <c r="W18" s="706"/>
      <c r="X18" s="1355"/>
      <c r="Y18" s="3699"/>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9"/>
      <c r="Q19" s="1352" t="str">
        <f>B19</f>
        <v>公共配套设施</v>
      </c>
      <c r="R19" s="705" t="s">
        <v>14</v>
      </c>
      <c r="S19" s="706">
        <f>F19</f>
        <v>100</v>
      </c>
      <c r="T19" s="705" t="s">
        <v>14</v>
      </c>
      <c r="U19" s="706">
        <f>H19</f>
        <v>100</v>
      </c>
      <c r="V19" s="705" t="s">
        <v>14</v>
      </c>
      <c r="W19" s="706">
        <f>J19</f>
        <v>100</v>
      </c>
      <c r="X19" s="1355"/>
      <c r="Y19" s="369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9"/>
      <c r="Q20" s="1352"/>
      <c r="R20" s="705"/>
      <c r="S20" s="706"/>
      <c r="T20" s="705"/>
      <c r="U20" s="706"/>
      <c r="V20" s="705"/>
      <c r="W20" s="706"/>
      <c r="X20" s="1355"/>
      <c r="Y20" s="3699"/>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9"/>
      <c r="Q21" s="1352" t="str">
        <f>B21</f>
        <v>基础设施水平</v>
      </c>
      <c r="R21" s="705" t="s">
        <v>14</v>
      </c>
      <c r="S21" s="706">
        <f>F21</f>
        <v>100</v>
      </c>
      <c r="T21" s="705" t="s">
        <v>14</v>
      </c>
      <c r="U21" s="706">
        <f>H21</f>
        <v>100</v>
      </c>
      <c r="V21" s="705" t="s">
        <v>14</v>
      </c>
      <c r="W21" s="706">
        <f>J21</f>
        <v>100</v>
      </c>
      <c r="X21" s="1355"/>
      <c r="Y21" s="369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9"/>
      <c r="Q22" s="1352"/>
      <c r="R22" s="705"/>
      <c r="S22" s="706"/>
      <c r="T22" s="705"/>
      <c r="U22" s="706"/>
      <c r="V22" s="705"/>
      <c r="W22" s="706"/>
      <c r="X22" s="1355"/>
      <c r="Y22" s="3699"/>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9"/>
      <c r="Q23" s="1352" t="str">
        <f>B23</f>
        <v>环境质量</v>
      </c>
      <c r="R23" s="705" t="s">
        <v>14</v>
      </c>
      <c r="S23" s="706">
        <f>F23</f>
        <v>100</v>
      </c>
      <c r="T23" s="705" t="s">
        <v>14</v>
      </c>
      <c r="U23" s="706">
        <f>H23</f>
        <v>100</v>
      </c>
      <c r="V23" s="705" t="s">
        <v>14</v>
      </c>
      <c r="W23" s="706">
        <f>J23</f>
        <v>100</v>
      </c>
      <c r="X23" s="1355"/>
      <c r="Y23" s="369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9"/>
      <c r="Q24" s="1352"/>
      <c r="R24" s="705"/>
      <c r="S24" s="706"/>
      <c r="T24" s="705"/>
      <c r="U24" s="706"/>
      <c r="V24" s="705"/>
      <c r="W24" s="706"/>
      <c r="X24" s="1355"/>
      <c r="Y24" s="369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9"/>
      <c r="Q25" s="1352">
        <f>B25</f>
        <v>111</v>
      </c>
      <c r="R25" s="705" t="s">
        <v>14</v>
      </c>
      <c r="S25" s="706">
        <f>F25</f>
        <v>100</v>
      </c>
      <c r="T25" s="705" t="s">
        <v>14</v>
      </c>
      <c r="U25" s="706">
        <f>H25</f>
        <v>100</v>
      </c>
      <c r="V25" s="705" t="s">
        <v>14</v>
      </c>
      <c r="W25" s="706">
        <f>J25</f>
        <v>100</v>
      </c>
      <c r="X25" s="1355"/>
      <c r="Y25" s="369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9"/>
      <c r="Q26" s="1352">
        <f t="shared" ref="Q26:Q40" si="11">B26</f>
        <v>111</v>
      </c>
      <c r="R26" s="705" t="s">
        <v>14</v>
      </c>
      <c r="S26" s="706">
        <f>F26</f>
        <v>100</v>
      </c>
      <c r="T26" s="705" t="s">
        <v>14</v>
      </c>
      <c r="U26" s="706">
        <f>H26</f>
        <v>100</v>
      </c>
      <c r="V26" s="705" t="s">
        <v>14</v>
      </c>
      <c r="W26" s="706">
        <f>J26</f>
        <v>100</v>
      </c>
      <c r="X26" s="1355"/>
      <c r="Y26" s="369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9"/>
      <c r="Q27" s="1343">
        <f t="shared" si="11"/>
        <v>111</v>
      </c>
      <c r="R27" s="701" t="s">
        <v>14</v>
      </c>
      <c r="S27" s="702">
        <f>F27</f>
        <v>100</v>
      </c>
      <c r="T27" s="701" t="s">
        <v>14</v>
      </c>
      <c r="U27" s="702">
        <f>H27</f>
        <v>100</v>
      </c>
      <c r="V27" s="701" t="s">
        <v>14</v>
      </c>
      <c r="W27" s="702">
        <f>J27</f>
        <v>100</v>
      </c>
      <c r="X27" s="703"/>
      <c r="Y27" s="3699"/>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9"/>
      <c r="Q28" s="1352">
        <f t="shared" si="11"/>
        <v>111</v>
      </c>
      <c r="R28" s="705" t="s">
        <v>14</v>
      </c>
      <c r="S28" s="706">
        <f t="shared" ref="S28:S40" si="12">F28</f>
        <v>100</v>
      </c>
      <c r="T28" s="705" t="s">
        <v>14</v>
      </c>
      <c r="U28" s="706">
        <f t="shared" ref="U28:U40" si="13">H28</f>
        <v>100</v>
      </c>
      <c r="V28" s="705" t="s">
        <v>14</v>
      </c>
      <c r="W28" s="706">
        <f t="shared" ref="W28:W40" si="14">J28</f>
        <v>100</v>
      </c>
      <c r="X28" s="1355"/>
      <c r="Y28" s="3699"/>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8" t="s">
        <v>1696</v>
      </c>
      <c r="Q29" s="1352" t="str">
        <f t="shared" si="11"/>
        <v>建筑类型</v>
      </c>
      <c r="R29" s="705" t="s">
        <v>14</v>
      </c>
      <c r="S29" s="706">
        <f t="shared" si="12"/>
        <v>100</v>
      </c>
      <c r="T29" s="705" t="s">
        <v>14</v>
      </c>
      <c r="U29" s="706">
        <f t="shared" si="13"/>
        <v>100</v>
      </c>
      <c r="V29" s="705" t="s">
        <v>14</v>
      </c>
      <c r="W29" s="706">
        <f t="shared" si="14"/>
        <v>100</v>
      </c>
      <c r="X29" s="1355"/>
      <c r="Y29" s="370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3"/>
      <c r="Q30" s="707" t="str">
        <f t="shared" si="11"/>
        <v>项目建筑规模</v>
      </c>
      <c r="R30" s="708" t="s">
        <v>14</v>
      </c>
      <c r="S30" s="709" t="e">
        <f t="shared" si="12"/>
        <v>#N/A</v>
      </c>
      <c r="T30" s="708" t="s">
        <v>14</v>
      </c>
      <c r="U30" s="709" t="e">
        <f t="shared" si="13"/>
        <v>#N/A</v>
      </c>
      <c r="V30" s="708" t="s">
        <v>14</v>
      </c>
      <c r="W30" s="709" t="e">
        <f t="shared" si="14"/>
        <v>#N/A</v>
      </c>
      <c r="X30" s="710"/>
      <c r="Y30" s="370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3"/>
      <c r="Q31" s="1352" t="str">
        <f t="shared" si="11"/>
        <v>建筑结构</v>
      </c>
      <c r="R31" s="705" t="s">
        <v>14</v>
      </c>
      <c r="S31" s="706">
        <f t="shared" si="12"/>
        <v>100</v>
      </c>
      <c r="T31" s="705" t="s">
        <v>14</v>
      </c>
      <c r="U31" s="706">
        <f t="shared" si="13"/>
        <v>100</v>
      </c>
      <c r="V31" s="705" t="s">
        <v>14</v>
      </c>
      <c r="W31" s="706">
        <f t="shared" si="14"/>
        <v>100</v>
      </c>
      <c r="X31" s="1355"/>
      <c r="Y31" s="370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3"/>
      <c r="Q32" s="1352" t="str">
        <f t="shared" si="11"/>
        <v>公共部分装修</v>
      </c>
      <c r="R32" s="705" t="s">
        <v>14</v>
      </c>
      <c r="S32" s="706">
        <f t="shared" si="12"/>
        <v>100</v>
      </c>
      <c r="T32" s="705" t="s">
        <v>14</v>
      </c>
      <c r="U32" s="706">
        <f t="shared" si="13"/>
        <v>100</v>
      </c>
      <c r="V32" s="705" t="s">
        <v>14</v>
      </c>
      <c r="W32" s="706">
        <f t="shared" si="14"/>
        <v>100</v>
      </c>
      <c r="X32" s="1355"/>
      <c r="Y32" s="370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3"/>
      <c r="Q33" s="1352" t="str">
        <f t="shared" si="11"/>
        <v>成新度</v>
      </c>
      <c r="R33" s="705" t="s">
        <v>14</v>
      </c>
      <c r="S33" s="706" t="e">
        <f t="shared" si="12"/>
        <v>#N/A</v>
      </c>
      <c r="T33" s="705" t="s">
        <v>14</v>
      </c>
      <c r="U33" s="706" t="e">
        <f t="shared" si="13"/>
        <v>#N/A</v>
      </c>
      <c r="V33" s="705" t="s">
        <v>14</v>
      </c>
      <c r="W33" s="706" t="e">
        <f t="shared" si="14"/>
        <v>#N/A</v>
      </c>
      <c r="X33" s="1355"/>
      <c r="Y33" s="370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3"/>
      <c r="Q34" s="1343" t="str">
        <f t="shared" si="11"/>
        <v>物业管理</v>
      </c>
      <c r="R34" s="701" t="s">
        <v>14</v>
      </c>
      <c r="S34" s="702">
        <f t="shared" si="12"/>
        <v>100</v>
      </c>
      <c r="T34" s="701" t="s">
        <v>14</v>
      </c>
      <c r="U34" s="702">
        <f t="shared" si="13"/>
        <v>100</v>
      </c>
      <c r="V34" s="701" t="s">
        <v>14</v>
      </c>
      <c r="W34" s="702">
        <f t="shared" si="14"/>
        <v>100</v>
      </c>
      <c r="X34" s="703"/>
      <c r="Y34" s="370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3" t="s">
        <v>1696</v>
      </c>
      <c r="Q35" s="1352" t="str">
        <f t="shared" si="11"/>
        <v>市政基础设施</v>
      </c>
      <c r="R35" s="705" t="s">
        <v>14</v>
      </c>
      <c r="S35" s="706">
        <f t="shared" si="12"/>
        <v>100</v>
      </c>
      <c r="T35" s="705" t="s">
        <v>14</v>
      </c>
      <c r="U35" s="706">
        <f t="shared" si="13"/>
        <v>100</v>
      </c>
      <c r="V35" s="705" t="s">
        <v>14</v>
      </c>
      <c r="W35" s="706">
        <f t="shared" si="14"/>
        <v>100</v>
      </c>
      <c r="X35" s="1355"/>
      <c r="Y35" s="370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3"/>
      <c r="Q36" s="1352" t="str">
        <f t="shared" si="11"/>
        <v>内部装修</v>
      </c>
      <c r="R36" s="705" t="s">
        <v>14</v>
      </c>
      <c r="S36" s="706">
        <f t="shared" si="12"/>
        <v>100</v>
      </c>
      <c r="T36" s="705" t="s">
        <v>14</v>
      </c>
      <c r="U36" s="706">
        <f t="shared" si="13"/>
        <v>100</v>
      </c>
      <c r="V36" s="705" t="s">
        <v>14</v>
      </c>
      <c r="W36" s="706">
        <f t="shared" si="14"/>
        <v>100</v>
      </c>
      <c r="X36" s="1355"/>
      <c r="Y36" s="370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3"/>
      <c r="Q37" s="1352" t="str">
        <f t="shared" si="11"/>
        <v>内部装修状况</v>
      </c>
      <c r="R37" s="705" t="s">
        <v>14</v>
      </c>
      <c r="S37" s="706">
        <f t="shared" si="12"/>
        <v>100</v>
      </c>
      <c r="T37" s="705" t="s">
        <v>14</v>
      </c>
      <c r="U37" s="706">
        <f t="shared" si="13"/>
        <v>100</v>
      </c>
      <c r="V37" s="705" t="s">
        <v>14</v>
      </c>
      <c r="W37" s="706">
        <f t="shared" si="14"/>
        <v>100</v>
      </c>
      <c r="X37" s="1355"/>
      <c r="Y37" s="370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3"/>
      <c r="Q38" s="707">
        <f t="shared" si="11"/>
        <v>111</v>
      </c>
      <c r="R38" s="708" t="s">
        <v>14</v>
      </c>
      <c r="S38" s="709">
        <f t="shared" si="12"/>
        <v>100</v>
      </c>
      <c r="T38" s="708" t="s">
        <v>14</v>
      </c>
      <c r="U38" s="709">
        <f t="shared" si="13"/>
        <v>100</v>
      </c>
      <c r="V38" s="708" t="s">
        <v>14</v>
      </c>
      <c r="W38" s="709">
        <f t="shared" si="14"/>
        <v>100</v>
      </c>
      <c r="X38" s="710"/>
      <c r="Y38" s="370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3"/>
      <c r="Q39" s="1352">
        <f t="shared" si="11"/>
        <v>111</v>
      </c>
      <c r="R39" s="705" t="s">
        <v>14</v>
      </c>
      <c r="S39" s="706">
        <f t="shared" si="12"/>
        <v>100</v>
      </c>
      <c r="T39" s="705" t="s">
        <v>14</v>
      </c>
      <c r="U39" s="706">
        <f t="shared" si="13"/>
        <v>100</v>
      </c>
      <c r="V39" s="705" t="s">
        <v>14</v>
      </c>
      <c r="W39" s="706">
        <f t="shared" si="14"/>
        <v>100</v>
      </c>
      <c r="X39" s="1355"/>
      <c r="Y39" s="3703"/>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4"/>
      <c r="Q40" s="1352">
        <f t="shared" si="11"/>
        <v>111</v>
      </c>
      <c r="R40" s="705" t="s">
        <v>14</v>
      </c>
      <c r="S40" s="706">
        <f t="shared" si="12"/>
        <v>100</v>
      </c>
      <c r="T40" s="705" t="s">
        <v>14</v>
      </c>
      <c r="U40" s="706">
        <f t="shared" si="13"/>
        <v>100</v>
      </c>
      <c r="V40" s="705" t="s">
        <v>14</v>
      </c>
      <c r="W40" s="706">
        <f t="shared" si="14"/>
        <v>100</v>
      </c>
      <c r="X40" s="1355"/>
      <c r="Y40" s="3704"/>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6" t="str">
        <f>A41</f>
        <v>成交单价（元/平方米）</v>
      </c>
      <c r="Q41" s="3696"/>
      <c r="R41" s="3697">
        <f>E41</f>
        <v>0</v>
      </c>
      <c r="S41" s="3697"/>
      <c r="T41" s="3697">
        <f>G41</f>
        <v>0</v>
      </c>
      <c r="U41" s="3697"/>
      <c r="V41" s="3697">
        <f>I41</f>
        <v>0</v>
      </c>
      <c r="W41" s="3697"/>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6" t="str">
        <f>A42</f>
        <v>比较价值（元/平方米）</v>
      </c>
      <c r="Q42" s="3696"/>
      <c r="R42" s="3697" t="e">
        <f>IF(F1="售价",ROUND(PRODUCT(R41,AA7:AA40),0),ROUND(PRODUCT(R41,AA7:AA40),1))</f>
        <v>#DIV/0!</v>
      </c>
      <c r="S42" s="3697"/>
      <c r="T42" s="3697" t="e">
        <f>IF(F1="售价",ROUND(PRODUCT(T41,AB7:AB40),0),ROUND(PRODUCT(T41,AB7:AB40),1))</f>
        <v>#DIV/0!</v>
      </c>
      <c r="U42" s="3697"/>
      <c r="V42" s="3697" t="e">
        <f>IF(F1="售价",ROUND(PRODUCT(V41,AC7:AC40),0),ROUND(PRODUCT(V41,AC7:AC40),1))</f>
        <v>#DIV/0!</v>
      </c>
      <c r="W42" s="3697"/>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3" t="str">
        <f>A43</f>
        <v>估价对象XX用房的比较价值（楼面单价，元/平方米）</v>
      </c>
      <c r="Q43" s="3694"/>
      <c r="R43" s="3695" t="e">
        <f>IF(F1="售价",ROUND(IF(D42="简单平均",AVERAGE(R42:V42),R42*F42+T42*H42+V42*J42),0),ROUND(IF(D42="简单平均",AVERAGE(R42:V42),R42*F42+T42*H42+V42*J42),1))</f>
        <v>#DIV/0!</v>
      </c>
      <c r="S43" s="3695"/>
      <c r="T43" s="3695"/>
      <c r="U43" s="3695"/>
      <c r="V43" s="3695"/>
      <c r="W43" s="3695"/>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2013-3</v>
      </c>
      <c r="D52" s="1185">
        <f>EDATE(C52,-1)</f>
        <v>41306</v>
      </c>
      <c r="E52" s="1185">
        <f t="shared" ref="E52:O52" si="16">EDATE(D52,-1)</f>
        <v>41275</v>
      </c>
      <c r="F52" s="1185">
        <f t="shared" si="16"/>
        <v>41244</v>
      </c>
      <c r="G52" s="1185">
        <f t="shared" si="16"/>
        <v>41214</v>
      </c>
      <c r="H52" s="1185">
        <f t="shared" si="16"/>
        <v>41183</v>
      </c>
      <c r="I52" s="1185">
        <f t="shared" si="16"/>
        <v>41153</v>
      </c>
      <c r="J52" s="1185">
        <f t="shared" si="16"/>
        <v>41122</v>
      </c>
      <c r="K52" s="1185">
        <f t="shared" si="16"/>
        <v>41091</v>
      </c>
      <c r="L52" s="1185">
        <f t="shared" si="16"/>
        <v>41061</v>
      </c>
      <c r="M52" s="1185">
        <f t="shared" si="16"/>
        <v>41030</v>
      </c>
      <c r="N52" s="1185">
        <f t="shared" si="16"/>
        <v>41000</v>
      </c>
      <c r="O52" s="1185">
        <f t="shared" si="16"/>
        <v>40969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70"/>
      <c r="O54" s="2771"/>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17.399999999999999">
      <c r="A4" s="1480" t="str">
        <f>"受贵公司委托，我公司对"&amp;项目基本情况!S1&amp;"进行了预评估。"</f>
        <v>受贵公司委托，我公司对北京市房地产市场价值进行了预评估。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估价对象为北京市房地产，为所有。根据《国有土地使用证》[]，估价对象（分摊）出让国有建设用地使用权面积为0平方米，建筑面积为275.65平方米。</v>
      </c>
    </row>
    <row r="8" spans="1:1" ht="54.6">
      <c r="A8" s="1483" t="s">
        <v>901</v>
      </c>
    </row>
    <row r="9" spans="1:1" ht="17.399999999999999">
      <c r="A9" s="1482" t="s">
        <v>902</v>
      </c>
    </row>
    <row r="10" spans="1:1" ht="52.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估价对象为北京市房地产,属开发建设的，该项目尚在开发建设中。根据《国有土地使用证》[]，估价对象（分摊）出让国有建设用地使用权面积为0平方米，规划建筑面积为275.65平方米。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7.399999999999999">
      <c r="A14" s="1485" t="s">
        <v>905</v>
      </c>
    </row>
    <row r="15" spans="1:1" ht="17.399999999999999">
      <c r="A15" s="1486" t="str">
        <f>TEXT(项目基本情况!D3,"yyyy年m月d日;;")&amp;IF(项目基本情况!D3=项目基本情况!B3,"（评估专业人员实地查勘之日）","")</f>
        <v>2013年3月23日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2013年3月23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80" t="str">
        <f>IF(项目基本情况!B9="房地产市场价值","——",IF(项目基本情况!E8="房地产抵押价值",定义!C54,IF(项目基本情况!E8="已注销",定义!C55,定义!C56)))</f>
        <v>——</v>
      </c>
    </row>
    <row r="21" spans="1:1" ht="17.399999999999999">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80" t="str">
        <f>IF(项目基本情况!B9="房地产市场价值","——",IF(项目基本情况!E9="——","",定义!C57))</f>
        <v>——</v>
      </c>
    </row>
    <row r="23" spans="1:1" ht="17.399999999999999">
      <c r="A23" s="1485" t="s">
        <v>896</v>
      </c>
    </row>
    <row r="24" spans="1:1" ht="17.399999999999999">
      <c r="A24" s="1487" t="str">
        <f>"本次评估采用的主估价方法为"&amp;结果表!K4&amp;"和"&amp;结果表!L4&amp;"。"</f>
        <v>本次评估采用的主估价方法为比较法和成本法。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3334</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9"/>
      <c r="Q15" s="1352"/>
      <c r="R15" s="705"/>
      <c r="S15" s="706"/>
      <c r="T15" s="705"/>
      <c r="U15" s="706"/>
      <c r="V15" s="705"/>
      <c r="W15" s="706"/>
      <c r="X15" s="1355"/>
      <c r="Y15" s="3699"/>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9"/>
      <c r="Q17" s="1352"/>
      <c r="R17" s="705"/>
      <c r="S17" s="706"/>
      <c r="T17" s="705"/>
      <c r="U17" s="706"/>
      <c r="V17" s="705"/>
      <c r="W17" s="706"/>
      <c r="X17" s="1355"/>
      <c r="Y17" s="3699"/>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9"/>
      <c r="Q19" s="1352"/>
      <c r="R19" s="705"/>
      <c r="S19" s="706"/>
      <c r="T19" s="705"/>
      <c r="U19" s="706"/>
      <c r="V19" s="705"/>
      <c r="W19" s="706"/>
      <c r="X19" s="1355"/>
      <c r="Y19" s="3699"/>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9"/>
      <c r="Q21" s="1352"/>
      <c r="R21" s="705"/>
      <c r="S21" s="706"/>
      <c r="T21" s="705"/>
      <c r="U21" s="706"/>
      <c r="V21" s="705"/>
      <c r="W21" s="706"/>
      <c r="X21" s="1355"/>
      <c r="Y21" s="369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9"/>
      <c r="Q24" s="1352">
        <f t="shared" ref="Q24:Q36"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8"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3"/>
      <c r="Q27" s="707" t="str">
        <f t="shared" si="11"/>
        <v>项目停车位配比</v>
      </c>
      <c r="R27" s="708" t="s">
        <v>14</v>
      </c>
      <c r="S27" s="709">
        <f t="shared" si="12"/>
        <v>100</v>
      </c>
      <c r="T27" s="708" t="s">
        <v>14</v>
      </c>
      <c r="U27" s="709">
        <f t="shared" si="13"/>
        <v>100</v>
      </c>
      <c r="V27" s="708" t="s">
        <v>14</v>
      </c>
      <c r="W27" s="709">
        <f t="shared" si="14"/>
        <v>100</v>
      </c>
      <c r="X27" s="710"/>
      <c r="Y27" s="370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3"/>
      <c r="Q28" s="1352" t="str">
        <f t="shared" si="11"/>
        <v>公共部分装修</v>
      </c>
      <c r="R28" s="705" t="s">
        <v>14</v>
      </c>
      <c r="S28" s="706">
        <f t="shared" si="12"/>
        <v>100</v>
      </c>
      <c r="T28" s="705" t="s">
        <v>14</v>
      </c>
      <c r="U28" s="706">
        <f t="shared" si="13"/>
        <v>100</v>
      </c>
      <c r="V28" s="705" t="s">
        <v>14</v>
      </c>
      <c r="W28" s="706">
        <f t="shared" si="14"/>
        <v>100</v>
      </c>
      <c r="X28" s="1355"/>
      <c r="Y28" s="370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3"/>
      <c r="Q29" s="1352" t="str">
        <f t="shared" si="11"/>
        <v>成新率</v>
      </c>
      <c r="R29" s="705" t="s">
        <v>14</v>
      </c>
      <c r="S29" s="706" t="e">
        <f t="shared" si="12"/>
        <v>#N/A</v>
      </c>
      <c r="T29" s="705" t="s">
        <v>14</v>
      </c>
      <c r="U29" s="706" t="e">
        <f t="shared" si="13"/>
        <v>#N/A</v>
      </c>
      <c r="V29" s="705" t="s">
        <v>14</v>
      </c>
      <c r="W29" s="706" t="e">
        <f t="shared" si="14"/>
        <v>#N/A</v>
      </c>
      <c r="X29" s="1355"/>
      <c r="Y29" s="370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3"/>
      <c r="Q30" s="1352" t="str">
        <f t="shared" si="11"/>
        <v>物业等级</v>
      </c>
      <c r="R30" s="705" t="s">
        <v>14</v>
      </c>
      <c r="S30" s="706">
        <f t="shared" si="12"/>
        <v>100</v>
      </c>
      <c r="T30" s="705" t="s">
        <v>14</v>
      </c>
      <c r="U30" s="706">
        <f t="shared" si="13"/>
        <v>100</v>
      </c>
      <c r="V30" s="705" t="s">
        <v>14</v>
      </c>
      <c r="W30" s="706">
        <f t="shared" si="14"/>
        <v>100</v>
      </c>
      <c r="X30" s="1355"/>
      <c r="Y30" s="370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3"/>
      <c r="Q31" s="1343" t="str">
        <f t="shared" si="11"/>
        <v>停车位面积</v>
      </c>
      <c r="R31" s="701" t="s">
        <v>14</v>
      </c>
      <c r="S31" s="702" t="e">
        <f t="shared" si="12"/>
        <v>#N/A</v>
      </c>
      <c r="T31" s="701" t="s">
        <v>14</v>
      </c>
      <c r="U31" s="702" t="e">
        <f t="shared" si="13"/>
        <v>#N/A</v>
      </c>
      <c r="V31" s="701" t="s">
        <v>14</v>
      </c>
      <c r="W31" s="702" t="e">
        <f t="shared" si="14"/>
        <v>#N/A</v>
      </c>
      <c r="X31" s="703"/>
      <c r="Y31" s="370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3" t="s">
        <v>1696</v>
      </c>
      <c r="Q32" s="1352" t="str">
        <f t="shared" si="11"/>
        <v>车位类型</v>
      </c>
      <c r="R32" s="705" t="s">
        <v>14</v>
      </c>
      <c r="S32" s="706">
        <f t="shared" si="12"/>
        <v>100</v>
      </c>
      <c r="T32" s="705" t="s">
        <v>14</v>
      </c>
      <c r="U32" s="706">
        <f t="shared" si="13"/>
        <v>100</v>
      </c>
      <c r="V32" s="705" t="s">
        <v>14</v>
      </c>
      <c r="W32" s="706">
        <f t="shared" si="14"/>
        <v>100</v>
      </c>
      <c r="X32" s="1355"/>
      <c r="Y32" s="370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3"/>
      <c r="Q33" s="1352" t="str">
        <f t="shared" si="11"/>
        <v>是否直接入户</v>
      </c>
      <c r="R33" s="705" t="s">
        <v>14</v>
      </c>
      <c r="S33" s="706">
        <f t="shared" si="12"/>
        <v>100</v>
      </c>
      <c r="T33" s="705" t="s">
        <v>14</v>
      </c>
      <c r="U33" s="706">
        <f t="shared" si="13"/>
        <v>100</v>
      </c>
      <c r="V33" s="705" t="s">
        <v>14</v>
      </c>
      <c r="W33" s="706">
        <f t="shared" si="14"/>
        <v>100</v>
      </c>
      <c r="X33" s="1355"/>
      <c r="Y33" s="370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3"/>
      <c r="Q35" s="707">
        <f t="shared" si="11"/>
        <v>111</v>
      </c>
      <c r="R35" s="708" t="s">
        <v>14</v>
      </c>
      <c r="S35" s="709">
        <f t="shared" si="12"/>
        <v>100</v>
      </c>
      <c r="T35" s="708" t="s">
        <v>14</v>
      </c>
      <c r="U35" s="709">
        <f t="shared" si="13"/>
        <v>100</v>
      </c>
      <c r="V35" s="708" t="s">
        <v>14</v>
      </c>
      <c r="W35" s="709">
        <f t="shared" si="14"/>
        <v>100</v>
      </c>
      <c r="X35" s="710"/>
      <c r="Y35" s="3703"/>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3"/>
      <c r="Q36" s="1352">
        <f t="shared" si="11"/>
        <v>111</v>
      </c>
      <c r="R36" s="705" t="s">
        <v>14</v>
      </c>
      <c r="S36" s="706">
        <f t="shared" si="12"/>
        <v>100</v>
      </c>
      <c r="T36" s="705" t="s">
        <v>14</v>
      </c>
      <c r="U36" s="706">
        <f t="shared" si="13"/>
        <v>100</v>
      </c>
      <c r="V36" s="705" t="s">
        <v>14</v>
      </c>
      <c r="W36" s="706">
        <f t="shared" si="14"/>
        <v>100</v>
      </c>
      <c r="X36" s="1355"/>
      <c r="Y36" s="3703"/>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4"/>
      <c r="M37" s="2725"/>
      <c r="N37" s="2716"/>
      <c r="O37" s="2725"/>
      <c r="P37" s="3696" t="str">
        <f>A37</f>
        <v>成交单价</v>
      </c>
      <c r="Q37" s="3696"/>
      <c r="R37" s="3697">
        <f>E37</f>
        <v>0</v>
      </c>
      <c r="S37" s="3697"/>
      <c r="T37" s="3697">
        <f>G37</f>
        <v>0</v>
      </c>
      <c r="U37" s="3697"/>
      <c r="V37" s="3697">
        <f>I37</f>
        <v>0</v>
      </c>
      <c r="W37" s="3697"/>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6" t="str">
        <f>A38</f>
        <v>比较价值（元/平方米）</v>
      </c>
      <c r="Q38" s="3696"/>
      <c r="R38" s="3697" t="e">
        <f>IF(F1="售价",ROUND(PRODUCT(R37,AA7:AA36),0),ROUND(PRODUCT(R37,AA7:AA36),1))</f>
        <v>#DIV/0!</v>
      </c>
      <c r="S38" s="3697"/>
      <c r="T38" s="3697" t="e">
        <f>IF(F1="售价",ROUND(PRODUCT(T37,AB7:AB36),0),ROUND(PRODUCT(T37,AB7:AB36),1))</f>
        <v>#DIV/0!</v>
      </c>
      <c r="U38" s="3697"/>
      <c r="V38" s="3697" t="e">
        <f>IF(F1="售价",ROUND(PRODUCT(V37,AC7:AC36),0),ROUND(PRODUCT(V37,AC7:AC36),1))</f>
        <v>#DIV/0!</v>
      </c>
      <c r="W38" s="3697"/>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4"/>
      <c r="M39" s="2725"/>
      <c r="N39" s="2725"/>
      <c r="O39" s="2725"/>
      <c r="P39" s="3693" t="str">
        <f>A39</f>
        <v>估价对象XX用房的比较价值（楼面单价，元/平方米）</v>
      </c>
      <c r="Q39" s="3694"/>
      <c r="R39" s="3759" t="e">
        <f>IF(F1="售价",ROUND(IF(D38="简单平均",AVERAGE(R38:W38),R38*F38+T38*H38+V38*J38),0),ROUND(IF(D38="简单平均",AVERAGE(R38:V38),R38*F38+T38*H38+V38*J38),1))</f>
        <v>#DIV/0!</v>
      </c>
      <c r="S39" s="3759"/>
      <c r="T39" s="3759"/>
      <c r="U39" s="3759"/>
      <c r="V39" s="3759"/>
      <c r="W39" s="3759"/>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2.2"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4.4">
      <c r="A48" s="454" t="s">
        <v>1851</v>
      </c>
      <c r="B48" s="455"/>
      <c r="C48" s="1184" t="str">
        <f>YEAR(C7)&amp;"-"&amp;MONTH(C7)</f>
        <v>2013-3</v>
      </c>
      <c r="D48" s="1185">
        <f>EDATE(C48,-1)</f>
        <v>41306</v>
      </c>
      <c r="E48" s="1185">
        <f t="shared" ref="E48:O48" si="16">EDATE(D48,-1)</f>
        <v>41275</v>
      </c>
      <c r="F48" s="1185">
        <f t="shared" si="16"/>
        <v>41244</v>
      </c>
      <c r="G48" s="1185">
        <f t="shared" si="16"/>
        <v>41214</v>
      </c>
      <c r="H48" s="1185">
        <f t="shared" si="16"/>
        <v>41183</v>
      </c>
      <c r="I48" s="1185">
        <f t="shared" si="16"/>
        <v>41153</v>
      </c>
      <c r="J48" s="1185">
        <f t="shared" si="16"/>
        <v>41122</v>
      </c>
      <c r="K48" s="1185">
        <f t="shared" si="16"/>
        <v>41091</v>
      </c>
      <c r="L48" s="1185">
        <f t="shared" si="16"/>
        <v>41061</v>
      </c>
      <c r="M48" s="1185">
        <f t="shared" si="16"/>
        <v>41030</v>
      </c>
      <c r="N48" s="1185">
        <f t="shared" si="16"/>
        <v>41000</v>
      </c>
      <c r="O48" s="1185">
        <f t="shared" si="16"/>
        <v>40969</v>
      </c>
      <c r="P48" s="2759"/>
      <c r="Q48" s="2741"/>
      <c r="R48" s="2741"/>
      <c r="S48" s="2741"/>
      <c r="T48" s="2741"/>
      <c r="U48" s="2741"/>
      <c r="V48" s="2741"/>
      <c r="W48" s="2741"/>
      <c r="X48" s="2741"/>
      <c r="Y48" s="2741"/>
      <c r="Z48" s="2741"/>
      <c r="AA48" s="2741"/>
      <c r="AB48" s="2741"/>
      <c r="AC48" s="2741"/>
    </row>
    <row r="49" spans="1:29" s="108" customFormat="1">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4.4">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4.4"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ht="14.4">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4.4"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9.4"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4.4"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4.4"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4.4"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4.4"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4.4"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4.4"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4.4"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4.4"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4.4"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4.4"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4.4"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4.4"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4.4"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9.4"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4.4"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4.4"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4.4"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4.4"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4.4"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4.4"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4.4"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4.4"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4.4"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2" t="s">
        <v>1680</v>
      </c>
      <c r="Q7" s="3734"/>
      <c r="R7" s="701" t="s">
        <v>14</v>
      </c>
      <c r="S7" s="702">
        <f t="shared" ref="S7:S14" si="0">F7</f>
        <v>0</v>
      </c>
      <c r="T7" s="701" t="s">
        <v>14</v>
      </c>
      <c r="U7" s="702">
        <f t="shared" ref="U7:U14" si="1">H7</f>
        <v>0</v>
      </c>
      <c r="V7" s="701" t="s">
        <v>14</v>
      </c>
      <c r="W7" s="702">
        <f t="shared" ref="W7:W14" si="2">J7</f>
        <v>0</v>
      </c>
      <c r="X7" s="703"/>
      <c r="Y7" s="3732" t="s">
        <v>1680</v>
      </c>
      <c r="Z7" s="3733"/>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2" t="s">
        <v>1683</v>
      </c>
      <c r="Q8" s="3733"/>
      <c r="R8" s="701" t="s">
        <v>14</v>
      </c>
      <c r="S8" s="702">
        <f t="shared" si="0"/>
        <v>100</v>
      </c>
      <c r="T8" s="701" t="s">
        <v>14</v>
      </c>
      <c r="U8" s="702">
        <f t="shared" si="1"/>
        <v>100</v>
      </c>
      <c r="V8" s="701" t="s">
        <v>14</v>
      </c>
      <c r="W8" s="702">
        <f t="shared" si="2"/>
        <v>100</v>
      </c>
      <c r="X8" s="703"/>
      <c r="Y8" s="3732" t="s">
        <v>1683</v>
      </c>
      <c r="Z8" s="3733"/>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6" t="s">
        <v>1686</v>
      </c>
      <c r="Q9" s="1343" t="str">
        <f t="shared" ref="Q9:Q14" si="6">B9</f>
        <v>用途</v>
      </c>
      <c r="R9" s="701" t="s">
        <v>14</v>
      </c>
      <c r="S9" s="702">
        <f t="shared" si="0"/>
        <v>100</v>
      </c>
      <c r="T9" s="701" t="s">
        <v>14</v>
      </c>
      <c r="U9" s="702">
        <f t="shared" si="1"/>
        <v>100</v>
      </c>
      <c r="V9" s="701" t="s">
        <v>14</v>
      </c>
      <c r="W9" s="702">
        <f t="shared" si="2"/>
        <v>100</v>
      </c>
      <c r="X9" s="703"/>
      <c r="Y9" s="3571" t="s">
        <v>1687</v>
      </c>
      <c r="Z9" s="52" t="str">
        <f t="shared" ref="Z9:Z14" si="7">Q9</f>
        <v>用途</v>
      </c>
      <c r="AA9" s="704">
        <f t="shared" si="3"/>
        <v>1</v>
      </c>
      <c r="AB9" s="704">
        <f t="shared" si="4"/>
        <v>1</v>
      </c>
      <c r="AC9" s="704">
        <f t="shared" si="5"/>
        <v>1</v>
      </c>
    </row>
    <row r="10" spans="1:29" s="378" customFormat="1" ht="28.8">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6"/>
      <c r="Q10" s="1343" t="str">
        <f t="shared" si="6"/>
        <v>土地使用年限（年）</v>
      </c>
      <c r="R10" s="701" t="s">
        <v>14</v>
      </c>
      <c r="S10" s="702">
        <f t="shared" si="0"/>
        <v>100</v>
      </c>
      <c r="T10" s="701" t="s">
        <v>14</v>
      </c>
      <c r="U10" s="702">
        <f t="shared" si="1"/>
        <v>100</v>
      </c>
      <c r="V10" s="701" t="s">
        <v>14</v>
      </c>
      <c r="W10" s="702">
        <f t="shared" si="2"/>
        <v>100</v>
      </c>
      <c r="X10" s="703"/>
      <c r="Y10" s="357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6"/>
      <c r="Q11" s="1343">
        <f t="shared" si="6"/>
        <v>111</v>
      </c>
      <c r="R11" s="701" t="s">
        <v>14</v>
      </c>
      <c r="S11" s="702">
        <f t="shared" si="0"/>
        <v>100</v>
      </c>
      <c r="T11" s="701" t="s">
        <v>14</v>
      </c>
      <c r="U11" s="702">
        <f t="shared" si="1"/>
        <v>100</v>
      </c>
      <c r="V11" s="701" t="s">
        <v>14</v>
      </c>
      <c r="W11" s="702">
        <f t="shared" si="2"/>
        <v>100</v>
      </c>
      <c r="X11" s="703"/>
      <c r="Y11" s="357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8" t="s">
        <v>1691</v>
      </c>
      <c r="Q14" s="1352" t="str">
        <f t="shared" si="6"/>
        <v>交通便捷度</v>
      </c>
      <c r="R14" s="705" t="s">
        <v>14</v>
      </c>
      <c r="S14" s="706">
        <f t="shared" si="0"/>
        <v>100</v>
      </c>
      <c r="T14" s="705" t="s">
        <v>14</v>
      </c>
      <c r="U14" s="706">
        <f t="shared" si="1"/>
        <v>100</v>
      </c>
      <c r="V14" s="705" t="s">
        <v>14</v>
      </c>
      <c r="W14" s="706">
        <f t="shared" si="2"/>
        <v>100</v>
      </c>
      <c r="X14" s="1355"/>
      <c r="Y14" s="369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9"/>
      <c r="Q15" s="1352"/>
      <c r="R15" s="705"/>
      <c r="S15" s="706"/>
      <c r="T15" s="705"/>
      <c r="U15" s="706"/>
      <c r="V15" s="705"/>
      <c r="W15" s="706"/>
      <c r="X15" s="1355"/>
      <c r="Y15" s="3699"/>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9"/>
      <c r="Q16" s="1352" t="str">
        <f>B16</f>
        <v>公共配套设施</v>
      </c>
      <c r="R16" s="705" t="s">
        <v>14</v>
      </c>
      <c r="S16" s="706">
        <f>F16</f>
        <v>100</v>
      </c>
      <c r="T16" s="705" t="s">
        <v>14</v>
      </c>
      <c r="U16" s="706">
        <f>H16</f>
        <v>100</v>
      </c>
      <c r="V16" s="705" t="s">
        <v>14</v>
      </c>
      <c r="W16" s="706">
        <f>J16</f>
        <v>100</v>
      </c>
      <c r="X16" s="1355"/>
      <c r="Y16" s="369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9"/>
      <c r="Q17" s="1352"/>
      <c r="R17" s="705"/>
      <c r="S17" s="706"/>
      <c r="T17" s="705"/>
      <c r="U17" s="706"/>
      <c r="V17" s="705"/>
      <c r="W17" s="706"/>
      <c r="X17" s="1355"/>
      <c r="Y17" s="3699"/>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9"/>
      <c r="Q18" s="1352" t="str">
        <f>B18</f>
        <v>基础设施水平</v>
      </c>
      <c r="R18" s="705" t="s">
        <v>14</v>
      </c>
      <c r="S18" s="706">
        <f>F18</f>
        <v>100</v>
      </c>
      <c r="T18" s="705" t="s">
        <v>14</v>
      </c>
      <c r="U18" s="706">
        <f>H18</f>
        <v>100</v>
      </c>
      <c r="V18" s="705" t="s">
        <v>14</v>
      </c>
      <c r="W18" s="706">
        <f>J18</f>
        <v>100</v>
      </c>
      <c r="X18" s="1355"/>
      <c r="Y18" s="369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9"/>
      <c r="Q19" s="1352"/>
      <c r="R19" s="705"/>
      <c r="S19" s="706"/>
      <c r="T19" s="705"/>
      <c r="U19" s="706"/>
      <c r="V19" s="705"/>
      <c r="W19" s="706"/>
      <c r="X19" s="1355"/>
      <c r="Y19" s="3699"/>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9"/>
      <c r="Q20" s="1352" t="str">
        <f>B20</f>
        <v>自然及人文环境</v>
      </c>
      <c r="R20" s="705" t="s">
        <v>14</v>
      </c>
      <c r="S20" s="706">
        <f>F20</f>
        <v>100</v>
      </c>
      <c r="T20" s="705" t="s">
        <v>14</v>
      </c>
      <c r="U20" s="706">
        <f>H20</f>
        <v>100</v>
      </c>
      <c r="V20" s="705" t="s">
        <v>14</v>
      </c>
      <c r="W20" s="706">
        <f>J20</f>
        <v>100</v>
      </c>
      <c r="X20" s="1355"/>
      <c r="Y20" s="369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9"/>
      <c r="Q21" s="1352"/>
      <c r="R21" s="705"/>
      <c r="S21" s="706"/>
      <c r="T21" s="705"/>
      <c r="U21" s="706"/>
      <c r="V21" s="705"/>
      <c r="W21" s="706"/>
      <c r="X21" s="1355"/>
      <c r="Y21" s="369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9"/>
      <c r="Q22" s="1352" t="str">
        <f>B22</f>
        <v>楼层</v>
      </c>
      <c r="R22" s="705" t="s">
        <v>14</v>
      </c>
      <c r="S22" s="706">
        <f>F22</f>
        <v>100</v>
      </c>
      <c r="T22" s="705" t="s">
        <v>14</v>
      </c>
      <c r="U22" s="706">
        <f>H22</f>
        <v>100</v>
      </c>
      <c r="V22" s="705" t="s">
        <v>14</v>
      </c>
      <c r="W22" s="706">
        <f>J22</f>
        <v>100</v>
      </c>
      <c r="X22" s="1355"/>
      <c r="Y22" s="369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9"/>
      <c r="Q23" s="1352">
        <f>B23</f>
        <v>111</v>
      </c>
      <c r="R23" s="705" t="s">
        <v>14</v>
      </c>
      <c r="S23" s="706">
        <f>F23</f>
        <v>100</v>
      </c>
      <c r="T23" s="705" t="s">
        <v>14</v>
      </c>
      <c r="U23" s="706">
        <f>H23</f>
        <v>100</v>
      </c>
      <c r="V23" s="705" t="s">
        <v>14</v>
      </c>
      <c r="W23" s="706">
        <f>J23</f>
        <v>100</v>
      </c>
      <c r="X23" s="1355"/>
      <c r="Y23" s="369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9"/>
      <c r="Q24" s="1352">
        <f t="shared" ref="Q24:Q34" si="11">B24</f>
        <v>111</v>
      </c>
      <c r="R24" s="705" t="s">
        <v>14</v>
      </c>
      <c r="S24" s="706">
        <f>F24</f>
        <v>100</v>
      </c>
      <c r="T24" s="705" t="s">
        <v>14</v>
      </c>
      <c r="U24" s="706">
        <f>H24</f>
        <v>100</v>
      </c>
      <c r="V24" s="705" t="s">
        <v>14</v>
      </c>
      <c r="W24" s="706">
        <f>J24</f>
        <v>100</v>
      </c>
      <c r="X24" s="1355"/>
      <c r="Y24" s="3699"/>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9"/>
      <c r="Q25" s="1343">
        <f t="shared" si="11"/>
        <v>111</v>
      </c>
      <c r="R25" s="701" t="s">
        <v>14</v>
      </c>
      <c r="S25" s="702">
        <f>F25</f>
        <v>100</v>
      </c>
      <c r="T25" s="701" t="s">
        <v>14</v>
      </c>
      <c r="U25" s="702">
        <f>H25</f>
        <v>100</v>
      </c>
      <c r="V25" s="701" t="s">
        <v>14</v>
      </c>
      <c r="W25" s="702">
        <f>J25</f>
        <v>100</v>
      </c>
      <c r="X25" s="703"/>
      <c r="Y25" s="3699"/>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8"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3"/>
      <c r="Q27" s="707" t="str">
        <f t="shared" si="11"/>
        <v>成新率</v>
      </c>
      <c r="R27" s="708" t="s">
        <v>14</v>
      </c>
      <c r="S27" s="709" t="e">
        <f t="shared" si="12"/>
        <v>#N/A</v>
      </c>
      <c r="T27" s="708" t="s">
        <v>14</v>
      </c>
      <c r="U27" s="709" t="e">
        <f t="shared" si="13"/>
        <v>#N/A</v>
      </c>
      <c r="V27" s="708" t="s">
        <v>14</v>
      </c>
      <c r="W27" s="709" t="e">
        <f t="shared" si="14"/>
        <v>#N/A</v>
      </c>
      <c r="X27" s="710"/>
      <c r="Y27" s="370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3"/>
      <c r="Q28" s="1352" t="str">
        <f t="shared" si="11"/>
        <v>物业等级</v>
      </c>
      <c r="R28" s="705" t="s">
        <v>14</v>
      </c>
      <c r="S28" s="706">
        <f t="shared" si="12"/>
        <v>100</v>
      </c>
      <c r="T28" s="705" t="s">
        <v>14</v>
      </c>
      <c r="U28" s="706">
        <f t="shared" si="13"/>
        <v>100</v>
      </c>
      <c r="V28" s="705" t="s">
        <v>14</v>
      </c>
      <c r="W28" s="706">
        <f t="shared" si="14"/>
        <v>100</v>
      </c>
      <c r="X28" s="1355"/>
      <c r="Y28" s="370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3"/>
      <c r="Q29" s="1352" t="str">
        <f t="shared" si="11"/>
        <v>有无电梯</v>
      </c>
      <c r="R29" s="705" t="s">
        <v>14</v>
      </c>
      <c r="S29" s="706">
        <f t="shared" si="12"/>
        <v>100</v>
      </c>
      <c r="T29" s="705" t="s">
        <v>14</v>
      </c>
      <c r="U29" s="706">
        <f t="shared" si="13"/>
        <v>100</v>
      </c>
      <c r="V29" s="705" t="s">
        <v>14</v>
      </c>
      <c r="W29" s="706">
        <f t="shared" si="14"/>
        <v>100</v>
      </c>
      <c r="X29" s="1355"/>
      <c r="Y29" s="370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3"/>
      <c r="Q30" s="1352" t="str">
        <f t="shared" si="11"/>
        <v>建筑面积</v>
      </c>
      <c r="R30" s="705" t="s">
        <v>14</v>
      </c>
      <c r="S30" s="706" t="e">
        <f t="shared" si="12"/>
        <v>#N/A</v>
      </c>
      <c r="T30" s="705" t="s">
        <v>14</v>
      </c>
      <c r="U30" s="706" t="e">
        <f t="shared" si="13"/>
        <v>#N/A</v>
      </c>
      <c r="V30" s="705" t="s">
        <v>14</v>
      </c>
      <c r="W30" s="706" t="e">
        <f t="shared" si="14"/>
        <v>#N/A</v>
      </c>
      <c r="X30" s="1355"/>
      <c r="Y30" s="370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3"/>
      <c r="Q31" s="1343" t="str">
        <f t="shared" si="11"/>
        <v>是否封闭</v>
      </c>
      <c r="R31" s="701" t="s">
        <v>14</v>
      </c>
      <c r="S31" s="702">
        <f t="shared" si="12"/>
        <v>100</v>
      </c>
      <c r="T31" s="701" t="s">
        <v>14</v>
      </c>
      <c r="U31" s="702">
        <f t="shared" si="13"/>
        <v>100</v>
      </c>
      <c r="V31" s="701" t="s">
        <v>14</v>
      </c>
      <c r="W31" s="702">
        <f t="shared" si="14"/>
        <v>100</v>
      </c>
      <c r="X31" s="703"/>
      <c r="Y31" s="370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3" t="s">
        <v>1696</v>
      </c>
      <c r="Q32" s="1352">
        <f t="shared" si="11"/>
        <v>111</v>
      </c>
      <c r="R32" s="705" t="s">
        <v>14</v>
      </c>
      <c r="S32" s="706">
        <f t="shared" si="12"/>
        <v>100</v>
      </c>
      <c r="T32" s="705" t="s">
        <v>14</v>
      </c>
      <c r="U32" s="706">
        <f t="shared" si="13"/>
        <v>100</v>
      </c>
      <c r="V32" s="705" t="s">
        <v>14</v>
      </c>
      <c r="W32" s="706">
        <f t="shared" si="14"/>
        <v>100</v>
      </c>
      <c r="X32" s="1355"/>
      <c r="Y32" s="370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3"/>
      <c r="Q33" s="1352">
        <f t="shared" si="11"/>
        <v>111</v>
      </c>
      <c r="R33" s="705" t="s">
        <v>14</v>
      </c>
      <c r="S33" s="706">
        <f t="shared" si="12"/>
        <v>100</v>
      </c>
      <c r="T33" s="705" t="s">
        <v>14</v>
      </c>
      <c r="U33" s="706">
        <f t="shared" si="13"/>
        <v>100</v>
      </c>
      <c r="V33" s="705" t="s">
        <v>14</v>
      </c>
      <c r="W33" s="706">
        <f t="shared" si="14"/>
        <v>100</v>
      </c>
      <c r="X33" s="1355"/>
      <c r="Y33" s="3703"/>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3"/>
      <c r="Q34" s="1352">
        <f t="shared" si="11"/>
        <v>111</v>
      </c>
      <c r="R34" s="705" t="s">
        <v>14</v>
      </c>
      <c r="S34" s="706">
        <f t="shared" si="12"/>
        <v>100</v>
      </c>
      <c r="T34" s="705" t="s">
        <v>14</v>
      </c>
      <c r="U34" s="706">
        <f t="shared" si="13"/>
        <v>100</v>
      </c>
      <c r="V34" s="705" t="s">
        <v>14</v>
      </c>
      <c r="W34" s="706">
        <f t="shared" si="14"/>
        <v>100</v>
      </c>
      <c r="X34" s="1355"/>
      <c r="Y34" s="3703"/>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4"/>
      <c r="M35" s="2725"/>
      <c r="N35" s="2716"/>
      <c r="O35" s="2725"/>
      <c r="P35" s="3696" t="str">
        <f>A35</f>
        <v>成交单价（元/平方米）</v>
      </c>
      <c r="Q35" s="3696"/>
      <c r="R35" s="3697">
        <f>E35</f>
        <v>0</v>
      </c>
      <c r="S35" s="3697"/>
      <c r="T35" s="3697">
        <f>G35</f>
        <v>0</v>
      </c>
      <c r="U35" s="3697"/>
      <c r="V35" s="3697">
        <f>I35</f>
        <v>0</v>
      </c>
      <c r="W35" s="3697"/>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6" t="str">
        <f>A36</f>
        <v>比较价值（元/平方米）</v>
      </c>
      <c r="Q36" s="3696"/>
      <c r="R36" s="3697" t="e">
        <f>IF(F1="售价",ROUND(PRODUCT(R35,AA7:AA34),0),ROUND(PRODUCT(R35,AA7:AA34),1))</f>
        <v>#DIV/0!</v>
      </c>
      <c r="S36" s="3697"/>
      <c r="T36" s="3697" t="e">
        <f>IF(F1="售价",ROUND(PRODUCT(T35,AB7:AB34),0),ROUND(PRODUCT(T35,AB7:AB34),1))</f>
        <v>#DIV/0!</v>
      </c>
      <c r="U36" s="3697"/>
      <c r="V36" s="3697" t="e">
        <f>IF(F1="售价",ROUND(PRODUCT(V35,AC7:AC34),0),ROUND(PRODUCT(V35,AC7:AC34),1))</f>
        <v>#DIV/0!</v>
      </c>
      <c r="W36" s="3697"/>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4"/>
      <c r="M37" s="2725"/>
      <c r="N37" s="2725"/>
      <c r="O37" s="2725"/>
      <c r="P37" s="3693" t="str">
        <f>A37</f>
        <v>估价对象XX用房的比较价值（楼面单价，元/平方米）</v>
      </c>
      <c r="Q37" s="3694"/>
      <c r="R37" s="3759" t="e">
        <f>IF(F1="售价",ROUND(IF(D36="简单平均",AVERAGE(R36:W36),R36*F36+T36*H36+V36*J36),0),ROUND(IF(D36="简单平均",AVERAGE(R36:V36),R36*F36+T36*H36+V36*J36),1))</f>
        <v>#DIV/0!</v>
      </c>
      <c r="S37" s="3759"/>
      <c r="T37" s="3759"/>
      <c r="U37" s="3759"/>
      <c r="V37" s="3759"/>
      <c r="W37" s="3759"/>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2.2"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4.4">
      <c r="A46" s="454" t="s">
        <v>1679</v>
      </c>
      <c r="B46" s="455"/>
      <c r="C46" s="1184" t="str">
        <f>YEAR(C7)&amp;"-"&amp;MONTH(C7)</f>
        <v>2013-3</v>
      </c>
      <c r="D46" s="1185">
        <f>EDATE(C46,-1)</f>
        <v>41306</v>
      </c>
      <c r="E46" s="1185">
        <f t="shared" ref="E46:O46" si="16">EDATE(D46,-1)</f>
        <v>41275</v>
      </c>
      <c r="F46" s="1185">
        <f t="shared" si="16"/>
        <v>41244</v>
      </c>
      <c r="G46" s="1185">
        <f t="shared" si="16"/>
        <v>41214</v>
      </c>
      <c r="H46" s="1185">
        <f t="shared" si="16"/>
        <v>41183</v>
      </c>
      <c r="I46" s="1185">
        <f t="shared" si="16"/>
        <v>41153</v>
      </c>
      <c r="J46" s="1185">
        <f t="shared" si="16"/>
        <v>41122</v>
      </c>
      <c r="K46" s="1185">
        <f t="shared" si="16"/>
        <v>41091</v>
      </c>
      <c r="L46" s="1185">
        <f t="shared" si="16"/>
        <v>41061</v>
      </c>
      <c r="M46" s="1185">
        <f t="shared" si="16"/>
        <v>41030</v>
      </c>
      <c r="N46" s="1185">
        <f t="shared" si="16"/>
        <v>41000</v>
      </c>
      <c r="O46" s="1185">
        <f t="shared" si="16"/>
        <v>40969</v>
      </c>
      <c r="P46" s="2776"/>
      <c r="Q46" s="2741"/>
      <c r="R46" s="2741"/>
      <c r="S46" s="2741"/>
      <c r="T46" s="2741"/>
      <c r="U46" s="2741"/>
      <c r="V46" s="2741"/>
      <c r="W46" s="2741"/>
      <c r="X46" s="2741"/>
      <c r="Y46" s="2741"/>
      <c r="Z46" s="2741"/>
      <c r="AA46" s="2741"/>
      <c r="AB46" s="2741"/>
      <c r="AC46" s="2741"/>
      <c r="AD46" s="2741"/>
    </row>
    <row r="47" spans="1:30" s="108" customFormat="1">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4.4">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4.4"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ht="14.4">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4.4"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9.4"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4.4"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4.4"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4.4"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4.4"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4.4"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4.4"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4.4"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9.4"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4.4"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4.4"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4.4"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4.4"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4.4"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4.4"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4.4"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4.4"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4.4"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4.4"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4.4"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4.4"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4.4"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4.4"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4.4"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4.4"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30">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30" ht="15" thickBot="1">
      <c r="A6" s="360"/>
      <c r="B6" s="361"/>
      <c r="C6" s="3739" t="s">
        <v>1677</v>
      </c>
      <c r="D6" s="3729"/>
      <c r="E6" s="3741" t="s">
        <v>1677</v>
      </c>
      <c r="F6" s="3736"/>
      <c r="G6" s="3739" t="s">
        <v>1677</v>
      </c>
      <c r="H6" s="3729"/>
      <c r="I6" s="3739" t="s">
        <v>1677</v>
      </c>
      <c r="J6" s="3729"/>
      <c r="K6" s="559" t="s">
        <v>1678</v>
      </c>
      <c r="L6" s="2715"/>
      <c r="M6" s="2716"/>
      <c r="N6" s="2716"/>
      <c r="O6" s="2716"/>
      <c r="P6" s="3719"/>
      <c r="Q6" s="3720"/>
      <c r="R6" s="3723"/>
      <c r="S6" s="3724"/>
      <c r="T6" s="3725"/>
      <c r="U6" s="3726"/>
      <c r="V6" s="3727"/>
      <c r="W6" s="3727"/>
      <c r="X6" s="1355"/>
      <c r="Y6" s="3725"/>
      <c r="Z6" s="3726"/>
      <c r="AA6" s="3710"/>
      <c r="AB6" s="3710"/>
      <c r="AC6" s="3710"/>
    </row>
    <row r="7" spans="1:30" s="108" customFormat="1" ht="15" thickBot="1">
      <c r="A7" s="362" t="s">
        <v>1679</v>
      </c>
      <c r="B7" s="363"/>
      <c r="C7" s="364">
        <f>'数据-取费表'!B2</f>
        <v>41356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6"/>
      <c r="Q12" s="1343" t="str">
        <f t="shared" si="6"/>
        <v>配建</v>
      </c>
      <c r="R12" s="701" t="s">
        <v>14</v>
      </c>
      <c r="S12" s="702">
        <f t="shared" si="0"/>
        <v>100</v>
      </c>
      <c r="T12" s="701" t="s">
        <v>14</v>
      </c>
      <c r="U12" s="702">
        <f t="shared" si="1"/>
        <v>100</v>
      </c>
      <c r="V12" s="701" t="s">
        <v>14</v>
      </c>
      <c r="W12" s="702">
        <f t="shared" si="2"/>
        <v>100</v>
      </c>
      <c r="X12" s="703"/>
      <c r="Y12" s="357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8" t="s">
        <v>1691</v>
      </c>
      <c r="Q15" s="1352" t="str">
        <f t="shared" si="6"/>
        <v>居住社区成熟度</v>
      </c>
      <c r="R15" s="705" t="s">
        <v>14</v>
      </c>
      <c r="S15" s="706">
        <f t="shared" si="0"/>
        <v>100</v>
      </c>
      <c r="T15" s="705" t="s">
        <v>14</v>
      </c>
      <c r="U15" s="706">
        <f t="shared" si="1"/>
        <v>100</v>
      </c>
      <c r="V15" s="705" t="s">
        <v>14</v>
      </c>
      <c r="W15" s="706">
        <f t="shared" si="2"/>
        <v>100</v>
      </c>
      <c r="X15" s="1355"/>
      <c r="Y15" s="369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9"/>
      <c r="Q17" s="1352" t="str">
        <f>B17</f>
        <v>商业繁华度</v>
      </c>
      <c r="R17" s="705" t="s">
        <v>14</v>
      </c>
      <c r="S17" s="706">
        <f>F17</f>
        <v>100</v>
      </c>
      <c r="T17" s="705" t="s">
        <v>14</v>
      </c>
      <c r="U17" s="706">
        <f>H17</f>
        <v>100</v>
      </c>
      <c r="V17" s="705" t="s">
        <v>14</v>
      </c>
      <c r="W17" s="706">
        <f>J17</f>
        <v>100</v>
      </c>
      <c r="X17" s="1355"/>
      <c r="Y17" s="369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9"/>
      <c r="Q19" s="1352" t="str">
        <f>B19</f>
        <v>办公集聚程度</v>
      </c>
      <c r="R19" s="705" t="s">
        <v>14</v>
      </c>
      <c r="S19" s="706">
        <f>F19</f>
        <v>100</v>
      </c>
      <c r="T19" s="705" t="s">
        <v>14</v>
      </c>
      <c r="U19" s="706">
        <f>H19</f>
        <v>100</v>
      </c>
      <c r="V19" s="705" t="s">
        <v>14</v>
      </c>
      <c r="W19" s="706">
        <f>J19</f>
        <v>100</v>
      </c>
      <c r="X19" s="1355"/>
      <c r="Y19" s="369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9"/>
      <c r="Q20" s="1352"/>
      <c r="R20" s="705"/>
      <c r="S20" s="706"/>
      <c r="T20" s="705"/>
      <c r="U20" s="706"/>
      <c r="V20" s="705"/>
      <c r="W20" s="706"/>
      <c r="X20" s="1355"/>
      <c r="Y20" s="3699"/>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9"/>
      <c r="Q21" s="1352" t="str">
        <f>B21</f>
        <v>交通便捷度</v>
      </c>
      <c r="R21" s="705" t="s">
        <v>14</v>
      </c>
      <c r="S21" s="706">
        <f>F21</f>
        <v>100</v>
      </c>
      <c r="T21" s="705" t="s">
        <v>14</v>
      </c>
      <c r="U21" s="706">
        <f>H21</f>
        <v>100</v>
      </c>
      <c r="V21" s="705" t="s">
        <v>14</v>
      </c>
      <c r="W21" s="706">
        <f>J21</f>
        <v>100</v>
      </c>
      <c r="X21" s="1355"/>
      <c r="Y21" s="369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9"/>
      <c r="Q23" s="1352" t="str">
        <f t="shared" ref="Q23:Q37" si="8">B23</f>
        <v>区域土地利用方向</v>
      </c>
      <c r="R23" s="705" t="s">
        <v>14</v>
      </c>
      <c r="S23" s="706">
        <f>F23</f>
        <v>100</v>
      </c>
      <c r="T23" s="705" t="s">
        <v>14</v>
      </c>
      <c r="U23" s="706">
        <f>H23</f>
        <v>100</v>
      </c>
      <c r="V23" s="705" t="s">
        <v>14</v>
      </c>
      <c r="W23" s="706">
        <f>J23</f>
        <v>100</v>
      </c>
      <c r="X23" s="1355"/>
      <c r="Y23" s="369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9"/>
      <c r="Q24" s="1352"/>
      <c r="R24" s="705"/>
      <c r="S24" s="706"/>
      <c r="T24" s="705"/>
      <c r="U24" s="706"/>
      <c r="V24" s="705"/>
      <c r="W24" s="706"/>
      <c r="X24" s="1355"/>
      <c r="Y24" s="3699"/>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9"/>
      <c r="Q25" s="1352" t="str">
        <f t="shared" si="8"/>
        <v>自然及人文环境状况</v>
      </c>
      <c r="R25" s="705" t="s">
        <v>14</v>
      </c>
      <c r="S25" s="706">
        <f>F25</f>
        <v>100</v>
      </c>
      <c r="T25" s="705" t="s">
        <v>14</v>
      </c>
      <c r="U25" s="706">
        <f>H25</f>
        <v>100</v>
      </c>
      <c r="V25" s="705" t="s">
        <v>14</v>
      </c>
      <c r="W25" s="706">
        <f>J25</f>
        <v>100</v>
      </c>
      <c r="X25" s="1355"/>
      <c r="Y25" s="369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9"/>
      <c r="Q26" s="1352"/>
      <c r="R26" s="705"/>
      <c r="S26" s="706"/>
      <c r="T26" s="705"/>
      <c r="U26" s="706"/>
      <c r="V26" s="705"/>
      <c r="W26" s="706"/>
      <c r="X26" s="1355"/>
      <c r="Y26" s="3699"/>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9"/>
      <c r="Q27" s="1343" t="str">
        <f t="shared" si="8"/>
        <v>公共配套设施</v>
      </c>
      <c r="R27" s="701" t="s">
        <v>14</v>
      </c>
      <c r="S27" s="702">
        <f>F27</f>
        <v>100</v>
      </c>
      <c r="T27" s="701" t="s">
        <v>14</v>
      </c>
      <c r="U27" s="702">
        <f>H27</f>
        <v>100</v>
      </c>
      <c r="V27" s="701" t="s">
        <v>14</v>
      </c>
      <c r="W27" s="702">
        <f>J27</f>
        <v>100</v>
      </c>
      <c r="X27" s="703"/>
      <c r="Y27" s="369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9"/>
      <c r="Q28" s="1343"/>
      <c r="R28" s="701"/>
      <c r="S28" s="702"/>
      <c r="T28" s="701"/>
      <c r="U28" s="702"/>
      <c r="V28" s="701"/>
      <c r="W28" s="702"/>
      <c r="X28" s="703"/>
      <c r="Y28" s="3699"/>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9"/>
      <c r="Q29" s="1343" t="str">
        <f t="shared" ref="Q29" si="9">B29</f>
        <v>基础设施水平</v>
      </c>
      <c r="R29" s="701" t="s">
        <v>14</v>
      </c>
      <c r="S29" s="702">
        <f>F29</f>
        <v>100</v>
      </c>
      <c r="T29" s="701" t="s">
        <v>14</v>
      </c>
      <c r="U29" s="702">
        <f>H29</f>
        <v>100</v>
      </c>
      <c r="V29" s="701" t="s">
        <v>14</v>
      </c>
      <c r="W29" s="702">
        <f>J29</f>
        <v>100</v>
      </c>
      <c r="X29" s="703"/>
      <c r="Y29" s="369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9"/>
      <c r="Q30" s="1343"/>
      <c r="R30" s="701"/>
      <c r="S30" s="702"/>
      <c r="T30" s="701"/>
      <c r="U30" s="702"/>
      <c r="V30" s="701"/>
      <c r="W30" s="702"/>
      <c r="X30" s="703"/>
      <c r="Y30" s="369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9"/>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9"/>
      <c r="Q32" s="1352" t="str">
        <f t="shared" si="8"/>
        <v>毗邻道路的类型与等级</v>
      </c>
      <c r="R32" s="705" t="s">
        <v>14</v>
      </c>
      <c r="S32" s="706">
        <f t="shared" si="10"/>
        <v>100</v>
      </c>
      <c r="T32" s="705" t="s">
        <v>14</v>
      </c>
      <c r="U32" s="706">
        <f t="shared" si="11"/>
        <v>100</v>
      </c>
      <c r="V32" s="705" t="s">
        <v>14</v>
      </c>
      <c r="W32" s="706">
        <f t="shared" si="12"/>
        <v>100</v>
      </c>
      <c r="X32" s="1355"/>
      <c r="Y32" s="369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9"/>
      <c r="Q33" s="1352"/>
      <c r="R33" s="705"/>
      <c r="S33" s="706"/>
      <c r="T33" s="705"/>
      <c r="U33" s="706"/>
      <c r="V33" s="705"/>
      <c r="W33" s="706"/>
      <c r="X33" s="1355"/>
      <c r="Y33" s="369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9"/>
      <c r="Q34" s="1352" t="str">
        <f t="shared" si="8"/>
        <v>土地级别</v>
      </c>
      <c r="R34" s="705" t="s">
        <v>14</v>
      </c>
      <c r="S34" s="706">
        <f t="shared" si="10"/>
        <v>100</v>
      </c>
      <c r="T34" s="705" t="s">
        <v>14</v>
      </c>
      <c r="U34" s="706">
        <f t="shared" si="11"/>
        <v>100</v>
      </c>
      <c r="V34" s="705" t="s">
        <v>14</v>
      </c>
      <c r="W34" s="706">
        <f t="shared" si="12"/>
        <v>100</v>
      </c>
      <c r="X34" s="1355"/>
      <c r="Y34" s="369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9"/>
      <c r="Q35" s="1352">
        <f t="shared" si="8"/>
        <v>111</v>
      </c>
      <c r="R35" s="705" t="s">
        <v>14</v>
      </c>
      <c r="S35" s="706">
        <f t="shared" si="10"/>
        <v>100</v>
      </c>
      <c r="T35" s="705" t="s">
        <v>14</v>
      </c>
      <c r="U35" s="706">
        <f t="shared" si="11"/>
        <v>100</v>
      </c>
      <c r="V35" s="705" t="s">
        <v>14</v>
      </c>
      <c r="W35" s="706">
        <f t="shared" si="12"/>
        <v>100</v>
      </c>
      <c r="X35" s="1355"/>
      <c r="Y35" s="369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8" t="s">
        <v>1696</v>
      </c>
      <c r="Q36" s="1352">
        <f t="shared" si="8"/>
        <v>111</v>
      </c>
      <c r="R36" s="705" t="s">
        <v>14</v>
      </c>
      <c r="S36" s="706">
        <f t="shared" si="10"/>
        <v>100</v>
      </c>
      <c r="T36" s="705" t="s">
        <v>14</v>
      </c>
      <c r="U36" s="706">
        <f t="shared" si="11"/>
        <v>100</v>
      </c>
      <c r="V36" s="705" t="s">
        <v>14</v>
      </c>
      <c r="W36" s="706">
        <f t="shared" si="12"/>
        <v>100</v>
      </c>
      <c r="X36" s="1355"/>
      <c r="Y36" s="3703"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3"/>
      <c r="Q37" s="1352">
        <f t="shared" si="8"/>
        <v>111</v>
      </c>
      <c r="R37" s="708" t="s">
        <v>14</v>
      </c>
      <c r="S37" s="709">
        <f t="shared" si="10"/>
        <v>100</v>
      </c>
      <c r="T37" s="708" t="s">
        <v>14</v>
      </c>
      <c r="U37" s="709">
        <f t="shared" si="11"/>
        <v>100</v>
      </c>
      <c r="V37" s="708" t="s">
        <v>14</v>
      </c>
      <c r="W37" s="709">
        <f t="shared" si="12"/>
        <v>100</v>
      </c>
      <c r="X37" s="710"/>
      <c r="Y37" s="3703"/>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3"/>
      <c r="Q38" s="1352" t="str">
        <f>B38</f>
        <v>宗地面积</v>
      </c>
      <c r="R38" s="705" t="s">
        <v>14</v>
      </c>
      <c r="S38" s="706" t="e">
        <f t="shared" si="10"/>
        <v>#N/A</v>
      </c>
      <c r="T38" s="705" t="s">
        <v>14</v>
      </c>
      <c r="U38" s="706" t="e">
        <f t="shared" si="11"/>
        <v>#N/A</v>
      </c>
      <c r="V38" s="705" t="s">
        <v>14</v>
      </c>
      <c r="W38" s="706" t="e">
        <f t="shared" si="12"/>
        <v>#N/A</v>
      </c>
      <c r="X38" s="1355"/>
      <c r="Y38" s="370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3"/>
      <c r="Q39" s="1352" t="str">
        <f t="shared" ref="Q39:Q45" si="14">B39</f>
        <v>宗地形状</v>
      </c>
      <c r="R39" s="705" t="s">
        <v>14</v>
      </c>
      <c r="S39" s="706">
        <f t="shared" si="10"/>
        <v>100</v>
      </c>
      <c r="T39" s="705" t="s">
        <v>14</v>
      </c>
      <c r="U39" s="706">
        <f t="shared" si="11"/>
        <v>100</v>
      </c>
      <c r="V39" s="705" t="s">
        <v>14</v>
      </c>
      <c r="W39" s="706">
        <f t="shared" si="12"/>
        <v>100</v>
      </c>
      <c r="X39" s="1355"/>
      <c r="Y39" s="370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3"/>
      <c r="Q40" s="1352" t="str">
        <f t="shared" si="14"/>
        <v>临街宽度及深度</v>
      </c>
      <c r="R40" s="705" t="s">
        <v>14</v>
      </c>
      <c r="S40" s="706">
        <f t="shared" si="10"/>
        <v>100</v>
      </c>
      <c r="T40" s="705" t="s">
        <v>14</v>
      </c>
      <c r="U40" s="706">
        <f t="shared" si="11"/>
        <v>100</v>
      </c>
      <c r="V40" s="705" t="s">
        <v>14</v>
      </c>
      <c r="W40" s="706">
        <f t="shared" si="12"/>
        <v>100</v>
      </c>
      <c r="X40" s="1355"/>
      <c r="Y40" s="370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3"/>
      <c r="Q41" s="1352" t="str">
        <f t="shared" si="14"/>
        <v>宗地开发程度</v>
      </c>
      <c r="R41" s="701" t="s">
        <v>14</v>
      </c>
      <c r="S41" s="702">
        <f t="shared" si="10"/>
        <v>100</v>
      </c>
      <c r="T41" s="701" t="s">
        <v>14</v>
      </c>
      <c r="U41" s="702">
        <f t="shared" si="11"/>
        <v>100</v>
      </c>
      <c r="V41" s="701" t="s">
        <v>14</v>
      </c>
      <c r="W41" s="702">
        <f t="shared" si="12"/>
        <v>100</v>
      </c>
      <c r="X41" s="703"/>
      <c r="Y41" s="370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3" t="s">
        <v>1696</v>
      </c>
      <c r="Q42" s="1352" t="str">
        <f t="shared" si="14"/>
        <v>工程地质条件</v>
      </c>
      <c r="R42" s="705" t="s">
        <v>14</v>
      </c>
      <c r="S42" s="706">
        <f t="shared" si="10"/>
        <v>100</v>
      </c>
      <c r="T42" s="705" t="s">
        <v>14</v>
      </c>
      <c r="U42" s="706">
        <f t="shared" si="11"/>
        <v>100</v>
      </c>
      <c r="V42" s="705" t="s">
        <v>14</v>
      </c>
      <c r="W42" s="706">
        <f t="shared" si="12"/>
        <v>100</v>
      </c>
      <c r="X42" s="1355"/>
      <c r="Y42" s="370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3"/>
      <c r="Q43" s="1352">
        <f t="shared" si="14"/>
        <v>111</v>
      </c>
      <c r="R43" s="705" t="s">
        <v>14</v>
      </c>
      <c r="S43" s="706">
        <f t="shared" si="10"/>
        <v>100</v>
      </c>
      <c r="T43" s="705" t="s">
        <v>14</v>
      </c>
      <c r="U43" s="706">
        <f t="shared" si="11"/>
        <v>100</v>
      </c>
      <c r="V43" s="705" t="s">
        <v>14</v>
      </c>
      <c r="W43" s="706">
        <f t="shared" si="12"/>
        <v>100</v>
      </c>
      <c r="X43" s="1355"/>
      <c r="Y43" s="370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3"/>
      <c r="Q44" s="1352">
        <f t="shared" si="14"/>
        <v>111</v>
      </c>
      <c r="R44" s="705" t="s">
        <v>14</v>
      </c>
      <c r="S44" s="706">
        <f t="shared" si="10"/>
        <v>100</v>
      </c>
      <c r="T44" s="705" t="s">
        <v>14</v>
      </c>
      <c r="U44" s="706">
        <f t="shared" si="11"/>
        <v>100</v>
      </c>
      <c r="V44" s="705" t="s">
        <v>14</v>
      </c>
      <c r="W44" s="706">
        <f t="shared" si="12"/>
        <v>100</v>
      </c>
      <c r="X44" s="1355"/>
      <c r="Y44" s="3703"/>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3"/>
      <c r="Q45" s="1352">
        <f t="shared" si="14"/>
        <v>111</v>
      </c>
      <c r="R45" s="708" t="s">
        <v>14</v>
      </c>
      <c r="S45" s="709">
        <f t="shared" si="10"/>
        <v>100</v>
      </c>
      <c r="T45" s="708" t="s">
        <v>14</v>
      </c>
      <c r="U45" s="709">
        <f t="shared" si="11"/>
        <v>100</v>
      </c>
      <c r="V45" s="708" t="s">
        <v>14</v>
      </c>
      <c r="W45" s="709">
        <f t="shared" si="12"/>
        <v>100</v>
      </c>
      <c r="X45" s="710"/>
      <c r="Y45" s="3703"/>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4"/>
      <c r="M46" s="2725"/>
      <c r="N46" s="2716"/>
      <c r="O46" s="2725"/>
      <c r="P46" s="3696" t="str">
        <f>A46</f>
        <v>成交单价</v>
      </c>
      <c r="Q46" s="3696"/>
      <c r="R46" s="3727">
        <f>E46</f>
        <v>0</v>
      </c>
      <c r="S46" s="3727"/>
      <c r="T46" s="3727">
        <f>G46</f>
        <v>0</v>
      </c>
      <c r="U46" s="3727"/>
      <c r="V46" s="3727">
        <f>I46</f>
        <v>0</v>
      </c>
      <c r="W46" s="3727"/>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6" t="str">
        <f>A47</f>
        <v>比较价值（元/平方米）</v>
      </c>
      <c r="Q47" s="3696"/>
      <c r="R47" s="3760" t="e">
        <f>ROUND(PRODUCT(R46,AA7:AA45),0)</f>
        <v>#DIV/0!</v>
      </c>
      <c r="S47" s="3760"/>
      <c r="T47" s="3760" t="e">
        <f>ROUND(PRODUCT(T46,AB7:AB45),0)</f>
        <v>#DIV/0!</v>
      </c>
      <c r="U47" s="3760"/>
      <c r="V47" s="3760" t="e">
        <f>ROUND(PRODUCT(V46,AC7:AC45),0)</f>
        <v>#DIV/0!</v>
      </c>
      <c r="W47" s="3760"/>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4"/>
      <c r="M48" s="2725"/>
      <c r="N48" s="2725"/>
      <c r="O48" s="2725"/>
      <c r="P48" s="3693" t="str">
        <f>A48</f>
        <v>估价对象XX用房的比较价值（楼面单价，元/平方米）</v>
      </c>
      <c r="Q48" s="3694"/>
      <c r="R48" s="3761" t="e">
        <f>ROUND(IF(D47="简单平均",AVERAGE(R47:W47),R47*F47+T47*H47+V47*J47),0)</f>
        <v>#DIV/0!</v>
      </c>
      <c r="S48" s="3761"/>
      <c r="T48" s="3761"/>
      <c r="U48" s="3761"/>
      <c r="V48" s="3761"/>
      <c r="W48" s="3761"/>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4.4"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1" t="s">
        <v>1887</v>
      </c>
      <c r="H55" s="3762"/>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275.64999999999998</v>
      </c>
      <c r="F56" s="886" t="e">
        <f t="shared" ref="F56:F64" si="15">ROUND(B56*E56/10000,0)</f>
        <v>#DIV/0!</v>
      </c>
      <c r="G56" s="3707"/>
      <c r="H56" s="3696"/>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thickBot="1">
      <c r="A65" s="643" t="s">
        <v>1903</v>
      </c>
      <c r="B65" s="644" t="s">
        <v>22</v>
      </c>
      <c r="C65" s="644" t="s">
        <v>23</v>
      </c>
      <c r="D65" s="644" t="s">
        <v>392</v>
      </c>
      <c r="E65" s="644">
        <f>IF(B46="楼面地价",SUM(E56:E64),'数据-汇总表'!D3)</f>
        <v>275.64999999999998</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2013-3-1</v>
      </c>
      <c r="D67" s="692">
        <f>EDATE(C67,-3)</f>
        <v>41244</v>
      </c>
      <c r="E67" s="692">
        <f>EDATE(D67,-3)</f>
        <v>41153</v>
      </c>
      <c r="F67" s="692">
        <f t="shared" ref="F67:O67" si="18">EDATE(E67,-3)</f>
        <v>41061</v>
      </c>
      <c r="G67" s="692">
        <f t="shared" si="18"/>
        <v>40969</v>
      </c>
      <c r="H67" s="692">
        <f t="shared" si="18"/>
        <v>40878</v>
      </c>
      <c r="I67" s="692">
        <f t="shared" si="18"/>
        <v>40787</v>
      </c>
      <c r="J67" s="692">
        <f t="shared" si="18"/>
        <v>40695</v>
      </c>
      <c r="K67" s="692">
        <f t="shared" si="18"/>
        <v>40603</v>
      </c>
      <c r="L67" s="692">
        <f t="shared" si="18"/>
        <v>40513</v>
      </c>
      <c r="M67" s="692">
        <f t="shared" si="18"/>
        <v>40422</v>
      </c>
      <c r="N67" s="692">
        <f t="shared" si="18"/>
        <v>40330</v>
      </c>
      <c r="O67" s="692">
        <f t="shared" si="18"/>
        <v>40238</v>
      </c>
      <c r="P67" s="2725"/>
      <c r="Q67" s="2725"/>
      <c r="R67" s="2725"/>
      <c r="S67" s="2725"/>
      <c r="T67" s="2725"/>
      <c r="U67" s="2725"/>
      <c r="V67" s="2725"/>
      <c r="W67" s="2725"/>
      <c r="X67" s="2725"/>
      <c r="Y67" s="2725"/>
      <c r="Z67" s="2725"/>
      <c r="AA67" s="2725"/>
      <c r="AB67" s="2725"/>
      <c r="AC67" s="2725"/>
    </row>
    <row r="68" spans="1:29" ht="22.2"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4.4">
      <c r="A69" s="1989" t="s">
        <v>1904</v>
      </c>
      <c r="B69" s="1109"/>
      <c r="C69" s="1182" t="str">
        <f>YEAR(C67)&amp;"-"&amp;ROUNDUP(MONTH(C67)/3,0)</f>
        <v>2013-1</v>
      </c>
      <c r="D69" s="1182" t="str">
        <f>YEAR(D67)&amp;"-"&amp;ROUNDUP(MONTH(D67)/3,0)</f>
        <v>2012-4</v>
      </c>
      <c r="E69" s="1182" t="str">
        <f t="shared" ref="E69:O69" si="19">YEAR(E67)&amp;"-"&amp;ROUNDUP(MONTH(E67)/3,0)</f>
        <v>2012-3</v>
      </c>
      <c r="F69" s="1182" t="str">
        <f t="shared" si="19"/>
        <v>2012-2</v>
      </c>
      <c r="G69" s="1182" t="str">
        <f t="shared" si="19"/>
        <v>2012-1</v>
      </c>
      <c r="H69" s="1182" t="str">
        <f t="shared" si="19"/>
        <v>2011-4</v>
      </c>
      <c r="I69" s="1182" t="str">
        <f t="shared" si="19"/>
        <v>2011-3</v>
      </c>
      <c r="J69" s="1182" t="str">
        <f t="shared" si="19"/>
        <v>2011-2</v>
      </c>
      <c r="K69" s="1182" t="str">
        <f t="shared" si="19"/>
        <v>2011-1</v>
      </c>
      <c r="L69" s="1182" t="str">
        <f t="shared" si="19"/>
        <v>2010-4</v>
      </c>
      <c r="M69" s="1182" t="str">
        <f t="shared" si="19"/>
        <v>2010-3</v>
      </c>
      <c r="N69" s="1182" t="str">
        <f t="shared" si="19"/>
        <v>2010-2</v>
      </c>
      <c r="O69" s="1182" t="str">
        <f t="shared" si="19"/>
        <v>2010-1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4.4">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4.4"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ht="14.4">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4.4"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9.4"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4.4"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4.4"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4.4"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4.4"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4.4"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4.4"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4.4"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ht="14.4">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9.4"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4.4"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4.4"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4.4"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4.4"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4.4"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4.4"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4.4"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4.4"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4.4"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4.4"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4.4"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4.4"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4.4"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4.4">
      <c r="A4" s="355" t="s">
        <v>1769</v>
      </c>
      <c r="B4" s="356"/>
      <c r="C4" s="3711" t="s">
        <v>1770</v>
      </c>
      <c r="D4" s="3712"/>
      <c r="E4" s="3713" t="s">
        <v>1771</v>
      </c>
      <c r="F4" s="3714"/>
      <c r="G4" s="3711" t="s">
        <v>1772</v>
      </c>
      <c r="H4" s="3712"/>
      <c r="I4" s="3711" t="s">
        <v>1773</v>
      </c>
      <c r="J4" s="3712"/>
      <c r="K4" s="559" t="s">
        <v>1774</v>
      </c>
      <c r="L4" s="2715"/>
      <c r="M4" s="2716"/>
      <c r="N4" s="2716"/>
      <c r="O4" s="2716"/>
      <c r="P4" s="3715" t="s">
        <v>1775</v>
      </c>
      <c r="Q4" s="3716"/>
      <c r="R4" s="3721" t="s">
        <v>1771</v>
      </c>
      <c r="S4" s="3722"/>
      <c r="T4" s="3721" t="s">
        <v>1772</v>
      </c>
      <c r="U4" s="3722"/>
      <c r="V4" s="3727" t="s">
        <v>1773</v>
      </c>
      <c r="W4" s="3727"/>
      <c r="X4" s="1355"/>
      <c r="Y4" s="3721" t="s">
        <v>1775</v>
      </c>
      <c r="Z4" s="3722"/>
      <c r="AA4" s="3708" t="s">
        <v>1771</v>
      </c>
      <c r="AB4" s="3709" t="s">
        <v>1772</v>
      </c>
      <c r="AC4" s="3708" t="s">
        <v>1773</v>
      </c>
    </row>
    <row r="5" spans="1:29">
      <c r="A5" s="358"/>
      <c r="B5" s="359"/>
      <c r="C5" s="3740" t="s">
        <v>1673</v>
      </c>
      <c r="D5" s="3731"/>
      <c r="E5" s="3742" t="s">
        <v>1674</v>
      </c>
      <c r="F5" s="3738"/>
      <c r="G5" s="3740" t="s">
        <v>1675</v>
      </c>
      <c r="H5" s="3731"/>
      <c r="I5" s="3740" t="s">
        <v>1676</v>
      </c>
      <c r="J5" s="3731"/>
      <c r="K5" s="559"/>
      <c r="L5" s="2715"/>
      <c r="M5" s="2716"/>
      <c r="N5" s="2716"/>
      <c r="O5" s="2716"/>
      <c r="P5" s="3717"/>
      <c r="Q5" s="3718"/>
      <c r="R5" s="3723"/>
      <c r="S5" s="3724"/>
      <c r="T5" s="3723"/>
      <c r="U5" s="3724"/>
      <c r="V5" s="3727"/>
      <c r="W5" s="3727"/>
      <c r="X5" s="1355"/>
      <c r="Y5" s="3723"/>
      <c r="Z5" s="3724"/>
      <c r="AA5" s="3709"/>
      <c r="AB5" s="3709"/>
      <c r="AC5" s="3709"/>
    </row>
    <row r="6" spans="1:29" ht="15" thickBot="1">
      <c r="A6" s="360"/>
      <c r="B6" s="361"/>
      <c r="C6" s="3763" t="s">
        <v>1919</v>
      </c>
      <c r="D6" s="3764"/>
      <c r="E6" s="3765" t="s">
        <v>1919</v>
      </c>
      <c r="F6" s="3766"/>
      <c r="G6" s="3763" t="s">
        <v>1919</v>
      </c>
      <c r="H6" s="3764"/>
      <c r="I6" s="3763" t="s">
        <v>1919</v>
      </c>
      <c r="J6" s="3764"/>
      <c r="K6" s="559" t="s">
        <v>1678</v>
      </c>
      <c r="L6" s="2715"/>
      <c r="M6" s="2716"/>
      <c r="N6" s="2716"/>
      <c r="O6" s="2716"/>
      <c r="P6" s="3719"/>
      <c r="Q6" s="3720"/>
      <c r="R6" s="3723"/>
      <c r="S6" s="3724"/>
      <c r="T6" s="3725"/>
      <c r="U6" s="3726"/>
      <c r="V6" s="3727"/>
      <c r="W6" s="3727"/>
      <c r="X6" s="1355"/>
      <c r="Y6" s="3725"/>
      <c r="Z6" s="3726"/>
      <c r="AA6" s="3710"/>
      <c r="AB6" s="3710"/>
      <c r="AC6" s="3710"/>
    </row>
    <row r="7" spans="1:29" s="108" customFormat="1" ht="15" thickBot="1">
      <c r="A7" s="362" t="s">
        <v>1679</v>
      </c>
      <c r="B7" s="363"/>
      <c r="C7" s="364">
        <f>'数据-取费表'!B2</f>
        <v>41356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2" t="s">
        <v>1680</v>
      </c>
      <c r="Q7" s="3734"/>
      <c r="R7" s="701" t="s">
        <v>14</v>
      </c>
      <c r="S7" s="702">
        <f t="shared" ref="S7:S15" si="0">F7</f>
        <v>0</v>
      </c>
      <c r="T7" s="701" t="s">
        <v>14</v>
      </c>
      <c r="U7" s="702">
        <f t="shared" ref="U7:U15" si="1">H7</f>
        <v>0</v>
      </c>
      <c r="V7" s="701" t="s">
        <v>14</v>
      </c>
      <c r="W7" s="702">
        <f t="shared" ref="W7:W15" si="2">J7</f>
        <v>0</v>
      </c>
      <c r="X7" s="703"/>
      <c r="Y7" s="3732" t="s">
        <v>1680</v>
      </c>
      <c r="Z7" s="3733"/>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2" t="s">
        <v>1683</v>
      </c>
      <c r="Q8" s="3733"/>
      <c r="R8" s="701" t="s">
        <v>14</v>
      </c>
      <c r="S8" s="702">
        <f t="shared" si="0"/>
        <v>0</v>
      </c>
      <c r="T8" s="701" t="s">
        <v>14</v>
      </c>
      <c r="U8" s="702">
        <f t="shared" si="1"/>
        <v>0</v>
      </c>
      <c r="V8" s="701" t="s">
        <v>14</v>
      </c>
      <c r="W8" s="702">
        <f t="shared" si="2"/>
        <v>0</v>
      </c>
      <c r="X8" s="703"/>
      <c r="Y8" s="3732" t="s">
        <v>1683</v>
      </c>
      <c r="Z8" s="3733"/>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6" t="s">
        <v>1686</v>
      </c>
      <c r="Q9" s="1343" t="str">
        <f t="shared" ref="Q9:Q15" si="6">B9</f>
        <v>用途</v>
      </c>
      <c r="R9" s="701" t="s">
        <v>14</v>
      </c>
      <c r="S9" s="702">
        <f t="shared" si="0"/>
        <v>100</v>
      </c>
      <c r="T9" s="701" t="s">
        <v>14</v>
      </c>
      <c r="U9" s="702">
        <f t="shared" si="1"/>
        <v>100</v>
      </c>
      <c r="V9" s="701" t="s">
        <v>14</v>
      </c>
      <c r="W9" s="702">
        <f t="shared" si="2"/>
        <v>100</v>
      </c>
      <c r="X9" s="703"/>
      <c r="Y9" s="3571"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6"/>
      <c r="Q10" s="1343" t="str">
        <f t="shared" si="6"/>
        <v>土地使用年限（年）</v>
      </c>
      <c r="R10" s="701" t="s">
        <v>14</v>
      </c>
      <c r="S10" s="702" t="e">
        <f t="shared" si="0"/>
        <v>#DIV/0!</v>
      </c>
      <c r="T10" s="701" t="s">
        <v>14</v>
      </c>
      <c r="U10" s="702" t="e">
        <f t="shared" si="1"/>
        <v>#DIV/0!</v>
      </c>
      <c r="V10" s="701" t="s">
        <v>14</v>
      </c>
      <c r="W10" s="702" t="e">
        <f t="shared" si="2"/>
        <v>#DIV/0!</v>
      </c>
      <c r="X10" s="703"/>
      <c r="Y10" s="3571"/>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6"/>
      <c r="Q11" s="1343" t="str">
        <f t="shared" si="6"/>
        <v>容积率</v>
      </c>
      <c r="R11" s="701" t="s">
        <v>14</v>
      </c>
      <c r="S11" s="702" t="e">
        <f t="shared" si="0"/>
        <v>#N/A</v>
      </c>
      <c r="T11" s="701" t="s">
        <v>14</v>
      </c>
      <c r="U11" s="702" t="e">
        <f t="shared" si="1"/>
        <v>#N/A</v>
      </c>
      <c r="V11" s="701" t="s">
        <v>14</v>
      </c>
      <c r="W11" s="702" t="e">
        <f t="shared" si="2"/>
        <v>#N/A</v>
      </c>
      <c r="X11" s="703"/>
      <c r="Y11" s="357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6"/>
      <c r="Q12" s="1343">
        <f t="shared" si="6"/>
        <v>111</v>
      </c>
      <c r="R12" s="701" t="s">
        <v>14</v>
      </c>
      <c r="S12" s="702">
        <f t="shared" si="0"/>
        <v>100</v>
      </c>
      <c r="T12" s="701" t="s">
        <v>14</v>
      </c>
      <c r="U12" s="702">
        <f t="shared" si="1"/>
        <v>100</v>
      </c>
      <c r="V12" s="701" t="s">
        <v>14</v>
      </c>
      <c r="W12" s="702">
        <f t="shared" si="2"/>
        <v>100</v>
      </c>
      <c r="X12" s="703"/>
      <c r="Y12" s="357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6"/>
      <c r="Q13" s="1343">
        <f t="shared" si="6"/>
        <v>111</v>
      </c>
      <c r="R13" s="701" t="s">
        <v>14</v>
      </c>
      <c r="S13" s="702">
        <f t="shared" si="0"/>
        <v>100</v>
      </c>
      <c r="T13" s="701" t="s">
        <v>14</v>
      </c>
      <c r="U13" s="702">
        <f t="shared" si="1"/>
        <v>100</v>
      </c>
      <c r="V13" s="701" t="s">
        <v>14</v>
      </c>
      <c r="W13" s="702">
        <f t="shared" si="2"/>
        <v>100</v>
      </c>
      <c r="X13" s="703"/>
      <c r="Y13" s="3571"/>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6"/>
      <c r="Q14" s="1343">
        <f t="shared" si="6"/>
        <v>111</v>
      </c>
      <c r="R14" s="701" t="s">
        <v>14</v>
      </c>
      <c r="S14" s="702">
        <f t="shared" si="0"/>
        <v>100</v>
      </c>
      <c r="T14" s="701" t="s">
        <v>14</v>
      </c>
      <c r="U14" s="702">
        <f t="shared" si="1"/>
        <v>100</v>
      </c>
      <c r="V14" s="701" t="s">
        <v>14</v>
      </c>
      <c r="W14" s="702">
        <f t="shared" si="2"/>
        <v>100</v>
      </c>
      <c r="X14" s="703"/>
      <c r="Y14" s="3571"/>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8" t="s">
        <v>1691</v>
      </c>
      <c r="Q15" s="1352" t="str">
        <f t="shared" si="6"/>
        <v>产业集聚程度</v>
      </c>
      <c r="R15" s="705" t="s">
        <v>14</v>
      </c>
      <c r="S15" s="706">
        <f t="shared" si="0"/>
        <v>100</v>
      </c>
      <c r="T15" s="705" t="s">
        <v>14</v>
      </c>
      <c r="U15" s="706">
        <f t="shared" si="1"/>
        <v>100</v>
      </c>
      <c r="V15" s="705" t="s">
        <v>14</v>
      </c>
      <c r="W15" s="706">
        <f t="shared" si="2"/>
        <v>100</v>
      </c>
      <c r="X15" s="1355"/>
      <c r="Y15" s="369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9"/>
      <c r="Q16" s="1352"/>
      <c r="R16" s="705"/>
      <c r="S16" s="706"/>
      <c r="T16" s="705"/>
      <c r="U16" s="706"/>
      <c r="V16" s="705"/>
      <c r="W16" s="706"/>
      <c r="X16" s="1355"/>
      <c r="Y16" s="3699"/>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9"/>
      <c r="Q17" s="1352" t="str">
        <f>B17</f>
        <v>交通便捷度</v>
      </c>
      <c r="R17" s="705" t="s">
        <v>14</v>
      </c>
      <c r="S17" s="706">
        <f>F17</f>
        <v>100</v>
      </c>
      <c r="T17" s="705" t="s">
        <v>14</v>
      </c>
      <c r="U17" s="706">
        <f>H17</f>
        <v>100</v>
      </c>
      <c r="V17" s="705" t="s">
        <v>14</v>
      </c>
      <c r="W17" s="706">
        <f>J17</f>
        <v>100</v>
      </c>
      <c r="X17" s="1355"/>
      <c r="Y17" s="369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9"/>
      <c r="Q18" s="1352"/>
      <c r="R18" s="705"/>
      <c r="S18" s="706"/>
      <c r="T18" s="705"/>
      <c r="U18" s="706"/>
      <c r="V18" s="705"/>
      <c r="W18" s="706"/>
      <c r="X18" s="1355"/>
      <c r="Y18" s="3699"/>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9"/>
      <c r="Q19" s="1352" t="str">
        <f t="shared" ref="Q19:Q33" si="8">B19</f>
        <v>区域土地利用方向</v>
      </c>
      <c r="R19" s="705" t="s">
        <v>14</v>
      </c>
      <c r="S19" s="706">
        <f>F19</f>
        <v>100</v>
      </c>
      <c r="T19" s="705" t="s">
        <v>14</v>
      </c>
      <c r="U19" s="706">
        <f>H19</f>
        <v>100</v>
      </c>
      <c r="V19" s="705" t="s">
        <v>14</v>
      </c>
      <c r="W19" s="706">
        <f>J19</f>
        <v>100</v>
      </c>
      <c r="X19" s="1355"/>
      <c r="Y19" s="369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9"/>
      <c r="Q20" s="1352"/>
      <c r="R20" s="705"/>
      <c r="S20" s="706"/>
      <c r="T20" s="705"/>
      <c r="U20" s="706"/>
      <c r="V20" s="705"/>
      <c r="W20" s="706"/>
      <c r="X20" s="1355"/>
      <c r="Y20" s="3699"/>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9"/>
      <c r="Q21" s="1352" t="str">
        <f t="shared" si="8"/>
        <v>环境状况</v>
      </c>
      <c r="R21" s="705" t="s">
        <v>14</v>
      </c>
      <c r="S21" s="706">
        <f>F21</f>
        <v>100</v>
      </c>
      <c r="T21" s="705" t="s">
        <v>14</v>
      </c>
      <c r="U21" s="706">
        <f>H21</f>
        <v>100</v>
      </c>
      <c r="V21" s="705" t="s">
        <v>14</v>
      </c>
      <c r="W21" s="706">
        <f>J21</f>
        <v>100</v>
      </c>
      <c r="X21" s="1355"/>
      <c r="Y21" s="369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9"/>
      <c r="Q22" s="1352"/>
      <c r="R22" s="705"/>
      <c r="S22" s="706"/>
      <c r="T22" s="705"/>
      <c r="U22" s="706"/>
      <c r="V22" s="705"/>
      <c r="W22" s="706"/>
      <c r="X22" s="1355"/>
      <c r="Y22" s="3699"/>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9"/>
      <c r="Q23" s="1343" t="str">
        <f t="shared" si="8"/>
        <v>公共配套设施</v>
      </c>
      <c r="R23" s="701" t="s">
        <v>14</v>
      </c>
      <c r="S23" s="702">
        <f>F23</f>
        <v>100</v>
      </c>
      <c r="T23" s="701" t="s">
        <v>14</v>
      </c>
      <c r="U23" s="702">
        <f>H23</f>
        <v>100</v>
      </c>
      <c r="V23" s="701" t="s">
        <v>14</v>
      </c>
      <c r="W23" s="702">
        <f>J23</f>
        <v>100</v>
      </c>
      <c r="X23" s="703"/>
      <c r="Y23" s="369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9"/>
      <c r="Q24" s="1343"/>
      <c r="R24" s="701"/>
      <c r="S24" s="702"/>
      <c r="T24" s="701"/>
      <c r="U24" s="702"/>
      <c r="V24" s="701"/>
      <c r="W24" s="702"/>
      <c r="X24" s="703"/>
      <c r="Y24" s="3699"/>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9"/>
      <c r="Q25" s="1343" t="str">
        <f t="shared" ref="Q25" si="9">B25</f>
        <v>基础设施水平</v>
      </c>
      <c r="R25" s="701" t="s">
        <v>14</v>
      </c>
      <c r="S25" s="702">
        <f>F25</f>
        <v>100</v>
      </c>
      <c r="T25" s="701" t="s">
        <v>14</v>
      </c>
      <c r="U25" s="702">
        <f>H25</f>
        <v>100</v>
      </c>
      <c r="V25" s="701" t="s">
        <v>14</v>
      </c>
      <c r="W25" s="702">
        <f>J25</f>
        <v>100</v>
      </c>
      <c r="X25" s="703"/>
      <c r="Y25" s="369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9"/>
      <c r="Q26" s="1343"/>
      <c r="R26" s="701"/>
      <c r="S26" s="702"/>
      <c r="T26" s="701"/>
      <c r="U26" s="702"/>
      <c r="V26" s="701"/>
      <c r="W26" s="702"/>
      <c r="X26" s="703"/>
      <c r="Y26" s="369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9"/>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9"/>
      <c r="Q28" s="1352" t="str">
        <f t="shared" si="8"/>
        <v>毗邻道路的类型与等级</v>
      </c>
      <c r="R28" s="705" t="s">
        <v>14</v>
      </c>
      <c r="S28" s="706">
        <f t="shared" si="10"/>
        <v>100</v>
      </c>
      <c r="T28" s="705" t="s">
        <v>14</v>
      </c>
      <c r="U28" s="706">
        <f t="shared" si="11"/>
        <v>100</v>
      </c>
      <c r="V28" s="705" t="s">
        <v>14</v>
      </c>
      <c r="W28" s="706">
        <f t="shared" si="12"/>
        <v>100</v>
      </c>
      <c r="X28" s="1355"/>
      <c r="Y28" s="369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9"/>
      <c r="Q29" s="1352"/>
      <c r="R29" s="705"/>
      <c r="S29" s="706"/>
      <c r="T29" s="705"/>
      <c r="U29" s="706"/>
      <c r="V29" s="705"/>
      <c r="W29" s="706"/>
      <c r="X29" s="1355"/>
      <c r="Y29" s="369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9"/>
      <c r="Q30" s="1352" t="str">
        <f t="shared" si="8"/>
        <v>土地级别</v>
      </c>
      <c r="R30" s="705" t="s">
        <v>14</v>
      </c>
      <c r="S30" s="706">
        <f t="shared" si="10"/>
        <v>100</v>
      </c>
      <c r="T30" s="705" t="s">
        <v>14</v>
      </c>
      <c r="U30" s="706">
        <f t="shared" si="11"/>
        <v>100</v>
      </c>
      <c r="V30" s="705" t="s">
        <v>14</v>
      </c>
      <c r="W30" s="706">
        <f t="shared" si="12"/>
        <v>100</v>
      </c>
      <c r="X30" s="1355"/>
      <c r="Y30" s="369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9"/>
      <c r="Q31" s="1352">
        <f t="shared" si="8"/>
        <v>111</v>
      </c>
      <c r="R31" s="705" t="s">
        <v>14</v>
      </c>
      <c r="S31" s="706">
        <f t="shared" si="10"/>
        <v>100</v>
      </c>
      <c r="T31" s="705" t="s">
        <v>14</v>
      </c>
      <c r="U31" s="706">
        <f t="shared" si="11"/>
        <v>100</v>
      </c>
      <c r="V31" s="705" t="s">
        <v>14</v>
      </c>
      <c r="W31" s="706">
        <f t="shared" si="12"/>
        <v>100</v>
      </c>
      <c r="X31" s="1355"/>
      <c r="Y31" s="369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8" t="s">
        <v>1696</v>
      </c>
      <c r="Q32" s="1352">
        <f t="shared" si="8"/>
        <v>111</v>
      </c>
      <c r="R32" s="705" t="s">
        <v>14</v>
      </c>
      <c r="S32" s="706">
        <f t="shared" si="10"/>
        <v>100</v>
      </c>
      <c r="T32" s="705" t="s">
        <v>14</v>
      </c>
      <c r="U32" s="706">
        <f t="shared" si="11"/>
        <v>100</v>
      </c>
      <c r="V32" s="705" t="s">
        <v>14</v>
      </c>
      <c r="W32" s="706">
        <f t="shared" si="12"/>
        <v>100</v>
      </c>
      <c r="X32" s="1355"/>
      <c r="Y32" s="3703"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3"/>
      <c r="Q33" s="1352">
        <f t="shared" si="8"/>
        <v>111</v>
      </c>
      <c r="R33" s="708" t="s">
        <v>14</v>
      </c>
      <c r="S33" s="709">
        <f t="shared" si="10"/>
        <v>100</v>
      </c>
      <c r="T33" s="708" t="s">
        <v>14</v>
      </c>
      <c r="U33" s="709">
        <f t="shared" si="11"/>
        <v>100</v>
      </c>
      <c r="V33" s="708" t="s">
        <v>14</v>
      </c>
      <c r="W33" s="709">
        <f t="shared" si="12"/>
        <v>100</v>
      </c>
      <c r="X33" s="710"/>
      <c r="Y33" s="370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3"/>
      <c r="Q34" s="1352" t="str">
        <f>B34</f>
        <v>宗地面积</v>
      </c>
      <c r="R34" s="705" t="s">
        <v>14</v>
      </c>
      <c r="S34" s="706" t="e">
        <f t="shared" si="10"/>
        <v>#N/A</v>
      </c>
      <c r="T34" s="705" t="s">
        <v>14</v>
      </c>
      <c r="U34" s="706" t="e">
        <f t="shared" si="11"/>
        <v>#N/A</v>
      </c>
      <c r="V34" s="705" t="s">
        <v>14</v>
      </c>
      <c r="W34" s="706" t="e">
        <f t="shared" si="12"/>
        <v>#N/A</v>
      </c>
      <c r="X34" s="1355"/>
      <c r="Y34" s="370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3"/>
      <c r="Q35" s="1352" t="str">
        <f t="shared" ref="Q35:Q40" si="14">B35</f>
        <v>宗地形状</v>
      </c>
      <c r="R35" s="705" t="s">
        <v>14</v>
      </c>
      <c r="S35" s="706">
        <f t="shared" si="10"/>
        <v>100</v>
      </c>
      <c r="T35" s="705" t="s">
        <v>14</v>
      </c>
      <c r="U35" s="706">
        <f t="shared" si="11"/>
        <v>100</v>
      </c>
      <c r="V35" s="705" t="s">
        <v>14</v>
      </c>
      <c r="W35" s="706">
        <f t="shared" si="12"/>
        <v>100</v>
      </c>
      <c r="X35" s="1355"/>
      <c r="Y35" s="370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3"/>
      <c r="Q36" s="1352" t="str">
        <f t="shared" si="14"/>
        <v>宗地开发程度</v>
      </c>
      <c r="R36" s="701" t="s">
        <v>14</v>
      </c>
      <c r="S36" s="702">
        <f t="shared" si="10"/>
        <v>100</v>
      </c>
      <c r="T36" s="701" t="s">
        <v>14</v>
      </c>
      <c r="U36" s="702">
        <f t="shared" si="11"/>
        <v>100</v>
      </c>
      <c r="V36" s="701" t="s">
        <v>14</v>
      </c>
      <c r="W36" s="702">
        <f t="shared" si="12"/>
        <v>100</v>
      </c>
      <c r="X36" s="703"/>
      <c r="Y36" s="370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3" t="s">
        <v>1696</v>
      </c>
      <c r="Q37" s="1352" t="str">
        <f t="shared" si="14"/>
        <v>工程地质条件</v>
      </c>
      <c r="R37" s="705" t="s">
        <v>14</v>
      </c>
      <c r="S37" s="706">
        <f t="shared" si="10"/>
        <v>100</v>
      </c>
      <c r="T37" s="705" t="s">
        <v>14</v>
      </c>
      <c r="U37" s="706">
        <f t="shared" si="11"/>
        <v>100</v>
      </c>
      <c r="V37" s="705" t="s">
        <v>14</v>
      </c>
      <c r="W37" s="706">
        <f t="shared" si="12"/>
        <v>100</v>
      </c>
      <c r="X37" s="1355"/>
      <c r="Y37" s="370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3"/>
      <c r="Q38" s="1352">
        <f t="shared" si="14"/>
        <v>111</v>
      </c>
      <c r="R38" s="705" t="s">
        <v>14</v>
      </c>
      <c r="S38" s="706">
        <f t="shared" si="10"/>
        <v>100</v>
      </c>
      <c r="T38" s="705" t="s">
        <v>14</v>
      </c>
      <c r="U38" s="706">
        <f t="shared" si="11"/>
        <v>100</v>
      </c>
      <c r="V38" s="705" t="s">
        <v>14</v>
      </c>
      <c r="W38" s="706">
        <f t="shared" si="12"/>
        <v>100</v>
      </c>
      <c r="X38" s="1355"/>
      <c r="Y38" s="370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3"/>
      <c r="Q39" s="1352">
        <f t="shared" si="14"/>
        <v>111</v>
      </c>
      <c r="R39" s="705" t="s">
        <v>14</v>
      </c>
      <c r="S39" s="706">
        <f t="shared" si="10"/>
        <v>100</v>
      </c>
      <c r="T39" s="705" t="s">
        <v>14</v>
      </c>
      <c r="U39" s="706">
        <f t="shared" si="11"/>
        <v>100</v>
      </c>
      <c r="V39" s="705" t="s">
        <v>14</v>
      </c>
      <c r="W39" s="706">
        <f t="shared" si="12"/>
        <v>100</v>
      </c>
      <c r="X39" s="1355"/>
      <c r="Y39" s="3703"/>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3"/>
      <c r="Q40" s="1352">
        <f t="shared" si="14"/>
        <v>111</v>
      </c>
      <c r="R40" s="708" t="s">
        <v>14</v>
      </c>
      <c r="S40" s="709">
        <f t="shared" si="10"/>
        <v>100</v>
      </c>
      <c r="T40" s="708" t="s">
        <v>14</v>
      </c>
      <c r="U40" s="709">
        <f t="shared" si="11"/>
        <v>100</v>
      </c>
      <c r="V40" s="708" t="s">
        <v>14</v>
      </c>
      <c r="W40" s="709">
        <f t="shared" si="12"/>
        <v>100</v>
      </c>
      <c r="X40" s="710"/>
      <c r="Y40" s="3703"/>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4"/>
      <c r="M41" s="2716"/>
      <c r="N41" s="2716"/>
      <c r="O41" s="2725"/>
      <c r="P41" s="3696" t="str">
        <f>A41</f>
        <v>成交单价</v>
      </c>
      <c r="Q41" s="3696"/>
      <c r="R41" s="3727">
        <f>E41</f>
        <v>0</v>
      </c>
      <c r="S41" s="3727"/>
      <c r="T41" s="3727">
        <f>G41</f>
        <v>0</v>
      </c>
      <c r="U41" s="3727"/>
      <c r="V41" s="3727">
        <f>I41</f>
        <v>0</v>
      </c>
      <c r="W41" s="3727"/>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6" t="str">
        <f>A42</f>
        <v>比较价值（元/平方米）</v>
      </c>
      <c r="Q42" s="3696"/>
      <c r="R42" s="3760" t="e">
        <f>ROUND(PRODUCT(R41,AA7:AA40),0)</f>
        <v>#DIV/0!</v>
      </c>
      <c r="S42" s="3760"/>
      <c r="T42" s="3760" t="e">
        <f>ROUND(PRODUCT(T41,AB7:AB40),0)</f>
        <v>#DIV/0!</v>
      </c>
      <c r="U42" s="3760"/>
      <c r="V42" s="3760" t="e">
        <f>ROUND(PRODUCT(V41,AC7:AC40),0)</f>
        <v>#DIV/0!</v>
      </c>
      <c r="W42" s="3760"/>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4"/>
      <c r="M43" s="2716"/>
      <c r="N43" s="2716"/>
      <c r="O43" s="2725"/>
      <c r="P43" s="3693" t="str">
        <f>A43</f>
        <v>估价对象XX用房的比较价值（楼面单价，元/平方米）</v>
      </c>
      <c r="Q43" s="3694"/>
      <c r="R43" s="3761" t="e">
        <f>ROUND(IF(D42="简单平均",AVERAGE(R42:W42),R42*F42+T42*H42+V42*J42),0)</f>
        <v>#DIV/0!</v>
      </c>
      <c r="S43" s="3761"/>
      <c r="T43" s="3761"/>
      <c r="U43" s="3761"/>
      <c r="V43" s="3761"/>
      <c r="W43" s="3761"/>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4.4"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8.8">
      <c r="A50" s="632" t="s">
        <v>1881</v>
      </c>
      <c r="B50" s="633" t="s">
        <v>1882</v>
      </c>
      <c r="C50" s="1983" t="s">
        <v>1883</v>
      </c>
      <c r="D50" s="1984" t="s">
        <v>1884</v>
      </c>
      <c r="E50" s="634" t="s">
        <v>1885</v>
      </c>
      <c r="F50" s="635" t="s">
        <v>1886</v>
      </c>
      <c r="G50" s="3711" t="s">
        <v>1887</v>
      </c>
      <c r="H50" s="3762"/>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275.64999999999998</v>
      </c>
      <c r="F51" s="639" t="e">
        <f t="shared" ref="F51:F60" si="15">ROUND(B51*E51/10000,0)</f>
        <v>#DIV/0!</v>
      </c>
      <c r="G51" s="3707"/>
      <c r="H51" s="3696"/>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2013-3-1</v>
      </c>
      <c r="D63" s="692">
        <f>EDATE(C63,-3)</f>
        <v>41244</v>
      </c>
      <c r="E63" s="692">
        <f>EDATE(D63,-3)</f>
        <v>41153</v>
      </c>
      <c r="F63" s="692">
        <f t="shared" ref="F63:O63" si="18">EDATE(E63,-3)</f>
        <v>41061</v>
      </c>
      <c r="G63" s="692">
        <f t="shared" si="18"/>
        <v>40969</v>
      </c>
      <c r="H63" s="692">
        <f t="shared" si="18"/>
        <v>40878</v>
      </c>
      <c r="I63" s="692">
        <f t="shared" si="18"/>
        <v>40787</v>
      </c>
      <c r="J63" s="692">
        <f t="shared" si="18"/>
        <v>40695</v>
      </c>
      <c r="K63" s="692">
        <f t="shared" si="18"/>
        <v>40603</v>
      </c>
      <c r="L63" s="692">
        <f t="shared" si="18"/>
        <v>40513</v>
      </c>
      <c r="M63" s="692">
        <f t="shared" si="18"/>
        <v>40422</v>
      </c>
      <c r="N63" s="692">
        <f t="shared" si="18"/>
        <v>40330</v>
      </c>
      <c r="O63" s="692">
        <f t="shared" si="18"/>
        <v>40238</v>
      </c>
      <c r="P63" s="2725"/>
      <c r="Q63" s="2725"/>
      <c r="R63" s="2725"/>
      <c r="S63" s="2725"/>
      <c r="T63" s="2725"/>
      <c r="U63" s="2725"/>
      <c r="V63" s="2725"/>
      <c r="W63" s="2725"/>
      <c r="X63" s="2725"/>
      <c r="Y63" s="2725"/>
      <c r="Z63" s="2725"/>
      <c r="AA63" s="2725"/>
      <c r="AB63" s="2725"/>
      <c r="AC63" s="2725"/>
      <c r="AD63" s="2725"/>
      <c r="AE63" s="2725"/>
    </row>
    <row r="64" spans="1:31" ht="22.2"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4.4">
      <c r="A65" s="1989" t="s">
        <v>1904</v>
      </c>
      <c r="B65" s="1109"/>
      <c r="C65" s="1182" t="str">
        <f>YEAR(C63)&amp;"-"&amp;ROUNDUP(MONTH(C63)/3,0)</f>
        <v>2013-1</v>
      </c>
      <c r="D65" s="1182" t="str">
        <f t="shared" ref="D65:O65" si="19">YEAR(D63)&amp;"-"&amp;ROUNDUP(MONTH(D63)/3,0)</f>
        <v>2012-4</v>
      </c>
      <c r="E65" s="1182" t="str">
        <f t="shared" si="19"/>
        <v>2012-3</v>
      </c>
      <c r="F65" s="1182" t="str">
        <f t="shared" si="19"/>
        <v>2012-2</v>
      </c>
      <c r="G65" s="1182" t="str">
        <f t="shared" si="19"/>
        <v>2012-1</v>
      </c>
      <c r="H65" s="1182" t="str">
        <f t="shared" si="19"/>
        <v>2011-4</v>
      </c>
      <c r="I65" s="1182" t="str">
        <f t="shared" si="19"/>
        <v>2011-3</v>
      </c>
      <c r="J65" s="1182" t="str">
        <f t="shared" si="19"/>
        <v>2011-2</v>
      </c>
      <c r="K65" s="1182" t="str">
        <f t="shared" si="19"/>
        <v>2011-1</v>
      </c>
      <c r="L65" s="1182" t="str">
        <f t="shared" si="19"/>
        <v>2010-4</v>
      </c>
      <c r="M65" s="1182" t="str">
        <f t="shared" si="19"/>
        <v>2010-3</v>
      </c>
      <c r="N65" s="1182" t="str">
        <f t="shared" si="19"/>
        <v>2010-2</v>
      </c>
      <c r="O65" s="1182" t="str">
        <f t="shared" si="19"/>
        <v>2010-1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4.4">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4.4"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ht="14.4">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4.4"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9.4"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4.4"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4.4"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4.4"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4.4"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4.4"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4.4"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4.4"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ht="14.4">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9.4"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4.4"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4.4"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4.4"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4.4"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4.4"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4.4"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4.4"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4.4"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4.4"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4.4"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4.4"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4.4"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4.4"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E1" sqref="E1"/>
      <selection pane="bottomLeft" activeCell="E1" sqref="E1"/>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70" t="s">
        <v>2084</v>
      </c>
      <c r="D1" s="3771"/>
      <c r="E1" s="3771"/>
      <c r="F1" s="3771"/>
      <c r="G1" s="3771"/>
      <c r="H1" s="3771"/>
      <c r="I1" s="3771"/>
      <c r="J1" s="3771"/>
      <c r="K1" s="3771"/>
      <c r="L1" s="3771"/>
      <c r="M1" s="3771"/>
      <c r="N1" s="3771"/>
      <c r="O1" s="3771"/>
      <c r="P1" s="3771"/>
      <c r="Q1" s="3771"/>
      <c r="R1" s="3771"/>
      <c r="S1" s="3772"/>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7" t="s">
        <v>27</v>
      </c>
      <c r="D22" s="3768"/>
      <c r="E22" s="3768"/>
      <c r="F22" s="3768"/>
      <c r="G22" s="3768"/>
      <c r="H22" s="3768"/>
      <c r="I22" s="3768"/>
      <c r="J22" s="3768"/>
      <c r="K22" s="3768"/>
      <c r="L22" s="3768"/>
      <c r="M22" s="3768"/>
      <c r="N22" s="3768"/>
      <c r="O22" s="3768"/>
      <c r="P22" s="3768"/>
      <c r="Q22" s="3769"/>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1" sqref="E1"/>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3"/>
      <c r="G1" s="2793"/>
      <c r="H1" s="2793"/>
      <c r="I1" s="2793"/>
      <c r="J1" s="2793"/>
      <c r="K1" s="2793"/>
      <c r="L1" s="2793"/>
      <c r="M1" s="2793"/>
      <c r="N1" s="2793"/>
      <c r="O1" s="2793"/>
      <c r="P1" s="2793"/>
    </row>
    <row r="2" spans="1:16" ht="15.6">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6">
      <c r="A3" s="2145" t="s">
        <v>2076</v>
      </c>
      <c r="B3" s="2602" t="e">
        <f ca="1">ROUND(B2*10000/E2,0)</f>
        <v>#DIV/0!</v>
      </c>
      <c r="C3" s="2145" t="s">
        <v>2082</v>
      </c>
      <c r="D3" s="2793"/>
      <c r="E3" s="2793"/>
      <c r="F3" s="2793"/>
      <c r="G3" s="2793"/>
      <c r="H3" s="2793"/>
      <c r="I3" s="2793"/>
      <c r="J3" s="2793"/>
      <c r="K3" s="2793"/>
      <c r="L3" s="2793"/>
      <c r="M3" s="2793"/>
      <c r="N3" s="2793"/>
      <c r="O3" s="2793"/>
      <c r="P3" s="2793"/>
    </row>
    <row r="4" spans="1:16" ht="15.6">
      <c r="A4" s="2794"/>
      <c r="B4" s="2793"/>
      <c r="C4" s="2793"/>
      <c r="D4" s="2793"/>
      <c r="E4" s="2793"/>
      <c r="F4" s="2793"/>
      <c r="G4" s="2793"/>
      <c r="H4" s="2793"/>
      <c r="I4" s="2793"/>
      <c r="J4" s="2793"/>
      <c r="K4" s="2793"/>
      <c r="L4" s="2793"/>
      <c r="M4" s="2793"/>
      <c r="N4" s="2793"/>
      <c r="O4" s="2793"/>
      <c r="P4" s="2793"/>
    </row>
    <row r="5" spans="1:16" ht="31.2">
      <c r="A5" s="2608" t="s">
        <v>2077</v>
      </c>
      <c r="B5" s="2610" t="s">
        <v>2078</v>
      </c>
      <c r="C5" s="2146"/>
      <c r="D5" s="2793"/>
      <c r="E5" s="2611" t="s">
        <v>2079</v>
      </c>
      <c r="F5" s="2793"/>
      <c r="G5" s="2793"/>
      <c r="H5" s="2793"/>
      <c r="I5" s="2793"/>
      <c r="J5" s="2793"/>
      <c r="K5" s="2793"/>
      <c r="L5" s="2793"/>
      <c r="M5" s="2793"/>
      <c r="N5" s="2793"/>
      <c r="O5" s="2793"/>
      <c r="P5" s="2793"/>
    </row>
    <row r="6" spans="1:16" ht="15.6">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6">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6">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6">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6">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6">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6">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6">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E1" sqref="E1"/>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6">
      <c r="A4" s="3780"/>
      <c r="B4" s="3781"/>
      <c r="C4" s="3781"/>
      <c r="D4" s="3782"/>
      <c r="E4" s="3782"/>
      <c r="F4" s="3782"/>
      <c r="G4" s="3782"/>
      <c r="H4" s="3782"/>
      <c r="I4" s="3782"/>
      <c r="J4" s="3783"/>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6" thickBot="1">
      <c r="A7" s="3304" t="s">
        <v>3238</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7" t="s">
        <v>1960</v>
      </c>
      <c r="X8" s="3778"/>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9"/>
      <c r="X9" s="3362" t="s">
        <v>3269</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6"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8" thickBot="1">
      <c r="A12" s="3304" t="s">
        <v>3239</v>
      </c>
      <c r="B12" s="3305" t="s">
        <v>3240</v>
      </c>
      <c r="C12" s="3306"/>
      <c r="D12" s="3307" t="s">
        <v>3241</v>
      </c>
      <c r="E12" s="3308" t="s">
        <v>3242</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24.6" thickBot="1">
      <c r="A13" s="3304" t="s">
        <v>3243</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24">
      <c r="A14" s="3298"/>
      <c r="B14" s="2040" t="s">
        <v>1985</v>
      </c>
      <c r="C14" s="2041" t="s">
        <v>1986</v>
      </c>
      <c r="D14" s="1350" t="s">
        <v>1987</v>
      </c>
      <c r="E14" s="27" t="s">
        <v>1988</v>
      </c>
      <c r="F14" s="3312" t="s">
        <v>3244</v>
      </c>
      <c r="G14" s="3312" t="s">
        <v>3244</v>
      </c>
      <c r="H14" s="3312" t="s">
        <v>3244</v>
      </c>
      <c r="I14" s="3312" t="s">
        <v>3244</v>
      </c>
      <c r="J14" s="3312" t="s">
        <v>3244</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3245</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6"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ht="24">
      <c r="A17" s="3330" t="s">
        <v>3246</v>
      </c>
      <c r="B17" s="3321" t="s">
        <v>3247</v>
      </c>
      <c r="C17" s="3331">
        <f>ROUND(IF(OR(E2="工业",E2="公共服务"),1,IF(AND(E18=0,E19=0),1,IF(AND(E18=J24,E19=G19),0.8,IF(E19=0,1+E17*(-0.2),1+E17*G17*(-0.2))))),4)</f>
        <v>1</v>
      </c>
      <c r="D17" s="3322" t="s">
        <v>3248</v>
      </c>
      <c r="E17" s="3331" t="e">
        <f>ROUND(G18/I18,2)</f>
        <v>#DIV/0!</v>
      </c>
      <c r="F17" s="3322" t="s">
        <v>3251</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3"/>
      <c r="B18" s="3010"/>
      <c r="C18" s="3328"/>
      <c r="D18" s="3323" t="s">
        <v>3249</v>
      </c>
      <c r="E18" s="3329"/>
      <c r="F18" s="3324" t="s">
        <v>3252</v>
      </c>
      <c r="G18" s="3328">
        <f>ROUND(1-(1/(POWER(1+G24,E18))),4)</f>
        <v>0</v>
      </c>
      <c r="H18" s="3324" t="s">
        <v>3254</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4.4" thickBot="1">
      <c r="A19" s="3335"/>
      <c r="B19" s="3336"/>
      <c r="C19" s="3337"/>
      <c r="D19" s="3337" t="s">
        <v>3250</v>
      </c>
      <c r="E19" s="3338"/>
      <c r="F19" s="3339" t="s">
        <v>3253</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3.8">
      <c r="A20" s="3784" t="s">
        <v>3255</v>
      </c>
      <c r="B20" s="167" t="s">
        <v>1994</v>
      </c>
      <c r="C20" s="3325" t="e">
        <f>ROUND(IF(F21="与级别开发程度一致",0,(G21-E21)/C21),0)</f>
        <v>#DIV/0!</v>
      </c>
      <c r="D20" s="3341" t="s">
        <v>1998</v>
      </c>
      <c r="E20" s="3342"/>
      <c r="F20" s="3790" t="s">
        <v>1995</v>
      </c>
      <c r="G20" s="379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4.4" thickBot="1">
      <c r="A21" s="3785"/>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2054" t="s">
        <v>2002</v>
      </c>
      <c r="E23" s="761">
        <v>44197</v>
      </c>
      <c r="F23" s="2054" t="s">
        <v>2003</v>
      </c>
      <c r="G23" s="762">
        <f>'数据-取费表'!B2</f>
        <v>41356</v>
      </c>
      <c r="H23" s="3343" t="s">
        <v>3257</v>
      </c>
      <c r="I23" s="3344" t="str">
        <f>IF(H23="季度增幅（自定义）",SUMIF(N25:N28,E2,O25:O28),"")</f>
        <v/>
      </c>
      <c r="J23" s="3446" t="s">
        <v>3256</v>
      </c>
      <c r="K23" s="1125"/>
      <c r="L23" s="2055" t="s">
        <v>2004</v>
      </c>
      <c r="M23" s="1328">
        <f>ROUND(SUMIF(地价!B2:G2,E2,地价!B16:G16),0)</f>
        <v>0</v>
      </c>
      <c r="N23" s="2056" t="s">
        <v>2005</v>
      </c>
      <c r="O23" s="763" t="e">
        <f>ROUNDDOWN(DATEDIF(E23,G23,"M")/3,0)</f>
        <v>#NUM!</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t="e">
        <f>ROUND(POWER(1+G24,J24-I24)*(POWER(1+G24,I24)-1)/(POWER(1+G24,J24)-1),4)</f>
        <v>#DIV/0!</v>
      </c>
      <c r="D24" s="2060" t="s">
        <v>2007</v>
      </c>
      <c r="E24" s="1335">
        <f>存贷款利率!E26/100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4.4">
      <c r="A25" s="2065" t="s">
        <v>366</v>
      </c>
      <c r="B25" s="2066" t="s">
        <v>3336</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5" t="s">
        <v>3258</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3259</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3263</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t="e">
        <f>ROUND(C5*C22*C23*C24*C25*C28,0)</f>
        <v>#DIV/0!</v>
      </c>
      <c r="D33" s="2098"/>
      <c r="E33" s="773" t="e">
        <f>ROUND(C33*D33/10000,0)</f>
        <v>#DIV/0!</v>
      </c>
      <c r="F33" s="3346" t="s">
        <v>3261</v>
      </c>
      <c r="G33" s="2099"/>
      <c r="H33" s="2099"/>
      <c r="I33" s="2099"/>
      <c r="J33" s="2100"/>
      <c r="K33" s="1119"/>
      <c r="L33" s="3349" t="s">
        <v>3264</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3265</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3262</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7" t="s">
        <v>3266</v>
      </c>
      <c r="L36" s="3447">
        <f ca="1">'数据-取费表'!B40</f>
        <v>6.1500000000000006E-2</v>
      </c>
      <c r="M36" s="3358">
        <f ca="1">ROUND($L$36*(1+M31),3)</f>
        <v>7.6999999999999999E-2</v>
      </c>
      <c r="N36" s="3358">
        <f ca="1">ROUND($L$36*(1+N31),3)</f>
        <v>7.3999999999999996E-2</v>
      </c>
      <c r="O36" s="3358">
        <f ca="1">ROUND($L$36*(1+O31),3)</f>
        <v>7.0999999999999994E-2</v>
      </c>
      <c r="P36" s="3358">
        <f ca="1">ROUND($L$36*(1+P31),3)</f>
        <v>6.8000000000000005E-2</v>
      </c>
      <c r="Q36" s="3358">
        <f ca="1">ROUND($L$36*(1+Q31),3)</f>
        <v>7.0999999999999994E-2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88"/>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3267</v>
      </c>
      <c r="L37" s="3357">
        <f ca="1">L36+K38</f>
        <v>6.6500000000000004E-2</v>
      </c>
      <c r="M37" s="3358">
        <f ca="1">ROUND($L$37*(1+M31),3)</f>
        <v>8.3000000000000004E-2</v>
      </c>
      <c r="N37" s="3358">
        <f t="shared" ref="N37:Q37" ca="1" si="3">ROUND($L$37*(1+N31),3)</f>
        <v>0.08</v>
      </c>
      <c r="O37" s="3358">
        <f t="shared" ca="1" si="3"/>
        <v>7.5999999999999998E-2</v>
      </c>
      <c r="P37" s="3358">
        <f t="shared" ca="1" si="3"/>
        <v>7.2999999999999995E-2</v>
      </c>
      <c r="Q37" s="3358">
        <f t="shared" ca="1" si="3"/>
        <v>7.5999999999999998E-2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9"/>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8" thickBot="1">
      <c r="A39" s="3789"/>
      <c r="B39" s="2041" t="s">
        <v>3260</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3268</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c r="A52" s="3369" t="s">
        <v>3270</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9" t="s">
        <v>3270</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9" t="s">
        <v>3270</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48">
      <c r="A85" s="3369" t="s">
        <v>3271</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3.8">
      <c r="A91" s="3377" t="s">
        <v>2613</v>
      </c>
      <c r="B91" s="3378">
        <f>1+E93</f>
        <v>1</v>
      </c>
      <c r="C91" s="3371"/>
      <c r="D91" s="3372"/>
      <c r="E91" s="1814"/>
      <c r="F91" s="1814"/>
      <c r="G91" s="3373"/>
      <c r="H91" s="3374"/>
      <c r="I91" s="3375"/>
      <c r="J91" s="3376"/>
      <c r="K91" s="3376"/>
      <c r="L91" s="3376"/>
      <c r="M91" s="3376"/>
      <c r="N91" s="3376"/>
    </row>
    <row r="92" spans="1:37" ht="25.2">
      <c r="A92" s="3379" t="s">
        <v>3272</v>
      </c>
      <c r="B92" s="3366"/>
      <c r="C92" s="3366" t="s">
        <v>3281</v>
      </c>
      <c r="D92" s="3366" t="s">
        <v>3282</v>
      </c>
      <c r="E92" s="3348" t="s">
        <v>3283</v>
      </c>
      <c r="F92" s="3381" t="s">
        <v>3284</v>
      </c>
      <c r="G92" s="3366" t="s">
        <v>3285</v>
      </c>
      <c r="H92" s="3388" t="s">
        <v>3288</v>
      </c>
      <c r="I92" s="3366" t="s">
        <v>3289</v>
      </c>
      <c r="J92" s="3389" t="s">
        <v>3290</v>
      </c>
      <c r="K92" s="3389" t="s">
        <v>3291</v>
      </c>
      <c r="L92" s="3389" t="s">
        <v>3292</v>
      </c>
      <c r="M92" s="3389" t="s">
        <v>3293</v>
      </c>
      <c r="N92" s="3389" t="s">
        <v>3294</v>
      </c>
    </row>
    <row r="93" spans="1:37" ht="24">
      <c r="A93" s="3369" t="s">
        <v>3273</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52.8">
      <c r="A94" s="3379" t="s">
        <v>3274</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48">
      <c r="A95" s="3369" t="s">
        <v>3270</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7.200000000000003">
      <c r="A96" s="3379" t="s">
        <v>3275</v>
      </c>
      <c r="B96" s="3385" t="s">
        <v>3286</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3276</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36">
      <c r="A98" s="3379" t="s">
        <v>3277</v>
      </c>
      <c r="B98" s="3386" t="s">
        <v>3287</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6.4">
      <c r="A99" s="3379" t="s">
        <v>3278</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6.4">
      <c r="A100" s="3379" t="s">
        <v>3279</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40.200000000000003" thickBot="1">
      <c r="A101" s="3380" t="s">
        <v>3280</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6" t="s">
        <v>3295</v>
      </c>
      <c r="B103" s="3786"/>
      <c r="C103" s="3786"/>
      <c r="D103" s="3786"/>
      <c r="E103" s="3786"/>
      <c r="F103" s="3786"/>
      <c r="G103" s="3786"/>
      <c r="H103" s="3786"/>
      <c r="I103" s="3786"/>
      <c r="J103" s="3786"/>
      <c r="K103" s="3390"/>
      <c r="L103" s="3390"/>
      <c r="M103" s="3390"/>
      <c r="N103" s="3390"/>
    </row>
    <row r="104" spans="1:14">
      <c r="A104" s="3787" t="s">
        <v>3296</v>
      </c>
      <c r="B104" s="3787" t="s">
        <v>3297</v>
      </c>
      <c r="C104" s="3391" t="s">
        <v>3298</v>
      </c>
      <c r="D104" s="3392"/>
      <c r="E104" s="3392"/>
      <c r="F104" s="3392"/>
      <c r="G104" s="3392"/>
      <c r="H104" s="3392"/>
      <c r="I104" s="3392"/>
      <c r="J104" s="3393"/>
      <c r="K104" s="3394"/>
      <c r="L104" s="3394"/>
      <c r="M104" s="3394"/>
      <c r="N104" s="3394"/>
    </row>
    <row r="105" spans="1:14">
      <c r="A105" s="3787"/>
      <c r="B105" s="3787"/>
      <c r="C105" s="3395" t="s">
        <v>3299</v>
      </c>
      <c r="D105" s="3395" t="s">
        <v>3300</v>
      </c>
      <c r="E105" s="3395" t="s">
        <v>3301</v>
      </c>
      <c r="F105" s="3395" t="s">
        <v>3302</v>
      </c>
      <c r="G105" s="3395" t="s">
        <v>3303</v>
      </c>
      <c r="H105" s="3395" t="s">
        <v>3304</v>
      </c>
      <c r="I105" s="3395" t="s">
        <v>3305</v>
      </c>
      <c r="J105" s="3395" t="s">
        <v>3306</v>
      </c>
      <c r="K105" s="3395" t="s">
        <v>3307</v>
      </c>
      <c r="L105" s="3395" t="s">
        <v>3308</v>
      </c>
      <c r="M105" s="3395" t="s">
        <v>3309</v>
      </c>
      <c r="N105" s="3395" t="s">
        <v>3310</v>
      </c>
    </row>
    <row r="106" spans="1:14">
      <c r="A106" s="3773" t="s">
        <v>3311</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7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7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7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7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74"/>
      <c r="B111" s="3395" t="s">
        <v>3269</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6" t="s">
        <v>3312</v>
      </c>
      <c r="B113" s="3776"/>
      <c r="C113" s="3776"/>
      <c r="D113" s="3776"/>
      <c r="E113" s="3776"/>
      <c r="F113" s="3776"/>
      <c r="G113" s="3776"/>
      <c r="H113" s="3776"/>
      <c r="I113" s="3776"/>
      <c r="J113" s="377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8" thickBot="1">
      <c r="A115" s="3398"/>
      <c r="B115" s="3398"/>
      <c r="C115" s="3398"/>
      <c r="D115" s="3398"/>
      <c r="E115" s="3398"/>
      <c r="F115" s="3398"/>
      <c r="G115" s="3398"/>
      <c r="H115" s="3398"/>
      <c r="I115" s="3398"/>
      <c r="J115" s="3398"/>
      <c r="K115" s="3357"/>
      <c r="L115" s="3398"/>
      <c r="M115" s="3398"/>
      <c r="N115" s="3398"/>
    </row>
    <row r="116" spans="1:14" ht="25.8" thickBot="1">
      <c r="A116" s="3399" t="s">
        <v>3313</v>
      </c>
      <c r="B116" s="3416">
        <f>G3</f>
        <v>0</v>
      </c>
      <c r="C116" s="3400" t="s">
        <v>3314</v>
      </c>
      <c r="D116" s="3401">
        <f>SUMPRODUCT((A118:A122=F116)*(B117:M117=H116)*B118:M122)</f>
        <v>0</v>
      </c>
      <c r="E116" s="2000" t="s">
        <v>3315</v>
      </c>
      <c r="F116" s="3402">
        <f>E2</f>
        <v>0</v>
      </c>
      <c r="G116" s="2000" t="s">
        <v>3316</v>
      </c>
      <c r="H116" s="3402">
        <f>G2</f>
        <v>0</v>
      </c>
      <c r="I116" s="2000"/>
      <c r="J116" s="3403"/>
      <c r="K116" s="3403"/>
      <c r="L116" s="3403"/>
      <c r="M116" s="3403"/>
      <c r="N116" s="3398"/>
    </row>
    <row r="117" spans="1:14">
      <c r="A117" s="3404"/>
      <c r="B117" s="3405" t="s">
        <v>3317</v>
      </c>
      <c r="C117" s="3405" t="s">
        <v>3318</v>
      </c>
      <c r="D117" s="3405" t="s">
        <v>3319</v>
      </c>
      <c r="E117" s="3406" t="s">
        <v>3320</v>
      </c>
      <c r="F117" s="3406" t="s">
        <v>3321</v>
      </c>
      <c r="G117" s="3406" t="s">
        <v>3322</v>
      </c>
      <c r="H117" s="3407" t="s">
        <v>3323</v>
      </c>
      <c r="I117" s="3407" t="s">
        <v>3324</v>
      </c>
      <c r="J117" s="3408" t="s">
        <v>3325</v>
      </c>
      <c r="K117" s="3408" t="s">
        <v>3326</v>
      </c>
      <c r="L117" s="3408" t="s">
        <v>3327</v>
      </c>
      <c r="M117" s="3409" t="s">
        <v>3328</v>
      </c>
      <c r="N117" s="3398"/>
    </row>
    <row r="118" spans="1:14">
      <c r="A118" s="3410" t="s">
        <v>3329</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3330</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3331</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8" thickBot="1">
      <c r="A121" s="3412" t="s">
        <v>3332</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2613</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6" priority="6" stopIfTrue="1" operator="notEqual">
      <formula>"——"</formula>
    </cfRule>
  </conditionalFormatting>
  <conditionalFormatting sqref="F61">
    <cfRule type="cellIs" dxfId="5" priority="5" stopIfTrue="1" operator="notEqual">
      <formula>"——"</formula>
    </cfRule>
  </conditionalFormatting>
  <conditionalFormatting sqref="F72">
    <cfRule type="cellIs" dxfId="4" priority="4" stopIfTrue="1" operator="notEqual">
      <formula>"——"</formula>
    </cfRule>
  </conditionalFormatting>
  <conditionalFormatting sqref="F83">
    <cfRule type="cellIs" dxfId="3" priority="3" stopIfTrue="1" operator="notEqual">
      <formula>"——"</formula>
    </cfRule>
  </conditionalFormatting>
  <conditionalFormatting sqref="H50:H58 H61:H69 H72:H80 H83:H91">
    <cfRule type="cellIs" dxfId="2" priority="2" operator="notEqual">
      <formula>"——"</formula>
    </cfRule>
  </conditionalFormatting>
  <conditionalFormatting sqref="H93:H101">
    <cfRule type="cellIs" dxfId="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4" customWidth="1"/>
    <col min="14" max="14" width="10" style="3074" customWidth="1"/>
    <col min="15" max="16" width="8.21875" style="3074"/>
    <col min="17" max="17" width="34.109375" style="3074" customWidth="1"/>
    <col min="18" max="18" width="8.21875" style="3074" customWidth="1"/>
    <col min="19" max="19" width="8.21875" style="3074"/>
    <col min="20" max="20" width="11.6640625" style="3074" customWidth="1"/>
    <col min="21" max="16384" width="8.21875" style="3074"/>
  </cols>
  <sheetData>
    <row r="1" spans="1:13" ht="19.5" customHeight="1" thickBot="1">
      <c r="A1" s="3071" t="s">
        <v>2595</v>
      </c>
      <c r="B1" s="3072" t="s">
        <v>2596</v>
      </c>
      <c r="C1" s="3072" t="s">
        <v>2597</v>
      </c>
      <c r="D1" s="3072" t="s">
        <v>2598</v>
      </c>
      <c r="E1" s="3072" t="s">
        <v>2599</v>
      </c>
      <c r="F1" s="3072" t="s">
        <v>2600</v>
      </c>
      <c r="G1" s="3072" t="s">
        <v>2601</v>
      </c>
      <c r="H1" s="3072" t="s">
        <v>2602</v>
      </c>
      <c r="I1" s="3072" t="s">
        <v>2603</v>
      </c>
      <c r="J1" s="3072" t="s">
        <v>2604</v>
      </c>
      <c r="K1" s="3072" t="s">
        <v>2605</v>
      </c>
      <c r="L1" s="3072" t="s">
        <v>2606</v>
      </c>
      <c r="M1" s="3073" t="s">
        <v>2607</v>
      </c>
    </row>
    <row r="2" spans="1:13" ht="19.5" customHeight="1">
      <c r="A2" s="3075" t="s">
        <v>2608</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2609</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2610</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2611</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2612</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2613</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2614</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2615</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2616</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2617</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2618</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2619</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2620</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2621</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2622</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2623</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2624</v>
      </c>
      <c r="B18" s="3097"/>
      <c r="C18" s="3098"/>
      <c r="D18" s="3098"/>
      <c r="E18" s="3097"/>
      <c r="F18" s="3098"/>
      <c r="G18" s="3098"/>
    </row>
    <row r="19" spans="1:13" ht="19.5" customHeight="1" thickBot="1">
      <c r="A19" s="3095" t="s">
        <v>2625</v>
      </c>
      <c r="B19" s="3100" t="s">
        <v>2626</v>
      </c>
      <c r="C19" s="3100" t="s">
        <v>2627</v>
      </c>
      <c r="D19" s="3101"/>
      <c r="E19" s="3095" t="s">
        <v>2628</v>
      </c>
      <c r="F19" s="3102"/>
      <c r="G19" s="3102"/>
    </row>
    <row r="20" spans="1:13" ht="19.5" customHeight="1">
      <c r="A20" s="3801" t="s">
        <v>2608</v>
      </c>
      <c r="B20" s="3796" t="s">
        <v>2629</v>
      </c>
      <c r="C20" s="3103" t="s">
        <v>2440</v>
      </c>
      <c r="D20" s="3104"/>
      <c r="E20" s="3105">
        <v>1</v>
      </c>
      <c r="F20" s="3106" t="s">
        <v>2441</v>
      </c>
      <c r="G20" s="3106"/>
    </row>
    <row r="21" spans="1:13" ht="19.5" customHeight="1">
      <c r="A21" s="3802"/>
      <c r="B21" s="3795"/>
      <c r="C21" s="3107" t="s">
        <v>2442</v>
      </c>
      <c r="D21" s="3108"/>
      <c r="E21" s="3109">
        <v>1</v>
      </c>
      <c r="F21" s="3106" t="s">
        <v>2443</v>
      </c>
      <c r="G21" s="3106"/>
    </row>
    <row r="22" spans="1:13" ht="19.5" customHeight="1">
      <c r="A22" s="3802"/>
      <c r="B22" s="3795"/>
      <c r="C22" s="3107" t="s">
        <v>2444</v>
      </c>
      <c r="D22" s="3108"/>
      <c r="E22" s="3109">
        <v>0.9</v>
      </c>
      <c r="F22" s="3106" t="s">
        <v>2445</v>
      </c>
      <c r="G22" s="3106"/>
    </row>
    <row r="23" spans="1:13" ht="19.5" customHeight="1">
      <c r="A23" s="3802"/>
      <c r="B23" s="3795"/>
      <c r="C23" s="3107" t="s">
        <v>2446</v>
      </c>
      <c r="D23" s="3108"/>
      <c r="E23" s="3109">
        <v>0.9</v>
      </c>
      <c r="F23" s="3106" t="s">
        <v>2447</v>
      </c>
      <c r="G23" s="3106"/>
    </row>
    <row r="24" spans="1:13" ht="19.5" customHeight="1">
      <c r="A24" s="3802"/>
      <c r="B24" s="3795"/>
      <c r="C24" s="3107" t="s">
        <v>2448</v>
      </c>
      <c r="D24" s="3108"/>
      <c r="E24" s="3109">
        <v>0.8</v>
      </c>
      <c r="F24" s="3106" t="s">
        <v>2449</v>
      </c>
      <c r="G24" s="3106"/>
    </row>
    <row r="25" spans="1:13" ht="19.5" customHeight="1" thickBot="1">
      <c r="A25" s="3803"/>
      <c r="B25" s="3797"/>
      <c r="C25" s="3110" t="s">
        <v>2450</v>
      </c>
      <c r="D25" s="3111"/>
      <c r="E25" s="3112">
        <v>0.8</v>
      </c>
      <c r="F25" s="3106" t="s">
        <v>2451</v>
      </c>
      <c r="G25" s="3106"/>
    </row>
    <row r="26" spans="1:13" ht="19.5" customHeight="1" thickBot="1">
      <c r="A26" s="3113" t="s">
        <v>2630</v>
      </c>
      <c r="B26" s="3114" t="s">
        <v>2629</v>
      </c>
      <c r="C26" s="3115" t="s">
        <v>2631</v>
      </c>
      <c r="D26" s="3116"/>
      <c r="E26" s="3117">
        <v>1</v>
      </c>
      <c r="F26" s="3106" t="s">
        <v>2452</v>
      </c>
      <c r="G26" s="3106"/>
    </row>
    <row r="27" spans="1:13" ht="19.5" customHeight="1">
      <c r="A27" s="3798" t="s">
        <v>2632</v>
      </c>
      <c r="B27" s="3796" t="s">
        <v>2613</v>
      </c>
      <c r="C27" s="3103" t="s">
        <v>2453</v>
      </c>
      <c r="D27" s="3104"/>
      <c r="E27" s="3105">
        <v>1</v>
      </c>
      <c r="F27" s="3106" t="s">
        <v>2454</v>
      </c>
      <c r="G27" s="3106"/>
    </row>
    <row r="28" spans="1:13" ht="19.5" customHeight="1">
      <c r="A28" s="3799"/>
      <c r="B28" s="3795"/>
      <c r="C28" s="3107" t="s">
        <v>2455</v>
      </c>
      <c r="D28" s="3108"/>
      <c r="E28" s="3109">
        <v>1</v>
      </c>
      <c r="F28" s="3106" t="s">
        <v>2456</v>
      </c>
      <c r="G28" s="3106"/>
    </row>
    <row r="29" spans="1:13" ht="19.5" customHeight="1">
      <c r="A29" s="3799"/>
      <c r="B29" s="3795"/>
      <c r="C29" s="3107" t="s">
        <v>2457</v>
      </c>
      <c r="D29" s="3108"/>
      <c r="E29" s="3109">
        <v>0.8</v>
      </c>
      <c r="F29" s="3106" t="s">
        <v>2458</v>
      </c>
      <c r="G29" s="3106"/>
    </row>
    <row r="30" spans="1:13" ht="19.5" customHeight="1">
      <c r="A30" s="3799"/>
      <c r="B30" s="3795"/>
      <c r="C30" s="3107" t="s">
        <v>2459</v>
      </c>
      <c r="D30" s="3108"/>
      <c r="E30" s="3109">
        <v>0.8</v>
      </c>
      <c r="F30" s="3106" t="s">
        <v>2460</v>
      </c>
      <c r="G30" s="3106"/>
    </row>
    <row r="31" spans="1:13" ht="19.5" customHeight="1">
      <c r="A31" s="3799"/>
      <c r="B31" s="3795"/>
      <c r="C31" s="3107" t="s">
        <v>2461</v>
      </c>
      <c r="D31" s="3108"/>
      <c r="E31" s="3109">
        <v>0.8</v>
      </c>
      <c r="F31" s="3106" t="s">
        <v>2462</v>
      </c>
      <c r="G31" s="3106"/>
    </row>
    <row r="32" spans="1:13" ht="19.5" customHeight="1">
      <c r="A32" s="3799"/>
      <c r="B32" s="3795"/>
      <c r="C32" s="3107" t="s">
        <v>2463</v>
      </c>
      <c r="D32" s="3108"/>
      <c r="E32" s="3109">
        <v>0.7</v>
      </c>
      <c r="F32" s="3106" t="s">
        <v>2464</v>
      </c>
      <c r="G32" s="3106"/>
    </row>
    <row r="33" spans="1:7" ht="19.5" customHeight="1">
      <c r="A33" s="3799"/>
      <c r="B33" s="3795"/>
      <c r="C33" s="3107" t="s">
        <v>2465</v>
      </c>
      <c r="D33" s="3108"/>
      <c r="E33" s="3109">
        <v>0.8</v>
      </c>
      <c r="F33" s="3106" t="s">
        <v>2466</v>
      </c>
      <c r="G33" s="3106"/>
    </row>
    <row r="34" spans="1:7" ht="19.5" customHeight="1">
      <c r="A34" s="3799"/>
      <c r="B34" s="3795"/>
      <c r="C34" s="3107" t="s">
        <v>2467</v>
      </c>
      <c r="D34" s="3108"/>
      <c r="E34" s="3109">
        <v>0.6</v>
      </c>
      <c r="F34" s="3106" t="s">
        <v>2468</v>
      </c>
      <c r="G34" s="3106"/>
    </row>
    <row r="35" spans="1:7" ht="19.5" customHeight="1">
      <c r="A35" s="3799"/>
      <c r="B35" s="3795"/>
      <c r="C35" s="3107" t="s">
        <v>2469</v>
      </c>
      <c r="D35" s="3108"/>
      <c r="E35" s="3109">
        <v>0.2</v>
      </c>
      <c r="F35" s="3106" t="s">
        <v>2470</v>
      </c>
      <c r="G35" s="3106"/>
    </row>
    <row r="36" spans="1:7" ht="19.5" customHeight="1">
      <c r="A36" s="3799"/>
      <c r="B36" s="3795"/>
      <c r="C36" s="3107" t="s">
        <v>2471</v>
      </c>
      <c r="D36" s="3108"/>
      <c r="E36" s="3109">
        <v>0.2</v>
      </c>
      <c r="F36" s="3106" t="s">
        <v>2472</v>
      </c>
      <c r="G36" s="3106"/>
    </row>
    <row r="37" spans="1:7" ht="19.5" customHeight="1">
      <c r="A37" s="3799"/>
      <c r="B37" s="3793" t="s">
        <v>2633</v>
      </c>
      <c r="C37" s="3107" t="s">
        <v>2473</v>
      </c>
      <c r="D37" s="3108"/>
      <c r="E37" s="3109">
        <v>0.6</v>
      </c>
      <c r="F37" s="3106" t="s">
        <v>2474</v>
      </c>
      <c r="G37" s="3106"/>
    </row>
    <row r="38" spans="1:7" ht="19.5" customHeight="1">
      <c r="A38" s="3799"/>
      <c r="B38" s="3795"/>
      <c r="C38" s="3107" t="s">
        <v>2475</v>
      </c>
      <c r="D38" s="3108"/>
      <c r="E38" s="3109">
        <v>0.6</v>
      </c>
      <c r="F38" s="3106" t="s">
        <v>2476</v>
      </c>
      <c r="G38" s="3106"/>
    </row>
    <row r="39" spans="1:7" ht="19.5" customHeight="1" thickBot="1">
      <c r="A39" s="3800"/>
      <c r="B39" s="3797"/>
      <c r="C39" s="3110" t="s">
        <v>2477</v>
      </c>
      <c r="D39" s="3111"/>
      <c r="E39" s="3112">
        <v>0.6</v>
      </c>
      <c r="F39" s="3106" t="s">
        <v>2478</v>
      </c>
      <c r="G39" s="3106"/>
    </row>
    <row r="40" spans="1:7" ht="19.5" customHeight="1" thickBot="1">
      <c r="A40" s="3113" t="s">
        <v>2610</v>
      </c>
      <c r="B40" s="3114" t="s">
        <v>2610</v>
      </c>
      <c r="C40" s="3115" t="s">
        <v>2634</v>
      </c>
      <c r="D40" s="3116"/>
      <c r="E40" s="3117">
        <v>1</v>
      </c>
      <c r="F40" s="3106" t="s">
        <v>2479</v>
      </c>
      <c r="G40" s="3106"/>
    </row>
    <row r="41" spans="1:7" ht="19.5" customHeight="1">
      <c r="A41" s="3801" t="s">
        <v>2611</v>
      </c>
      <c r="B41" s="3796" t="s">
        <v>2635</v>
      </c>
      <c r="C41" s="3103" t="s">
        <v>2480</v>
      </c>
      <c r="D41" s="3104"/>
      <c r="E41" s="3105">
        <v>1</v>
      </c>
      <c r="F41" s="3106" t="s">
        <v>2481</v>
      </c>
      <c r="G41" s="3106"/>
    </row>
    <row r="42" spans="1:7" ht="19.5" customHeight="1">
      <c r="A42" s="3802"/>
      <c r="B42" s="3795"/>
      <c r="C42" s="3107" t="s">
        <v>2482</v>
      </c>
      <c r="D42" s="3108"/>
      <c r="E42" s="3109">
        <v>1</v>
      </c>
      <c r="F42" s="3106" t="s">
        <v>2483</v>
      </c>
      <c r="G42" s="3106"/>
    </row>
    <row r="43" spans="1:7" ht="19.5" customHeight="1">
      <c r="A43" s="3802"/>
      <c r="B43" s="3794"/>
      <c r="C43" s="3107" t="s">
        <v>2484</v>
      </c>
      <c r="D43" s="3108"/>
      <c r="E43" s="3109">
        <v>1.5</v>
      </c>
      <c r="F43" s="3106" t="s">
        <v>2485</v>
      </c>
      <c r="G43" s="3106"/>
    </row>
    <row r="44" spans="1:7" ht="19.5" customHeight="1">
      <c r="A44" s="3802"/>
      <c r="B44" s="3118" t="s">
        <v>2636</v>
      </c>
      <c r="C44" s="3107" t="s">
        <v>2637</v>
      </c>
      <c r="D44" s="3108"/>
      <c r="E44" s="3109">
        <v>2</v>
      </c>
      <c r="F44" s="3106" t="s">
        <v>2486</v>
      </c>
      <c r="G44" s="3106"/>
    </row>
    <row r="45" spans="1:7" ht="19.5" customHeight="1">
      <c r="A45" s="3802"/>
      <c r="B45" s="3793" t="s">
        <v>2638</v>
      </c>
      <c r="C45" s="3107" t="s">
        <v>2487</v>
      </c>
      <c r="D45" s="3108"/>
      <c r="E45" s="3109">
        <v>1</v>
      </c>
      <c r="F45" s="3106" t="s">
        <v>2488</v>
      </c>
      <c r="G45" s="3106"/>
    </row>
    <row r="46" spans="1:7" ht="19.5" customHeight="1">
      <c r="A46" s="3802"/>
      <c r="B46" s="3795"/>
      <c r="C46" s="3107" t="s">
        <v>2489</v>
      </c>
      <c r="D46" s="3108"/>
      <c r="E46" s="3109">
        <v>1</v>
      </c>
      <c r="F46" s="3106" t="s">
        <v>2490</v>
      </c>
      <c r="G46" s="3106"/>
    </row>
    <row r="47" spans="1:7" ht="19.5" customHeight="1">
      <c r="A47" s="3802"/>
      <c r="B47" s="3795"/>
      <c r="C47" s="3107" t="s">
        <v>2491</v>
      </c>
      <c r="D47" s="3108"/>
      <c r="E47" s="3109">
        <v>1</v>
      </c>
      <c r="F47" s="3106" t="s">
        <v>2492</v>
      </c>
      <c r="G47" s="3106"/>
    </row>
    <row r="48" spans="1:7" ht="19.5" customHeight="1">
      <c r="A48" s="3802"/>
      <c r="B48" s="3795"/>
      <c r="C48" s="3107" t="s">
        <v>2493</v>
      </c>
      <c r="D48" s="3108"/>
      <c r="E48" s="3109">
        <v>1</v>
      </c>
      <c r="F48" s="3106" t="s">
        <v>2494</v>
      </c>
      <c r="G48" s="3106"/>
    </row>
    <row r="49" spans="1:7" ht="19.5" customHeight="1">
      <c r="A49" s="3802"/>
      <c r="B49" s="3795"/>
      <c r="C49" s="3107" t="s">
        <v>2495</v>
      </c>
      <c r="D49" s="3108"/>
      <c r="E49" s="3109">
        <v>1</v>
      </c>
      <c r="F49" s="3106" t="s">
        <v>2496</v>
      </c>
      <c r="G49" s="3106"/>
    </row>
    <row r="50" spans="1:7" ht="19.5" customHeight="1">
      <c r="A50" s="3802"/>
      <c r="B50" s="3795"/>
      <c r="C50" s="3107" t="s">
        <v>2497</v>
      </c>
      <c r="D50" s="3108"/>
      <c r="E50" s="3109">
        <v>1</v>
      </c>
      <c r="F50" s="3106" t="s">
        <v>2498</v>
      </c>
      <c r="G50" s="3106"/>
    </row>
    <row r="51" spans="1:7" ht="19.5" customHeight="1" thickBot="1">
      <c r="A51" s="3803"/>
      <c r="B51" s="3797"/>
      <c r="C51" s="3110" t="s">
        <v>2499</v>
      </c>
      <c r="D51" s="3111"/>
      <c r="E51" s="3112">
        <v>1</v>
      </c>
      <c r="F51" s="3106" t="s">
        <v>2500</v>
      </c>
      <c r="G51" s="3106"/>
    </row>
    <row r="52" spans="1:7" ht="19.5" customHeight="1">
      <c r="A52" s="3119"/>
      <c r="B52" s="3119"/>
      <c r="C52" s="3119"/>
      <c r="D52" s="3119"/>
      <c r="E52" s="3119"/>
      <c r="F52" s="3119"/>
      <c r="G52" s="3119"/>
    </row>
    <row r="54" spans="1:7" ht="19.5" customHeight="1">
      <c r="A54" s="3120"/>
      <c r="B54" s="3092" t="s">
        <v>2639</v>
      </c>
      <c r="C54" s="3092" t="s">
        <v>2639</v>
      </c>
      <c r="D54" s="3092" t="s">
        <v>2639</v>
      </c>
      <c r="E54" s="3095" t="s">
        <v>2639</v>
      </c>
      <c r="F54" s="3095" t="s">
        <v>2640</v>
      </c>
      <c r="G54" s="3095" t="s">
        <v>2641</v>
      </c>
    </row>
    <row r="55" spans="1:7" ht="19.5" customHeight="1">
      <c r="A55" s="3121"/>
      <c r="B55" s="3095" t="s">
        <v>2608</v>
      </c>
      <c r="C55" s="3095" t="s">
        <v>2608</v>
      </c>
      <c r="D55" s="3095" t="s">
        <v>2608</v>
      </c>
      <c r="E55" s="3092" t="s">
        <v>2609</v>
      </c>
      <c r="F55" s="3092" t="s">
        <v>2611</v>
      </c>
      <c r="G55" s="3092" t="s">
        <v>2642</v>
      </c>
    </row>
    <row r="56" spans="1:7" ht="19.5" customHeight="1">
      <c r="A56" s="3122"/>
      <c r="B56" s="3092">
        <v>1</v>
      </c>
      <c r="C56" s="3092">
        <v>2</v>
      </c>
      <c r="D56" s="3092">
        <v>3</v>
      </c>
      <c r="E56" s="3123" t="s">
        <v>2643</v>
      </c>
      <c r="F56" s="3123" t="s">
        <v>2643</v>
      </c>
      <c r="G56" s="3123" t="s">
        <v>2643</v>
      </c>
    </row>
    <row r="57" spans="1:7" ht="19.5" customHeight="1">
      <c r="A57" s="3124" t="s">
        <v>2596</v>
      </c>
      <c r="B57" s="3092">
        <v>0.7</v>
      </c>
      <c r="C57" s="3092">
        <v>0.4</v>
      </c>
      <c r="D57" s="3092">
        <v>0.3</v>
      </c>
      <c r="E57" s="3123">
        <v>0.3</v>
      </c>
      <c r="F57" s="3092">
        <v>0.3</v>
      </c>
      <c r="G57" s="3092">
        <v>0.2</v>
      </c>
    </row>
    <row r="58" spans="1:7" ht="19.5" customHeight="1">
      <c r="A58" s="3124" t="s">
        <v>2597</v>
      </c>
      <c r="B58" s="3092">
        <v>0.7</v>
      </c>
      <c r="C58" s="3092">
        <v>0.4</v>
      </c>
      <c r="D58" s="3092">
        <v>0.3</v>
      </c>
      <c r="E58" s="3092">
        <v>0.3</v>
      </c>
      <c r="F58" s="3092">
        <v>0.3</v>
      </c>
      <c r="G58" s="3092">
        <v>0.2</v>
      </c>
    </row>
    <row r="59" spans="1:7" ht="19.5" customHeight="1">
      <c r="A59" s="3124" t="s">
        <v>2598</v>
      </c>
      <c r="B59" s="3092">
        <v>0.6</v>
      </c>
      <c r="C59" s="3092">
        <v>0.3</v>
      </c>
      <c r="D59" s="3092">
        <v>0.25</v>
      </c>
      <c r="E59" s="3092">
        <v>0.25</v>
      </c>
      <c r="F59" s="3092">
        <v>0.25</v>
      </c>
      <c r="G59" s="3092">
        <v>0.15</v>
      </c>
    </row>
    <row r="60" spans="1:7" ht="19.5" customHeight="1">
      <c r="A60" s="3124" t="s">
        <v>2599</v>
      </c>
      <c r="B60" s="3092">
        <v>0.6</v>
      </c>
      <c r="C60" s="3092">
        <v>0.3</v>
      </c>
      <c r="D60" s="3092">
        <v>0.25</v>
      </c>
      <c r="E60" s="3092">
        <v>0.25</v>
      </c>
      <c r="F60" s="3092">
        <v>0.25</v>
      </c>
      <c r="G60" s="3092">
        <v>0.15</v>
      </c>
    </row>
    <row r="61" spans="1:7" ht="19.5" customHeight="1">
      <c r="A61" s="3124" t="s">
        <v>2600</v>
      </c>
      <c r="B61" s="3092">
        <v>0.6</v>
      </c>
      <c r="C61" s="3092">
        <v>0.3</v>
      </c>
      <c r="D61" s="3092">
        <v>0.25</v>
      </c>
      <c r="E61" s="3092">
        <v>0.25</v>
      </c>
      <c r="F61" s="3092">
        <v>0.25</v>
      </c>
      <c r="G61" s="3092">
        <v>0.15</v>
      </c>
    </row>
    <row r="62" spans="1:7" ht="19.5" customHeight="1">
      <c r="A62" s="3124" t="s">
        <v>2601</v>
      </c>
      <c r="B62" s="3092">
        <v>0.6</v>
      </c>
      <c r="C62" s="3092">
        <v>0.3</v>
      </c>
      <c r="D62" s="3092">
        <v>0.25</v>
      </c>
      <c r="E62" s="3092">
        <v>0.25</v>
      </c>
      <c r="F62" s="3092">
        <v>0.25</v>
      </c>
      <c r="G62" s="3092">
        <v>0.15</v>
      </c>
    </row>
    <row r="63" spans="1:7" ht="19.5" customHeight="1">
      <c r="A63" s="3124" t="s">
        <v>2602</v>
      </c>
      <c r="B63" s="3092">
        <v>0.6</v>
      </c>
      <c r="C63" s="3092">
        <v>0.3</v>
      </c>
      <c r="D63" s="3092">
        <v>0.25</v>
      </c>
      <c r="E63" s="3092">
        <v>0.25</v>
      </c>
      <c r="F63" s="3092">
        <v>0.25</v>
      </c>
      <c r="G63" s="3092">
        <v>0.15</v>
      </c>
    </row>
    <row r="64" spans="1:7" ht="19.5" customHeight="1">
      <c r="A64" s="3124" t="s">
        <v>2603</v>
      </c>
      <c r="B64" s="3092">
        <v>0.5</v>
      </c>
      <c r="C64" s="3092">
        <v>0.2</v>
      </c>
      <c r="D64" s="3092">
        <v>0.2</v>
      </c>
      <c r="E64" s="3092">
        <v>0.2</v>
      </c>
      <c r="F64" s="3092">
        <v>0.2</v>
      </c>
      <c r="G64" s="3092">
        <v>0.1</v>
      </c>
    </row>
    <row r="65" spans="1:7" ht="19.5" customHeight="1">
      <c r="A65" s="3124" t="s">
        <v>2604</v>
      </c>
      <c r="B65" s="3092">
        <v>0.5</v>
      </c>
      <c r="C65" s="3092">
        <v>0.2</v>
      </c>
      <c r="D65" s="3092">
        <v>0.2</v>
      </c>
      <c r="E65" s="3092">
        <v>0.2</v>
      </c>
      <c r="F65" s="3092">
        <v>0.2</v>
      </c>
      <c r="G65" s="3092">
        <v>0.1</v>
      </c>
    </row>
    <row r="66" spans="1:7" ht="19.5" customHeight="1">
      <c r="A66" s="3124" t="s">
        <v>2605</v>
      </c>
      <c r="B66" s="3092">
        <v>0.5</v>
      </c>
      <c r="C66" s="3092">
        <v>0.2</v>
      </c>
      <c r="D66" s="3092">
        <v>0.2</v>
      </c>
      <c r="E66" s="3092">
        <v>0.2</v>
      </c>
      <c r="F66" s="3092">
        <v>0.2</v>
      </c>
      <c r="G66" s="3092">
        <v>0.1</v>
      </c>
    </row>
    <row r="67" spans="1:7" ht="19.5" customHeight="1">
      <c r="A67" s="3124" t="s">
        <v>2606</v>
      </c>
      <c r="B67" s="3092">
        <v>0.5</v>
      </c>
      <c r="C67" s="3092">
        <v>0.2</v>
      </c>
      <c r="D67" s="3092">
        <v>0.2</v>
      </c>
      <c r="E67" s="3092">
        <v>0.2</v>
      </c>
      <c r="F67" s="3092">
        <v>0.2</v>
      </c>
      <c r="G67" s="3092">
        <v>0.1</v>
      </c>
    </row>
    <row r="68" spans="1:7" ht="19.5" customHeight="1">
      <c r="A68" s="3124" t="s">
        <v>2607</v>
      </c>
      <c r="B68" s="3092">
        <v>0.5</v>
      </c>
      <c r="C68" s="3092">
        <v>0.2</v>
      </c>
      <c r="D68" s="3092">
        <v>0.2</v>
      </c>
      <c r="E68" s="3092">
        <v>0.2</v>
      </c>
      <c r="F68" s="3092">
        <v>0.2</v>
      </c>
      <c r="G68" s="3092">
        <v>0.1</v>
      </c>
    </row>
    <row r="70" spans="1:7" ht="19.5" customHeight="1">
      <c r="A70" s="3125"/>
      <c r="B70" s="3126"/>
      <c r="C70" s="3126"/>
      <c r="D70" s="3126" t="s">
        <v>2644</v>
      </c>
      <c r="E70" s="3126"/>
      <c r="F70" s="3126"/>
    </row>
    <row r="71" spans="1:7" ht="19.5" customHeight="1">
      <c r="A71" s="3118" t="s">
        <v>2645</v>
      </c>
      <c r="B71" s="3118" t="s">
        <v>2646</v>
      </c>
      <c r="C71" s="3118" t="s">
        <v>2647</v>
      </c>
      <c r="D71" s="3118" t="s">
        <v>2648</v>
      </c>
      <c r="E71" s="3118" t="s">
        <v>2649</v>
      </c>
      <c r="F71" s="3118" t="s">
        <v>2650</v>
      </c>
    </row>
    <row r="72" spans="1:7" ht="14.4">
      <c r="A72" s="3118"/>
      <c r="B72" s="3118"/>
      <c r="C72" s="3118" t="s">
        <v>2651</v>
      </c>
      <c r="D72" s="3118"/>
      <c r="E72" s="3118" t="s">
        <v>2622</v>
      </c>
      <c r="F72" s="3118" t="s">
        <v>2622</v>
      </c>
    </row>
    <row r="73" spans="1:7" ht="14.4">
      <c r="A73" s="3118">
        <v>1</v>
      </c>
      <c r="B73" s="3793" t="s">
        <v>2652</v>
      </c>
      <c r="C73" s="3092" t="s">
        <v>2653</v>
      </c>
      <c r="D73" s="3092" t="s">
        <v>2654</v>
      </c>
      <c r="E73" s="3118">
        <v>0.2</v>
      </c>
      <c r="F73" s="3118">
        <v>25</v>
      </c>
    </row>
    <row r="74" spans="1:7" ht="24">
      <c r="A74" s="3118">
        <v>2</v>
      </c>
      <c r="B74" s="3795"/>
      <c r="C74" s="3092" t="s">
        <v>2655</v>
      </c>
      <c r="D74" s="3092" t="s">
        <v>2656</v>
      </c>
      <c r="E74" s="3118">
        <v>0.2</v>
      </c>
      <c r="F74" s="3118">
        <v>25</v>
      </c>
    </row>
    <row r="75" spans="1:7" ht="24">
      <c r="A75" s="3118">
        <v>3</v>
      </c>
      <c r="B75" s="3795"/>
      <c r="C75" s="3092" t="s">
        <v>2657</v>
      </c>
      <c r="D75" s="3092" t="s">
        <v>2658</v>
      </c>
      <c r="E75" s="3118">
        <v>0.2</v>
      </c>
      <c r="F75" s="3118">
        <v>25</v>
      </c>
    </row>
    <row r="76" spans="1:7" ht="14.4">
      <c r="A76" s="3118">
        <v>4</v>
      </c>
      <c r="B76" s="3795"/>
      <c r="C76" s="3092" t="s">
        <v>2659</v>
      </c>
      <c r="D76" s="3092" t="s">
        <v>2660</v>
      </c>
      <c r="E76" s="3118">
        <v>0.15</v>
      </c>
      <c r="F76" s="3118">
        <v>20</v>
      </c>
    </row>
    <row r="77" spans="1:7" ht="24">
      <c r="A77" s="3118">
        <v>5</v>
      </c>
      <c r="B77" s="3795"/>
      <c r="C77" s="3092" t="s">
        <v>2661</v>
      </c>
      <c r="D77" s="3092" t="s">
        <v>2662</v>
      </c>
      <c r="E77" s="3118">
        <v>0.15</v>
      </c>
      <c r="F77" s="3118">
        <v>20</v>
      </c>
    </row>
    <row r="78" spans="1:7" ht="24">
      <c r="A78" s="3118">
        <v>6</v>
      </c>
      <c r="B78" s="3795"/>
      <c r="C78" s="3092" t="s">
        <v>2663</v>
      </c>
      <c r="D78" s="3092" t="s">
        <v>2664</v>
      </c>
      <c r="E78" s="3118">
        <v>0.15</v>
      </c>
      <c r="F78" s="3118">
        <v>20</v>
      </c>
    </row>
    <row r="79" spans="1:7" ht="24">
      <c r="A79" s="3118">
        <v>7</v>
      </c>
      <c r="B79" s="3795"/>
      <c r="C79" s="3092" t="s">
        <v>2665</v>
      </c>
      <c r="D79" s="3092" t="s">
        <v>2666</v>
      </c>
      <c r="E79" s="3118">
        <v>0.15</v>
      </c>
      <c r="F79" s="3118">
        <v>20</v>
      </c>
    </row>
    <row r="80" spans="1:7" ht="24">
      <c r="A80" s="3118">
        <v>8</v>
      </c>
      <c r="B80" s="3795"/>
      <c r="C80" s="3092" t="s">
        <v>2667</v>
      </c>
      <c r="D80" s="3092" t="s">
        <v>2668</v>
      </c>
      <c r="E80" s="3118">
        <v>0.1</v>
      </c>
      <c r="F80" s="3118">
        <v>15</v>
      </c>
    </row>
    <row r="81" spans="1:6" ht="24">
      <c r="A81" s="3118">
        <v>9</v>
      </c>
      <c r="B81" s="3795"/>
      <c r="C81" s="3092" t="s">
        <v>2669</v>
      </c>
      <c r="D81" s="3092" t="s">
        <v>2670</v>
      </c>
      <c r="E81" s="3118">
        <v>0.1</v>
      </c>
      <c r="F81" s="3118">
        <v>15</v>
      </c>
    </row>
    <row r="82" spans="1:6" ht="24">
      <c r="A82" s="3118">
        <v>10</v>
      </c>
      <c r="B82" s="3795"/>
      <c r="C82" s="3092" t="s">
        <v>2671</v>
      </c>
      <c r="D82" s="3092" t="s">
        <v>2672</v>
      </c>
      <c r="E82" s="3118">
        <v>0.1</v>
      </c>
      <c r="F82" s="3118">
        <v>15</v>
      </c>
    </row>
    <row r="83" spans="1:6" ht="24">
      <c r="A83" s="3118">
        <v>11</v>
      </c>
      <c r="B83" s="3795"/>
      <c r="C83" s="3092" t="s">
        <v>2673</v>
      </c>
      <c r="D83" s="3092" t="s">
        <v>2674</v>
      </c>
      <c r="E83" s="3118">
        <v>0.1</v>
      </c>
      <c r="F83" s="3118">
        <v>15</v>
      </c>
    </row>
    <row r="84" spans="1:6" ht="24">
      <c r="A84" s="3118">
        <v>12</v>
      </c>
      <c r="B84" s="3795"/>
      <c r="C84" s="3092" t="s">
        <v>2675</v>
      </c>
      <c r="D84" s="3092" t="s">
        <v>2676</v>
      </c>
      <c r="E84" s="3118">
        <v>0.1</v>
      </c>
      <c r="F84" s="3118">
        <v>15</v>
      </c>
    </row>
    <row r="85" spans="1:6" ht="24">
      <c r="A85" s="3118">
        <v>13</v>
      </c>
      <c r="B85" s="3795"/>
      <c r="C85" s="3092" t="s">
        <v>2677</v>
      </c>
      <c r="D85" s="3092" t="s">
        <v>2678</v>
      </c>
      <c r="E85" s="3118">
        <v>0.1</v>
      </c>
      <c r="F85" s="3118">
        <v>15</v>
      </c>
    </row>
    <row r="86" spans="1:6" ht="24">
      <c r="A86" s="3118">
        <v>14</v>
      </c>
      <c r="B86" s="3795"/>
      <c r="C86" s="3092" t="s">
        <v>2679</v>
      </c>
      <c r="D86" s="3092" t="s">
        <v>2680</v>
      </c>
      <c r="E86" s="3118">
        <v>0.1</v>
      </c>
      <c r="F86" s="3118">
        <v>15</v>
      </c>
    </row>
    <row r="87" spans="1:6" ht="24">
      <c r="A87" s="3118">
        <v>15</v>
      </c>
      <c r="B87" s="3795"/>
      <c r="C87" s="3092" t="s">
        <v>2681</v>
      </c>
      <c r="D87" s="3092" t="s">
        <v>2682</v>
      </c>
      <c r="E87" s="3118">
        <v>0.1</v>
      </c>
      <c r="F87" s="3118">
        <v>15</v>
      </c>
    </row>
    <row r="88" spans="1:6" ht="24">
      <c r="A88" s="3118">
        <v>16</v>
      </c>
      <c r="B88" s="3795"/>
      <c r="C88" s="3092" t="s">
        <v>2683</v>
      </c>
      <c r="D88" s="3092" t="s">
        <v>2684</v>
      </c>
      <c r="E88" s="3118">
        <v>0.1</v>
      </c>
      <c r="F88" s="3118">
        <v>15</v>
      </c>
    </row>
    <row r="89" spans="1:6" ht="24">
      <c r="A89" s="3118">
        <v>17</v>
      </c>
      <c r="B89" s="3794"/>
      <c r="C89" s="3092" t="s">
        <v>2685</v>
      </c>
      <c r="D89" s="3092" t="s">
        <v>2686</v>
      </c>
      <c r="E89" s="3118">
        <v>0.1</v>
      </c>
      <c r="F89" s="3118">
        <v>15</v>
      </c>
    </row>
    <row r="90" spans="1:6" ht="14.4">
      <c r="A90" s="3118">
        <v>18</v>
      </c>
      <c r="B90" s="3793" t="s">
        <v>2687</v>
      </c>
      <c r="C90" s="3092" t="s">
        <v>2688</v>
      </c>
      <c r="D90" s="3092" t="s">
        <v>2689</v>
      </c>
      <c r="E90" s="3118">
        <v>0.2</v>
      </c>
      <c r="F90" s="3118">
        <v>25</v>
      </c>
    </row>
    <row r="91" spans="1:6" ht="24">
      <c r="A91" s="3118">
        <v>19</v>
      </c>
      <c r="B91" s="3795"/>
      <c r="C91" s="3092" t="s">
        <v>2690</v>
      </c>
      <c r="D91" s="3092" t="s">
        <v>2691</v>
      </c>
      <c r="E91" s="3118">
        <v>0.2</v>
      </c>
      <c r="F91" s="3118">
        <v>25</v>
      </c>
    </row>
    <row r="92" spans="1:6" ht="14.4">
      <c r="A92" s="3118">
        <v>20</v>
      </c>
      <c r="B92" s="3795"/>
      <c r="C92" s="3092" t="s">
        <v>2692</v>
      </c>
      <c r="D92" s="3092" t="s">
        <v>2693</v>
      </c>
      <c r="E92" s="3118">
        <v>0.15</v>
      </c>
      <c r="F92" s="3118">
        <v>20</v>
      </c>
    </row>
    <row r="93" spans="1:6" ht="24">
      <c r="A93" s="3118">
        <v>21</v>
      </c>
      <c r="B93" s="3795"/>
      <c r="C93" s="3092" t="s">
        <v>2694</v>
      </c>
      <c r="D93" s="3092" t="s">
        <v>2695</v>
      </c>
      <c r="E93" s="3118">
        <v>0.15</v>
      </c>
      <c r="F93" s="3118">
        <v>20</v>
      </c>
    </row>
    <row r="94" spans="1:6" ht="24">
      <c r="A94" s="3118">
        <v>22</v>
      </c>
      <c r="B94" s="3795"/>
      <c r="C94" s="3092" t="s">
        <v>2696</v>
      </c>
      <c r="D94" s="3092" t="s">
        <v>2697</v>
      </c>
      <c r="E94" s="3118">
        <v>0.15</v>
      </c>
      <c r="F94" s="3118">
        <v>20</v>
      </c>
    </row>
    <row r="95" spans="1:6" ht="36">
      <c r="A95" s="3118">
        <v>23</v>
      </c>
      <c r="B95" s="3795"/>
      <c r="C95" s="3092" t="s">
        <v>2698</v>
      </c>
      <c r="D95" s="3092" t="s">
        <v>2699</v>
      </c>
      <c r="E95" s="3118">
        <v>0.15</v>
      </c>
      <c r="F95" s="3118">
        <v>20</v>
      </c>
    </row>
    <row r="96" spans="1:6" ht="24">
      <c r="A96" s="3118">
        <v>24</v>
      </c>
      <c r="B96" s="3795"/>
      <c r="C96" s="3092" t="s">
        <v>2700</v>
      </c>
      <c r="D96" s="3092" t="s">
        <v>2701</v>
      </c>
      <c r="E96" s="3118">
        <v>0.1</v>
      </c>
      <c r="F96" s="3118">
        <v>15</v>
      </c>
    </row>
    <row r="97" spans="1:6" ht="24">
      <c r="A97" s="3118">
        <v>25</v>
      </c>
      <c r="B97" s="3795"/>
      <c r="C97" s="3092" t="s">
        <v>2702</v>
      </c>
      <c r="D97" s="3092" t="s">
        <v>2703</v>
      </c>
      <c r="E97" s="3118">
        <v>0.1</v>
      </c>
      <c r="F97" s="3118">
        <v>15</v>
      </c>
    </row>
    <row r="98" spans="1:6" ht="24">
      <c r="A98" s="3118">
        <v>26</v>
      </c>
      <c r="B98" s="3795"/>
      <c r="C98" s="3092" t="s">
        <v>2704</v>
      </c>
      <c r="D98" s="3092" t="s">
        <v>2705</v>
      </c>
      <c r="E98" s="3118">
        <v>0.1</v>
      </c>
      <c r="F98" s="3118">
        <v>15</v>
      </c>
    </row>
    <row r="99" spans="1:6" ht="24">
      <c r="A99" s="3118">
        <v>27</v>
      </c>
      <c r="B99" s="3795"/>
      <c r="C99" s="3092" t="s">
        <v>2706</v>
      </c>
      <c r="D99" s="3092" t="s">
        <v>2707</v>
      </c>
      <c r="E99" s="3118">
        <v>0.1</v>
      </c>
      <c r="F99" s="3118">
        <v>15</v>
      </c>
    </row>
    <row r="100" spans="1:6" ht="24">
      <c r="A100" s="3118">
        <v>28</v>
      </c>
      <c r="B100" s="3795"/>
      <c r="C100" s="3092" t="s">
        <v>2708</v>
      </c>
      <c r="D100" s="3092" t="s">
        <v>2709</v>
      </c>
      <c r="E100" s="3118">
        <v>0.1</v>
      </c>
      <c r="F100" s="3118">
        <v>15</v>
      </c>
    </row>
    <row r="101" spans="1:6" ht="24">
      <c r="A101" s="3118">
        <v>29</v>
      </c>
      <c r="B101" s="3795"/>
      <c r="C101" s="3092" t="s">
        <v>2710</v>
      </c>
      <c r="D101" s="3092" t="s">
        <v>2711</v>
      </c>
      <c r="E101" s="3118">
        <v>0.1</v>
      </c>
      <c r="F101" s="3118">
        <v>15</v>
      </c>
    </row>
    <row r="102" spans="1:6" ht="24">
      <c r="A102" s="3118">
        <v>30</v>
      </c>
      <c r="B102" s="3795"/>
      <c r="C102" s="3092" t="s">
        <v>2712</v>
      </c>
      <c r="D102" s="3092" t="s">
        <v>2713</v>
      </c>
      <c r="E102" s="3118">
        <v>0.1</v>
      </c>
      <c r="F102" s="3118">
        <v>15</v>
      </c>
    </row>
    <row r="103" spans="1:6" ht="24">
      <c r="A103" s="3118">
        <v>31</v>
      </c>
      <c r="B103" s="3795"/>
      <c r="C103" s="3092" t="s">
        <v>2714</v>
      </c>
      <c r="D103" s="3092" t="s">
        <v>2715</v>
      </c>
      <c r="E103" s="3118">
        <v>0.1</v>
      </c>
      <c r="F103" s="3118">
        <v>15</v>
      </c>
    </row>
    <row r="104" spans="1:6" ht="24">
      <c r="A104" s="3118">
        <v>32</v>
      </c>
      <c r="B104" s="3795"/>
      <c r="C104" s="3092" t="s">
        <v>2716</v>
      </c>
      <c r="D104" s="3092" t="s">
        <v>2717</v>
      </c>
      <c r="E104" s="3118">
        <v>0.1</v>
      </c>
      <c r="F104" s="3118">
        <v>15</v>
      </c>
    </row>
    <row r="105" spans="1:6" ht="24">
      <c r="A105" s="3118">
        <v>33</v>
      </c>
      <c r="B105" s="3795"/>
      <c r="C105" s="3092" t="s">
        <v>2718</v>
      </c>
      <c r="D105" s="3092" t="s">
        <v>2719</v>
      </c>
      <c r="E105" s="3118">
        <v>0.1</v>
      </c>
      <c r="F105" s="3118">
        <v>15</v>
      </c>
    </row>
    <row r="106" spans="1:6" ht="24">
      <c r="A106" s="3118">
        <v>34</v>
      </c>
      <c r="B106" s="3794"/>
      <c r="C106" s="3092" t="s">
        <v>2720</v>
      </c>
      <c r="D106" s="3092" t="s">
        <v>2721</v>
      </c>
      <c r="E106" s="3118">
        <v>0.1</v>
      </c>
      <c r="F106" s="3118">
        <v>15</v>
      </c>
    </row>
    <row r="107" spans="1:6" ht="36">
      <c r="A107" s="3118">
        <v>35</v>
      </c>
      <c r="B107" s="3793" t="s">
        <v>2722</v>
      </c>
      <c r="C107" s="3118" t="s">
        <v>2723</v>
      </c>
      <c r="D107" s="3092" t="s">
        <v>2724</v>
      </c>
      <c r="E107" s="3118">
        <v>0.15</v>
      </c>
      <c r="F107" s="3118">
        <v>20</v>
      </c>
    </row>
    <row r="108" spans="1:6" ht="24">
      <c r="A108" s="3118">
        <v>36</v>
      </c>
      <c r="B108" s="3795"/>
      <c r="C108" s="3118" t="s">
        <v>2725</v>
      </c>
      <c r="D108" s="3092" t="s">
        <v>2726</v>
      </c>
      <c r="E108" s="3118">
        <v>0.15</v>
      </c>
      <c r="F108" s="3118">
        <v>20</v>
      </c>
    </row>
    <row r="109" spans="1:6" ht="24">
      <c r="A109" s="3118">
        <v>37</v>
      </c>
      <c r="B109" s="3795"/>
      <c r="C109" s="3118" t="s">
        <v>2727</v>
      </c>
      <c r="D109" s="3092" t="s">
        <v>2728</v>
      </c>
      <c r="E109" s="3118">
        <v>0.15</v>
      </c>
      <c r="F109" s="3118">
        <v>20</v>
      </c>
    </row>
    <row r="110" spans="1:6" ht="24">
      <c r="A110" s="3118">
        <v>38</v>
      </c>
      <c r="B110" s="3795"/>
      <c r="C110" s="3118" t="s">
        <v>2729</v>
      </c>
      <c r="D110" s="3092" t="s">
        <v>2730</v>
      </c>
      <c r="E110" s="3118">
        <v>0.1</v>
      </c>
      <c r="F110" s="3118">
        <v>15</v>
      </c>
    </row>
    <row r="111" spans="1:6" ht="24">
      <c r="A111" s="3118">
        <v>39</v>
      </c>
      <c r="B111" s="3795"/>
      <c r="C111" s="3118" t="s">
        <v>2731</v>
      </c>
      <c r="D111" s="3092" t="s">
        <v>2732</v>
      </c>
      <c r="E111" s="3118">
        <v>0.1</v>
      </c>
      <c r="F111" s="3118">
        <v>15</v>
      </c>
    </row>
    <row r="112" spans="1:6" ht="24">
      <c r="A112" s="3118">
        <v>40</v>
      </c>
      <c r="B112" s="3794"/>
      <c r="C112" s="3118" t="s">
        <v>2733</v>
      </c>
      <c r="D112" s="3092" t="s">
        <v>2734</v>
      </c>
      <c r="E112" s="3118">
        <v>0.1</v>
      </c>
      <c r="F112" s="3118">
        <v>15</v>
      </c>
    </row>
    <row r="113" spans="1:6" ht="24">
      <c r="A113" s="3118">
        <v>41</v>
      </c>
      <c r="B113" s="3792" t="s">
        <v>2735</v>
      </c>
      <c r="C113" s="3118" t="s">
        <v>2736</v>
      </c>
      <c r="D113" s="3092" t="s">
        <v>2737</v>
      </c>
      <c r="E113" s="3118">
        <v>0.1</v>
      </c>
      <c r="F113" s="3118">
        <v>15</v>
      </c>
    </row>
    <row r="114" spans="1:6" ht="24">
      <c r="A114" s="3118">
        <v>42</v>
      </c>
      <c r="B114" s="3792"/>
      <c r="C114" s="3118" t="s">
        <v>2738</v>
      </c>
      <c r="D114" s="3092" t="s">
        <v>2739</v>
      </c>
      <c r="E114" s="3118">
        <v>0.1</v>
      </c>
      <c r="F114" s="3118">
        <v>15</v>
      </c>
    </row>
    <row r="115" spans="1:6" ht="24">
      <c r="A115" s="3118">
        <v>43</v>
      </c>
      <c r="B115" s="3792"/>
      <c r="C115" s="3118" t="s">
        <v>2740</v>
      </c>
      <c r="D115" s="3092" t="s">
        <v>2741</v>
      </c>
      <c r="E115" s="3118">
        <v>0.1</v>
      </c>
      <c r="F115" s="3118">
        <v>15</v>
      </c>
    </row>
    <row r="116" spans="1:6" ht="24">
      <c r="A116" s="3118">
        <v>44</v>
      </c>
      <c r="B116" s="3793" t="s">
        <v>2742</v>
      </c>
      <c r="C116" s="3118" t="s">
        <v>2743</v>
      </c>
      <c r="D116" s="3092" t="s">
        <v>2744</v>
      </c>
      <c r="E116" s="3118">
        <v>0.1</v>
      </c>
      <c r="F116" s="3118">
        <v>15</v>
      </c>
    </row>
    <row r="117" spans="1:6" ht="24">
      <c r="A117" s="3118">
        <v>45</v>
      </c>
      <c r="B117" s="3794"/>
      <c r="C117" s="3092" t="s">
        <v>2745</v>
      </c>
      <c r="D117" s="3092" t="s">
        <v>2746</v>
      </c>
      <c r="E117" s="3118">
        <v>0.1</v>
      </c>
      <c r="F117" s="3118">
        <v>15</v>
      </c>
    </row>
    <row r="118" spans="1:6" ht="24">
      <c r="A118" s="3118">
        <v>46</v>
      </c>
      <c r="B118" s="3793" t="s">
        <v>2747</v>
      </c>
      <c r="C118" s="3118" t="s">
        <v>2748</v>
      </c>
      <c r="D118" s="3092" t="s">
        <v>2749</v>
      </c>
      <c r="E118" s="3118">
        <v>0.1</v>
      </c>
      <c r="F118" s="3118">
        <v>15</v>
      </c>
    </row>
    <row r="119" spans="1:6" ht="24">
      <c r="A119" s="3118">
        <v>47</v>
      </c>
      <c r="B119" s="3794"/>
      <c r="C119" s="3118" t="s">
        <v>2750</v>
      </c>
      <c r="D119" s="3092" t="s">
        <v>2751</v>
      </c>
      <c r="E119" s="3118">
        <v>0.1</v>
      </c>
      <c r="F119" s="3118">
        <v>15</v>
      </c>
    </row>
    <row r="120" spans="1:6" ht="24">
      <c r="A120" s="3118">
        <v>48</v>
      </c>
      <c r="B120" s="3793" t="s">
        <v>2752</v>
      </c>
      <c r="C120" s="3118" t="s">
        <v>2753</v>
      </c>
      <c r="D120" s="3092" t="s">
        <v>2754</v>
      </c>
      <c r="E120" s="3118">
        <v>0.1</v>
      </c>
      <c r="F120" s="3118">
        <v>15</v>
      </c>
    </row>
    <row r="121" spans="1:6" ht="24">
      <c r="A121" s="3118">
        <v>49</v>
      </c>
      <c r="B121" s="3794"/>
      <c r="C121" s="3118" t="s">
        <v>2755</v>
      </c>
      <c r="D121" s="3092" t="s">
        <v>2756</v>
      </c>
      <c r="E121" s="3118">
        <v>0.1</v>
      </c>
      <c r="F121" s="3118">
        <v>15</v>
      </c>
    </row>
    <row r="122" spans="1:6" ht="24">
      <c r="A122" s="3118">
        <v>50</v>
      </c>
      <c r="B122" s="3792" t="s">
        <v>2757</v>
      </c>
      <c r="C122" s="3118" t="s">
        <v>2758</v>
      </c>
      <c r="D122" s="3092" t="s">
        <v>2759</v>
      </c>
      <c r="E122" s="3118">
        <v>0.1</v>
      </c>
      <c r="F122" s="3118">
        <v>15</v>
      </c>
    </row>
    <row r="123" spans="1:6" ht="24">
      <c r="A123" s="3118">
        <v>51</v>
      </c>
      <c r="B123" s="3792"/>
      <c r="C123" s="3118" t="s">
        <v>2760</v>
      </c>
      <c r="D123" s="3092" t="s">
        <v>2761</v>
      </c>
      <c r="E123" s="3118">
        <v>0.1</v>
      </c>
      <c r="F123" s="3118">
        <v>15</v>
      </c>
    </row>
    <row r="124" spans="1:6" ht="24">
      <c r="A124" s="3118">
        <v>52</v>
      </c>
      <c r="B124" s="3792" t="s">
        <v>2762</v>
      </c>
      <c r="C124" s="3118" t="s">
        <v>2763</v>
      </c>
      <c r="D124" s="3092" t="s">
        <v>2764</v>
      </c>
      <c r="E124" s="3118">
        <v>0.1</v>
      </c>
      <c r="F124" s="3118">
        <v>15</v>
      </c>
    </row>
    <row r="125" spans="1:6" ht="24">
      <c r="A125" s="3118">
        <v>53</v>
      </c>
      <c r="B125" s="3792"/>
      <c r="C125" s="3118" t="s">
        <v>2765</v>
      </c>
      <c r="D125" s="3092" t="s">
        <v>2766</v>
      </c>
      <c r="E125" s="3118">
        <v>0.1</v>
      </c>
      <c r="F125" s="3118">
        <v>15</v>
      </c>
    </row>
    <row r="126" spans="1:6" ht="24">
      <c r="A126" s="3118">
        <v>54</v>
      </c>
      <c r="B126" s="3118" t="s">
        <v>2767</v>
      </c>
      <c r="C126" s="3118" t="s">
        <v>2768</v>
      </c>
      <c r="D126" s="3092" t="s">
        <v>2769</v>
      </c>
      <c r="E126" s="3118">
        <v>0.1</v>
      </c>
      <c r="F126" s="3118">
        <v>15</v>
      </c>
    </row>
    <row r="127" spans="1:6" ht="24">
      <c r="A127" s="3118">
        <v>55</v>
      </c>
      <c r="B127" s="3792" t="s">
        <v>2770</v>
      </c>
      <c r="C127" s="3118" t="s">
        <v>2771</v>
      </c>
      <c r="D127" s="3092" t="s">
        <v>2772</v>
      </c>
      <c r="E127" s="3118">
        <v>0.1</v>
      </c>
      <c r="F127" s="3118">
        <v>15</v>
      </c>
    </row>
    <row r="128" spans="1:6" ht="24">
      <c r="A128" s="3118">
        <v>56</v>
      </c>
      <c r="B128" s="3792"/>
      <c r="C128" s="3118" t="s">
        <v>2773</v>
      </c>
      <c r="D128" s="3092" t="s">
        <v>2774</v>
      </c>
      <c r="E128" s="3118">
        <v>0.1</v>
      </c>
      <c r="F128" s="3118">
        <v>15</v>
      </c>
    </row>
    <row r="129" spans="1:6" ht="24">
      <c r="A129" s="3118">
        <v>57</v>
      </c>
      <c r="B129" s="3792"/>
      <c r="C129" s="3118" t="s">
        <v>2775</v>
      </c>
      <c r="D129" s="3092" t="s">
        <v>2776</v>
      </c>
      <c r="E129" s="3118">
        <v>0.1</v>
      </c>
      <c r="F129" s="3118">
        <v>15</v>
      </c>
    </row>
    <row r="130" spans="1:6" ht="24">
      <c r="A130" s="3118">
        <v>58</v>
      </c>
      <c r="B130" s="3792" t="s">
        <v>2777</v>
      </c>
      <c r="C130" s="3118" t="s">
        <v>2778</v>
      </c>
      <c r="D130" s="3092" t="s">
        <v>2779</v>
      </c>
      <c r="E130" s="3118">
        <v>0.1</v>
      </c>
      <c r="F130" s="3118">
        <v>15</v>
      </c>
    </row>
    <row r="131" spans="1:6" ht="24">
      <c r="A131" s="3118">
        <v>59</v>
      </c>
      <c r="B131" s="3792"/>
      <c r="C131" s="3118" t="s">
        <v>2780</v>
      </c>
      <c r="D131" s="3092" t="s">
        <v>2781</v>
      </c>
      <c r="E131" s="3118">
        <v>0.1</v>
      </c>
      <c r="F131" s="3118">
        <v>15</v>
      </c>
    </row>
    <row r="132" spans="1:6" ht="24">
      <c r="A132" s="3118">
        <v>60</v>
      </c>
      <c r="B132" s="3793" t="s">
        <v>2782</v>
      </c>
      <c r="C132" s="3118" t="s">
        <v>2783</v>
      </c>
      <c r="D132" s="3092" t="s">
        <v>2784</v>
      </c>
      <c r="E132" s="3118">
        <v>0.1</v>
      </c>
      <c r="F132" s="3118">
        <v>15</v>
      </c>
    </row>
    <row r="133" spans="1:6" ht="24">
      <c r="A133" s="3118">
        <v>61</v>
      </c>
      <c r="B133" s="3794"/>
      <c r="C133" s="3118" t="s">
        <v>2785</v>
      </c>
      <c r="D133" s="3092" t="s">
        <v>2786</v>
      </c>
      <c r="E133" s="3118">
        <v>0.1</v>
      </c>
      <c r="F133" s="3118">
        <v>15</v>
      </c>
    </row>
    <row r="134" spans="1:6" ht="24">
      <c r="A134" s="3118">
        <v>62</v>
      </c>
      <c r="B134" s="3118" t="s">
        <v>2787</v>
      </c>
      <c r="C134" s="3118" t="s">
        <v>2788</v>
      </c>
      <c r="D134" s="3092" t="s">
        <v>2789</v>
      </c>
      <c r="E134" s="3118">
        <v>0.1</v>
      </c>
      <c r="F134" s="3118">
        <v>15</v>
      </c>
    </row>
    <row r="135" spans="1:6" ht="24">
      <c r="A135" s="3118">
        <v>63</v>
      </c>
      <c r="B135" s="3792" t="s">
        <v>2790</v>
      </c>
      <c r="C135" s="3118" t="s">
        <v>2791</v>
      </c>
      <c r="D135" s="3092" t="s">
        <v>2792</v>
      </c>
      <c r="E135" s="3118">
        <v>0.1</v>
      </c>
      <c r="F135" s="3118">
        <v>15</v>
      </c>
    </row>
    <row r="136" spans="1:6" ht="24">
      <c r="A136" s="3118">
        <v>64</v>
      </c>
      <c r="B136" s="3792"/>
      <c r="C136" s="3118" t="s">
        <v>2793</v>
      </c>
      <c r="D136" s="3092" t="s">
        <v>2794</v>
      </c>
      <c r="E136" s="3118">
        <v>0.1</v>
      </c>
      <c r="F136" s="3118">
        <v>15</v>
      </c>
    </row>
    <row r="137" spans="1:6" ht="24">
      <c r="A137" s="3118">
        <v>65</v>
      </c>
      <c r="B137" s="3118" t="s">
        <v>2795</v>
      </c>
      <c r="C137" s="3118" t="s">
        <v>2796</v>
      </c>
      <c r="D137" s="3092" t="s">
        <v>2797</v>
      </c>
      <c r="E137" s="3118">
        <v>0.1</v>
      </c>
      <c r="F137" s="3118">
        <v>15</v>
      </c>
    </row>
    <row r="138" spans="1:6" ht="14.4">
      <c r="A138" s="3118"/>
      <c r="B138" s="3118"/>
      <c r="C138" s="3118"/>
      <c r="D138" s="3118"/>
      <c r="E138" s="3118" t="s">
        <v>2798</v>
      </c>
      <c r="F138" s="3118"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1"/>
    <col min="14" max="16384" width="9" style="750"/>
  </cols>
  <sheetData>
    <row r="1" spans="1:20" ht="16.2" thickBot="1">
      <c r="A1" s="3127" t="s">
        <v>2799</v>
      </c>
      <c r="B1" s="3127"/>
      <c r="C1" s="3127"/>
      <c r="D1" s="3127"/>
      <c r="E1" s="3127"/>
      <c r="F1" s="3127"/>
      <c r="G1" s="3127"/>
      <c r="H1" s="3127"/>
      <c r="I1" s="3127"/>
      <c r="J1" s="3127"/>
      <c r="K1" s="3127"/>
      <c r="L1" s="3127"/>
      <c r="M1" s="3127"/>
      <c r="N1" s="749"/>
    </row>
    <row r="2" spans="1:20">
      <c r="A2" s="3128" t="s">
        <v>2800</v>
      </c>
      <c r="B2" s="3129" t="s">
        <v>2596</v>
      </c>
      <c r="C2" s="3129" t="s">
        <v>2597</v>
      </c>
      <c r="D2" s="3129" t="s">
        <v>2598</v>
      </c>
      <c r="E2" s="3129" t="s">
        <v>2599</v>
      </c>
      <c r="F2" s="3129" t="s">
        <v>2600</v>
      </c>
      <c r="G2" s="3129" t="s">
        <v>2601</v>
      </c>
      <c r="H2" s="3130" t="s">
        <v>2602</v>
      </c>
      <c r="I2" s="3130" t="s">
        <v>2603</v>
      </c>
      <c r="J2" s="3131" t="s">
        <v>2604</v>
      </c>
      <c r="K2" s="3131" t="s">
        <v>2605</v>
      </c>
      <c r="L2" s="3131" t="s">
        <v>2606</v>
      </c>
      <c r="M2" s="3132" t="s">
        <v>2607</v>
      </c>
      <c r="Q2" s="3142" t="s">
        <v>2805</v>
      </c>
      <c r="R2" s="3142" t="s">
        <v>2806</v>
      </c>
      <c r="S2" s="3142" t="s">
        <v>2807</v>
      </c>
      <c r="T2" s="3142" t="s">
        <v>2808</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6.2" thickBot="1">
      <c r="A93" s="3127" t="s">
        <v>2801</v>
      </c>
      <c r="B93" s="3127"/>
      <c r="C93" s="3127"/>
      <c r="D93" s="3127"/>
      <c r="E93" s="3127"/>
      <c r="F93" s="3127"/>
      <c r="G93" s="3127"/>
      <c r="H93" s="3127"/>
      <c r="I93" s="3127"/>
      <c r="J93" s="3127"/>
      <c r="K93" s="3127"/>
      <c r="L93" s="3127"/>
      <c r="M93" s="3127"/>
    </row>
    <row r="94" spans="1:20">
      <c r="A94" s="3128" t="s">
        <v>2800</v>
      </c>
      <c r="B94" s="3129" t="s">
        <v>2596</v>
      </c>
      <c r="C94" s="3129" t="s">
        <v>2597</v>
      </c>
      <c r="D94" s="3129" t="s">
        <v>2598</v>
      </c>
      <c r="E94" s="3129" t="s">
        <v>2599</v>
      </c>
      <c r="F94" s="3129" t="s">
        <v>2600</v>
      </c>
      <c r="G94" s="3129" t="s">
        <v>2601</v>
      </c>
      <c r="H94" s="3130" t="s">
        <v>2602</v>
      </c>
      <c r="I94" s="3130" t="s">
        <v>2603</v>
      </c>
      <c r="J94" s="3131" t="s">
        <v>2604</v>
      </c>
      <c r="K94" s="3131" t="s">
        <v>2605</v>
      </c>
      <c r="L94" s="3131" t="s">
        <v>2606</v>
      </c>
      <c r="M94" s="3132" t="s">
        <v>2607</v>
      </c>
      <c r="N94" s="750">
        <f>SUMPRODUCT((A95:A184=ROUNDDOWN(基准地价修正!G3,1))*(B94:M94=基准地价修正!G2)*(B95:M184))</f>
        <v>0</v>
      </c>
      <c r="Q94" s="3142" t="s">
        <v>2805</v>
      </c>
      <c r="R94" s="3142" t="s">
        <v>2806</v>
      </c>
      <c r="S94" s="3142" t="s">
        <v>2807</v>
      </c>
      <c r="T94" s="3142" t="s">
        <v>2808</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5.6">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5.6">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6.2" thickBot="1">
      <c r="A185" s="3127" t="s">
        <v>2802</v>
      </c>
      <c r="B185" s="3127"/>
      <c r="C185" s="3127"/>
      <c r="D185" s="3127"/>
      <c r="E185" s="3127"/>
      <c r="F185" s="3127"/>
      <c r="G185" s="3127"/>
      <c r="H185" s="3127"/>
      <c r="I185" s="3127"/>
      <c r="J185" s="3127"/>
      <c r="K185" s="3127"/>
      <c r="L185" s="3127"/>
      <c r="M185" s="3127"/>
    </row>
    <row r="186" spans="1:20">
      <c r="A186" s="3128" t="s">
        <v>2800</v>
      </c>
      <c r="B186" s="3129" t="s">
        <v>2596</v>
      </c>
      <c r="C186" s="3129" t="s">
        <v>2597</v>
      </c>
      <c r="D186" s="3129" t="s">
        <v>2598</v>
      </c>
      <c r="E186" s="3129" t="s">
        <v>2599</v>
      </c>
      <c r="F186" s="3129" t="s">
        <v>2600</v>
      </c>
      <c r="G186" s="3129" t="s">
        <v>2601</v>
      </c>
      <c r="H186" s="3130" t="s">
        <v>2602</v>
      </c>
      <c r="I186" s="3130" t="s">
        <v>2603</v>
      </c>
      <c r="J186" s="3131" t="s">
        <v>2604</v>
      </c>
      <c r="K186" s="3131" t="s">
        <v>2605</v>
      </c>
      <c r="L186" s="3131" t="s">
        <v>2606</v>
      </c>
      <c r="M186" s="3132" t="s">
        <v>2607</v>
      </c>
      <c r="Q186" s="3142" t="s">
        <v>2805</v>
      </c>
      <c r="R186" s="3142" t="s">
        <v>2806</v>
      </c>
      <c r="S186" s="3142" t="s">
        <v>2807</v>
      </c>
      <c r="T186" s="3142" t="s">
        <v>2808</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6.2" thickBot="1">
      <c r="A277" s="3127" t="s">
        <v>2803</v>
      </c>
      <c r="B277" s="3127"/>
      <c r="C277" s="3127"/>
      <c r="D277" s="3127"/>
      <c r="E277" s="3127"/>
      <c r="F277" s="3127"/>
      <c r="G277" s="3127"/>
      <c r="H277" s="3127"/>
      <c r="I277" s="3127"/>
      <c r="J277" s="3127"/>
      <c r="K277" s="3127"/>
      <c r="L277" s="3127"/>
      <c r="M277" s="3127"/>
    </row>
    <row r="278" spans="1:21">
      <c r="A278" s="3128" t="s">
        <v>2800</v>
      </c>
      <c r="B278" s="3129" t="s">
        <v>2596</v>
      </c>
      <c r="C278" s="3129" t="s">
        <v>2597</v>
      </c>
      <c r="D278" s="3129" t="s">
        <v>2598</v>
      </c>
      <c r="E278" s="3129" t="s">
        <v>2599</v>
      </c>
      <c r="F278" s="3129" t="s">
        <v>2600</v>
      </c>
      <c r="G278" s="3129" t="s">
        <v>2601</v>
      </c>
      <c r="H278" s="3130" t="s">
        <v>2602</v>
      </c>
      <c r="I278" s="3130" t="s">
        <v>2603</v>
      </c>
      <c r="J278" s="3131" t="s">
        <v>2604</v>
      </c>
      <c r="K278" s="3131" t="s">
        <v>2605</v>
      </c>
      <c r="L278" s="3131" t="s">
        <v>2606</v>
      </c>
      <c r="M278" s="3132" t="s">
        <v>2607</v>
      </c>
      <c r="Q278" s="3142" t="s">
        <v>2805</v>
      </c>
      <c r="R278" s="3142" t="s">
        <v>2806</v>
      </c>
      <c r="S278" s="3142" t="s">
        <v>2809</v>
      </c>
      <c r="T278" s="3142" t="s">
        <v>2810</v>
      </c>
      <c r="U278" s="3142" t="s">
        <v>2808</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6.2" thickBot="1">
      <c r="A369" s="3127" t="s">
        <v>2804</v>
      </c>
      <c r="B369" s="3140"/>
      <c r="C369" s="3140"/>
      <c r="D369" s="3140"/>
      <c r="E369" s="3140"/>
      <c r="F369" s="3140"/>
      <c r="G369" s="3140"/>
      <c r="H369" s="3140"/>
      <c r="I369" s="3140"/>
      <c r="J369" s="3140"/>
      <c r="K369" s="3140"/>
      <c r="L369" s="3140"/>
      <c r="M369" s="3140"/>
    </row>
    <row r="370" spans="1:20">
      <c r="A370" s="3128" t="s">
        <v>2800</v>
      </c>
      <c r="B370" s="3129" t="s">
        <v>2596</v>
      </c>
      <c r="C370" s="3129" t="s">
        <v>2597</v>
      </c>
      <c r="D370" s="3129" t="s">
        <v>2598</v>
      </c>
      <c r="E370" s="3129" t="s">
        <v>2599</v>
      </c>
      <c r="F370" s="3129" t="s">
        <v>2600</v>
      </c>
      <c r="G370" s="3129" t="s">
        <v>2601</v>
      </c>
      <c r="H370" s="3130" t="s">
        <v>2602</v>
      </c>
      <c r="I370" s="3130" t="s">
        <v>2603</v>
      </c>
      <c r="J370" s="3131" t="s">
        <v>2604</v>
      </c>
      <c r="K370" s="3131" t="s">
        <v>2605</v>
      </c>
      <c r="L370" s="3131" t="s">
        <v>2606</v>
      </c>
      <c r="M370" s="3132" t="s">
        <v>2607</v>
      </c>
      <c r="N370" s="750">
        <f>SUMPRODUCT((A371:A460=ROUNDDOWN(基准地价修正!G3,1))*(B370:M370=基准地价修正!G2)*(B371:M460))</f>
        <v>0</v>
      </c>
      <c r="Q370" s="3142" t="s">
        <v>2805</v>
      </c>
      <c r="R370" s="3142" t="s">
        <v>2806</v>
      </c>
      <c r="S370" s="3142" t="s">
        <v>2807</v>
      </c>
      <c r="T370" s="3142" t="s">
        <v>2808</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31621</v>
      </c>
      <c r="C2" s="2" t="s">
        <v>106</v>
      </c>
      <c r="D2" s="199"/>
      <c r="E2" s="199"/>
      <c r="F2" s="199"/>
      <c r="G2" s="199"/>
    </row>
    <row r="3" spans="1:7" s="200" customFormat="1" ht="18" customHeight="1" thickBot="1">
      <c r="A3" s="203" t="s">
        <v>58</v>
      </c>
      <c r="B3" s="204">
        <f ca="1">ROUND(B2*10000/'数据-汇总表'!E3,0)</f>
        <v>1147143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4</v>
      </c>
      <c r="D9" s="845">
        <f>'数据-汇总表'!E5</f>
        <v>275.64999999999998</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6</v>
      </c>
      <c r="D19" s="849">
        <f>'数据-汇总表'!E3</f>
        <v>275.64999999999998</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2639</v>
      </c>
      <c r="D22" s="235">
        <f ca="1">C26</f>
        <v>1.1999999999999999E-3</v>
      </c>
      <c r="E22" s="236" t="s">
        <v>99</v>
      </c>
      <c r="F22" s="237">
        <f ca="1">'数据-取费表'!B40</f>
        <v>6.1500000000000006E-2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2613</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25</v>
      </c>
      <c r="D25" s="238"/>
      <c r="E25" s="241"/>
      <c r="F25" s="239"/>
      <c r="G25" s="242" t="s">
        <v>83</v>
      </c>
    </row>
    <row r="26" spans="1:7" s="214" customFormat="1">
      <c r="A26" s="780" t="s">
        <v>350</v>
      </c>
      <c r="B26" s="215" t="s">
        <v>422</v>
      </c>
      <c r="C26" s="238">
        <f ca="1">ROUND(IF('数据-取费表'!B22&lt;=1,F21*F22*'数据-取费表'!B23/2,F21*(POWER((1+F22),'数据-取费表'!B23/2)-1)),4)</f>
        <v>1.1999999999999999E-3</v>
      </c>
      <c r="D26" s="238"/>
      <c r="E26" s="241"/>
      <c r="F26" s="239"/>
      <c r="G26" s="243"/>
    </row>
    <row r="27" spans="1:7" s="214" customFormat="1" ht="26.4">
      <c r="A27" s="777" t="s">
        <v>342</v>
      </c>
      <c r="B27" s="244" t="s">
        <v>85</v>
      </c>
      <c r="C27" s="245">
        <f>C28</f>
        <v>5257</v>
      </c>
      <c r="D27" s="235">
        <f>C29</f>
        <v>5.0000000000000001E-3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5257</v>
      </c>
      <c r="D28" s="235"/>
      <c r="E28" s="236"/>
      <c r="F28" s="246"/>
      <c r="G28" s="247"/>
    </row>
    <row r="29" spans="1:7" s="214" customFormat="1" ht="13.5" customHeight="1">
      <c r="A29" s="780" t="s">
        <v>347</v>
      </c>
      <c r="B29" s="248" t="s">
        <v>425</v>
      </c>
      <c r="C29" s="238">
        <f>ROUND(C21*F27*'数据-取费表'!B21/'数据-取费表'!B20,4)</f>
        <v>5.0000000000000001E-3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31423</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136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105</v>
      </c>
      <c r="D34" s="217"/>
      <c r="E34" s="220"/>
      <c r="F34" s="257">
        <f>IF('数据-取费表'!B24=0,1,'数据-取费表'!N16)</f>
        <v>1</v>
      </c>
      <c r="G34" s="219" t="s">
        <v>89</v>
      </c>
    </row>
    <row r="35" spans="1:7" ht="13.5" customHeight="1">
      <c r="A35" s="780" t="s">
        <v>351</v>
      </c>
      <c r="B35" s="215" t="s">
        <v>33</v>
      </c>
      <c r="C35" s="220">
        <f>ROUND(C34*F35,0)</f>
        <v>11</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6</v>
      </c>
      <c r="D37" s="217">
        <f>'数据-汇总表'!E3</f>
        <v>275.64999999999998</v>
      </c>
      <c r="E37" s="249">
        <f>'数据-取费表'!B35</f>
        <v>200</v>
      </c>
      <c r="F37" s="259"/>
      <c r="G37" s="261" t="s">
        <v>92</v>
      </c>
    </row>
    <row r="38" spans="1:7" ht="13.5" customHeight="1">
      <c r="A38" s="780" t="s">
        <v>354</v>
      </c>
      <c r="B38" s="215" t="s">
        <v>36</v>
      </c>
      <c r="C38" s="220">
        <f>ROUND(C34*F38,0)</f>
        <v>3</v>
      </c>
      <c r="D38" s="220"/>
      <c r="E38" s="220"/>
      <c r="F38" s="259">
        <f>'数据-取费表'!B36</f>
        <v>0.03</v>
      </c>
      <c r="G38" s="219" t="s">
        <v>90</v>
      </c>
    </row>
    <row r="39" spans="1:7" s="214" customFormat="1" ht="13.5" customHeight="1">
      <c r="A39" s="777" t="s">
        <v>338</v>
      </c>
      <c r="B39" s="210" t="s">
        <v>77</v>
      </c>
      <c r="C39" s="232">
        <f>ROUND(C33*F20,0)</f>
        <v>3</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1.1999999999999999E-3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64" t="s">
        <v>94</v>
      </c>
    </row>
    <row r="43" spans="1:7" ht="13.5" customHeight="1">
      <c r="A43" s="780" t="s">
        <v>347</v>
      </c>
      <c r="B43" s="215" t="s">
        <v>426</v>
      </c>
      <c r="C43" s="238">
        <f ca="1">ROUND(IF('数据-取费表'!B22&lt;=1,C39*F22*'数据-取费表'!B21/2,C39*(POWER((1+F22),'数据-取费表'!B21/2)-1)),0)</f>
        <v>0</v>
      </c>
      <c r="D43" s="238"/>
      <c r="E43" s="238"/>
      <c r="F43" s="239"/>
      <c r="G43" s="3665"/>
    </row>
    <row r="44" spans="1:7" ht="13.5" customHeight="1">
      <c r="A44" s="780" t="s">
        <v>348</v>
      </c>
      <c r="B44" s="215" t="s">
        <v>428</v>
      </c>
      <c r="C44" s="238">
        <f ca="1">ROUND(IF('数据-取费表'!B22&lt;=1,C40*F22*'数据-取费表'!B21/2,C40*(POWER((1+F22),'数据-取费表'!B21/2)-1)),4)</f>
        <v>1.1999999999999999E-3</v>
      </c>
      <c r="D44" s="238"/>
      <c r="E44" s="238"/>
      <c r="F44" s="239"/>
      <c r="G44" s="3666"/>
    </row>
    <row r="45" spans="1:7" s="214" customFormat="1" ht="13.5" customHeight="1">
      <c r="A45" s="777" t="s">
        <v>341</v>
      </c>
      <c r="B45" s="244" t="s">
        <v>85</v>
      </c>
      <c r="C45" s="245">
        <f>C46</f>
        <v>35</v>
      </c>
      <c r="D45" s="235">
        <f>C47</f>
        <v>5.0000000000000001E-3</v>
      </c>
      <c r="E45" s="236" t="s">
        <v>102</v>
      </c>
      <c r="F45" s="246"/>
      <c r="G45" s="247" t="s">
        <v>434</v>
      </c>
    </row>
    <row r="46" spans="1:7" s="214" customFormat="1" ht="13.5" customHeight="1">
      <c r="A46" s="780" t="s">
        <v>349</v>
      </c>
      <c r="B46" s="248" t="s">
        <v>427</v>
      </c>
      <c r="C46" s="249">
        <f>ROUND((C33+C39)*F27,0)</f>
        <v>35</v>
      </c>
      <c r="D46" s="263"/>
      <c r="E46" s="236"/>
      <c r="F46" s="246"/>
      <c r="G46" s="247"/>
    </row>
    <row r="47" spans="1:7" s="214" customFormat="1" ht="13.5" customHeight="1">
      <c r="A47" s="780" t="s">
        <v>347</v>
      </c>
      <c r="B47" s="248" t="s">
        <v>429</v>
      </c>
      <c r="C47" s="238">
        <f>ROUND(C40*F27,4)</f>
        <v>5.0000000000000001E-3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198</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198</v>
      </c>
      <c r="D51" s="232"/>
      <c r="E51" s="232"/>
      <c r="F51" s="264"/>
      <c r="G51" s="234" t="s">
        <v>37</v>
      </c>
    </row>
    <row r="52" spans="1:7" s="208" customFormat="1" ht="16.8" thickBot="1">
      <c r="A52" s="265" t="s">
        <v>38</v>
      </c>
      <c r="B52" s="266"/>
      <c r="C52" s="267">
        <f ca="1">C31+C51</f>
        <v>31621</v>
      </c>
      <c r="D52" s="266"/>
      <c r="E52" s="266"/>
      <c r="F52" s="266"/>
      <c r="G52" s="268"/>
    </row>
    <row r="55" spans="1:7" ht="15">
      <c r="B55" s="270" t="s">
        <v>39</v>
      </c>
      <c r="C55" s="271"/>
    </row>
    <row r="56" spans="1:7">
      <c r="B56" s="273" t="s">
        <v>40</v>
      </c>
      <c r="C56" s="274">
        <f ca="1">ROUND(C51/C52,3)</f>
        <v>6.0000000000000001E-3</v>
      </c>
    </row>
    <row r="57" spans="1:7">
      <c r="B57" s="273" t="s">
        <v>41</v>
      </c>
      <c r="C57" s="275">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6"/>
      <c r="C2" s="3486"/>
      <c r="D2" s="3486"/>
      <c r="E2" s="3486"/>
    </row>
    <row r="3" spans="1:5" ht="17.399999999999999">
      <c r="A3" s="3487" t="str">
        <f>IF(项目基本情况!B9="房地产市场价值","估价结果一览表（市场价值不需“结果表-1”）","估价结果一览表")</f>
        <v>估价结果一览表（市场价值不需“结果表-1”）</v>
      </c>
      <c r="B3" s="3487"/>
      <c r="C3" s="3487"/>
      <c r="D3" s="3487"/>
      <c r="E3" s="3487"/>
    </row>
    <row r="4" spans="1:5" ht="18" thickBot="1">
      <c r="A4" s="1493"/>
      <c r="B4" s="3485" t="s">
        <v>917</v>
      </c>
      <c r="C4" s="3485"/>
      <c r="D4" s="3485"/>
      <c r="E4" s="1493"/>
    </row>
    <row r="5" spans="1:5" ht="16.2" thickTop="1">
      <c r="A5" s="1491"/>
      <c r="B5" s="3483" t="s">
        <v>909</v>
      </c>
      <c r="C5" s="1494" t="s">
        <v>910</v>
      </c>
      <c r="D5" s="850" t="e">
        <f ca="1">结果表!H101</f>
        <v>#REF!</v>
      </c>
      <c r="E5" s="1491"/>
    </row>
    <row r="6" spans="1:5" ht="15.6">
      <c r="A6" s="1491"/>
      <c r="B6" s="3483"/>
      <c r="C6" s="1494" t="s">
        <v>911</v>
      </c>
      <c r="D6" s="850" t="e">
        <f ca="1">NUMBERSTRING(INT(D5*10000),2)&amp;"元整"</f>
        <v>#REF!</v>
      </c>
      <c r="E6" s="1491"/>
    </row>
    <row r="7" spans="1:5" ht="15.6">
      <c r="A7" s="1491"/>
      <c r="B7" s="3488"/>
      <c r="C7" s="1495" t="s">
        <v>912</v>
      </c>
      <c r="D7" s="851" t="e">
        <f ca="1">结果表!H102</f>
        <v>#REF!</v>
      </c>
      <c r="E7" s="1491"/>
    </row>
    <row r="8" spans="1:5" ht="15.6">
      <c r="A8" s="1491"/>
      <c r="B8" s="3489" t="str">
        <f>结果表!E103</f>
        <v>2.估价师知悉的法定优先受偿款</v>
      </c>
      <c r="C8" s="1496" t="s">
        <v>913</v>
      </c>
      <c r="D8" s="851">
        <f>结果表!H103</f>
        <v>0</v>
      </c>
      <c r="E8" s="1491"/>
    </row>
    <row r="9" spans="1:5" ht="15.6">
      <c r="A9" s="1491"/>
      <c r="B9" s="349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2" t="str">
        <f>结果表!E107</f>
        <v>3.房地产抵押价值</v>
      </c>
      <c r="C13" s="1499" t="s">
        <v>910</v>
      </c>
      <c r="D13" s="853" t="e">
        <f ca="1">结果表!H107</f>
        <v>#REF!</v>
      </c>
      <c r="E13" s="1491"/>
    </row>
    <row r="14" spans="1:5" ht="15.6">
      <c r="A14" s="1491"/>
      <c r="B14" s="3483"/>
      <c r="C14" s="1494" t="s">
        <v>911</v>
      </c>
      <c r="D14" s="850" t="e">
        <f ca="1">NUMBERSTRING(INT(D13*10000),2)&amp;"元整"</f>
        <v>#REF!</v>
      </c>
      <c r="E14" s="1491"/>
    </row>
    <row r="15" spans="1:5" ht="15.6">
      <c r="A15" s="1491"/>
      <c r="B15" s="3488"/>
      <c r="C15" s="1495" t="s">
        <v>921</v>
      </c>
      <c r="D15" s="859" t="e">
        <f ca="1">结果表!H108</f>
        <v>#REF!</v>
      </c>
      <c r="E15" s="1491"/>
    </row>
    <row r="16" spans="1:5" ht="15.6">
      <c r="A16" s="1491"/>
      <c r="B16" s="3489" t="str">
        <f>结果表!E109</f>
        <v>——</v>
      </c>
      <c r="C16" s="1499" t="s">
        <v>922</v>
      </c>
      <c r="D16" s="1500" t="str">
        <f>结果表!H109</f>
        <v>——</v>
      </c>
      <c r="E16" s="1491"/>
    </row>
    <row r="17" spans="1:5" ht="15.6">
      <c r="A17" s="1491"/>
      <c r="B17" s="3490"/>
      <c r="C17" s="1494" t="s">
        <v>923</v>
      </c>
      <c r="D17" s="850" t="e">
        <f>NUMBERSTRING(INT(D16*10000),2)&amp;"元整"</f>
        <v>#VALUE!</v>
      </c>
      <c r="E17" s="1491"/>
    </row>
    <row r="18" spans="1:5" ht="15.6">
      <c r="A18" s="1491"/>
      <c r="B18" s="3491"/>
      <c r="C18" s="1495" t="s">
        <v>912</v>
      </c>
      <c r="D18" s="859" t="str">
        <f>结果表!H110</f>
        <v>——</v>
      </c>
      <c r="E18" s="1491"/>
    </row>
    <row r="19" spans="1:5" ht="15.6">
      <c r="A19" s="1491"/>
      <c r="B19" s="3482" t="str">
        <f>结果表!E111</f>
        <v>——</v>
      </c>
      <c r="C19" s="1499" t="s">
        <v>910</v>
      </c>
      <c r="D19" s="851" t="str">
        <f>结果表!H111</f>
        <v>——</v>
      </c>
      <c r="E19" s="1491"/>
    </row>
    <row r="20" spans="1:5" ht="15.6">
      <c r="A20" s="1491"/>
      <c r="B20" s="3483"/>
      <c r="C20" s="1494" t="s">
        <v>923</v>
      </c>
      <c r="D20" s="850" t="e">
        <f>NUMBERSTRING(INT(D19*10000),2)&amp;"元整"</f>
        <v>#VALUE!</v>
      </c>
      <c r="E20" s="1491"/>
    </row>
    <row r="21" spans="1:5" ht="16.2" thickBot="1">
      <c r="A21" s="1491"/>
      <c r="B21" s="348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U31"/>
  <sheetViews>
    <sheetView workbookViewId="0">
      <selection activeCell="I41" sqref="I41"/>
    </sheetView>
  </sheetViews>
  <sheetFormatPr defaultRowHeight="14.4"/>
  <sheetData>
    <row r="1" spans="1:21" ht="15" thickBot="1">
      <c r="A1" s="3461" t="s">
        <v>3428</v>
      </c>
      <c r="B1" s="3461" t="s">
        <v>3429</v>
      </c>
      <c r="C1" s="3461" t="s">
        <v>3430</v>
      </c>
      <c r="D1" s="3461" t="s">
        <v>3431</v>
      </c>
      <c r="E1" s="3461" t="s">
        <v>3432</v>
      </c>
      <c r="F1" s="3461" t="s">
        <v>3433</v>
      </c>
      <c r="G1" s="3461" t="s">
        <v>3434</v>
      </c>
      <c r="H1" s="3461" t="s">
        <v>3435</v>
      </c>
      <c r="I1" s="3461" t="s">
        <v>3436</v>
      </c>
      <c r="J1" s="3461" t="s">
        <v>3437</v>
      </c>
      <c r="K1" s="3461" t="s">
        <v>3438</v>
      </c>
      <c r="L1" s="3461" t="s">
        <v>3439</v>
      </c>
      <c r="M1" s="3461" t="s">
        <v>3440</v>
      </c>
      <c r="N1" s="3461" t="s">
        <v>3441</v>
      </c>
      <c r="O1" s="3461" t="s">
        <v>3442</v>
      </c>
      <c r="P1" s="3461" t="s">
        <v>3443</v>
      </c>
      <c r="Q1" s="3461" t="s">
        <v>3444</v>
      </c>
      <c r="R1" s="3461" t="s">
        <v>3445</v>
      </c>
      <c r="S1" s="3461" t="s">
        <v>3446</v>
      </c>
      <c r="T1" s="3461" t="s">
        <v>3447</v>
      </c>
      <c r="U1" s="3461" t="s">
        <v>3448</v>
      </c>
    </row>
    <row r="2" spans="1:21" ht="34.799999999999997" hidden="1" thickBot="1">
      <c r="A2" s="3475">
        <v>104</v>
      </c>
      <c r="B2" s="3476" t="s">
        <v>3449</v>
      </c>
      <c r="C2" s="3475" t="s">
        <v>3518</v>
      </c>
      <c r="D2" s="3475" t="s">
        <v>3519</v>
      </c>
      <c r="E2" s="3475" t="s">
        <v>3452</v>
      </c>
      <c r="F2" s="3475" t="s">
        <v>3520</v>
      </c>
      <c r="G2" s="3475" t="s">
        <v>3516</v>
      </c>
      <c r="H2" s="3475" t="s">
        <v>3460</v>
      </c>
      <c r="I2" s="3475" t="s">
        <v>3456</v>
      </c>
      <c r="J2" s="3475">
        <v>197.17</v>
      </c>
      <c r="K2" s="3475" t="s">
        <v>3388</v>
      </c>
      <c r="L2" s="3475" t="s">
        <v>3517</v>
      </c>
      <c r="M2" s="3475"/>
      <c r="N2" s="3475" t="s">
        <v>43</v>
      </c>
      <c r="O2" s="3475">
        <v>2008</v>
      </c>
      <c r="P2" s="3475" t="s">
        <v>43</v>
      </c>
      <c r="Q2" s="3475" t="s">
        <v>43</v>
      </c>
      <c r="R2" s="3475">
        <v>0</v>
      </c>
      <c r="S2" s="3475">
        <v>54189</v>
      </c>
      <c r="T2" s="3475">
        <v>10684445</v>
      </c>
      <c r="U2" s="3477">
        <v>41327</v>
      </c>
    </row>
    <row r="3" spans="1:21" ht="34.799999999999997" hidden="1" thickBot="1">
      <c r="A3" s="3465">
        <v>62</v>
      </c>
      <c r="B3" s="3466" t="s">
        <v>3449</v>
      </c>
      <c r="C3" s="3465" t="s">
        <v>3457</v>
      </c>
      <c r="D3" s="3465" t="s">
        <v>3458</v>
      </c>
      <c r="E3" s="3465" t="s">
        <v>3452</v>
      </c>
      <c r="F3" s="3465" t="s">
        <v>3459</v>
      </c>
      <c r="G3" s="3465" t="s">
        <v>3454</v>
      </c>
      <c r="H3" s="3465" t="s">
        <v>3460</v>
      </c>
      <c r="I3" s="3465" t="s">
        <v>3456</v>
      </c>
      <c r="J3" s="3465">
        <v>178.37</v>
      </c>
      <c r="K3" s="3465" t="s">
        <v>3388</v>
      </c>
      <c r="L3" s="3465">
        <v>5</v>
      </c>
      <c r="M3" s="3465"/>
      <c r="N3" s="3465">
        <v>2002</v>
      </c>
      <c r="O3" s="3465" t="s">
        <v>43</v>
      </c>
      <c r="P3" s="3465" t="s">
        <v>43</v>
      </c>
      <c r="Q3" s="3465" t="s">
        <v>43</v>
      </c>
      <c r="R3" s="3465">
        <v>0</v>
      </c>
      <c r="S3" s="3465">
        <v>53954</v>
      </c>
      <c r="T3" s="3465">
        <v>9623775</v>
      </c>
      <c r="U3" s="3467">
        <v>41346</v>
      </c>
    </row>
    <row r="4" spans="1:21" ht="34.799999999999997" hidden="1" thickBot="1">
      <c r="A4" s="3465">
        <v>106</v>
      </c>
      <c r="B4" s="3466" t="s">
        <v>3449</v>
      </c>
      <c r="C4" s="3465" t="s">
        <v>3524</v>
      </c>
      <c r="D4" s="3465" t="s">
        <v>3525</v>
      </c>
      <c r="E4" s="3465" t="s">
        <v>3452</v>
      </c>
      <c r="F4" s="3465" t="s">
        <v>3526</v>
      </c>
      <c r="G4" s="3465" t="s">
        <v>3516</v>
      </c>
      <c r="H4" s="3465" t="s">
        <v>3460</v>
      </c>
      <c r="I4" s="3465" t="s">
        <v>3456</v>
      </c>
      <c r="J4" s="3465">
        <v>203.47</v>
      </c>
      <c r="K4" s="3465" t="s">
        <v>3388</v>
      </c>
      <c r="L4" s="3465" t="s">
        <v>3503</v>
      </c>
      <c r="M4" s="3465"/>
      <c r="N4" s="3465" t="s">
        <v>43</v>
      </c>
      <c r="O4" s="3465">
        <v>2008</v>
      </c>
      <c r="P4" s="3465" t="s">
        <v>43</v>
      </c>
      <c r="Q4" s="3465" t="s">
        <v>43</v>
      </c>
      <c r="R4" s="3465">
        <v>63891</v>
      </c>
      <c r="S4" s="3465">
        <v>53892</v>
      </c>
      <c r="T4" s="3465">
        <v>10965405</v>
      </c>
      <c r="U4" s="3467">
        <v>41309</v>
      </c>
    </row>
    <row r="5" spans="1:21" ht="23.4" thickBot="1">
      <c r="A5" s="3478">
        <v>64</v>
      </c>
      <c r="B5" s="3479" t="s">
        <v>3449</v>
      </c>
      <c r="C5" s="3478" t="s">
        <v>3570</v>
      </c>
      <c r="D5" s="3478" t="s">
        <v>3464</v>
      </c>
      <c r="E5" s="3478" t="s">
        <v>3452</v>
      </c>
      <c r="F5" s="3478" t="s">
        <v>3569</v>
      </c>
      <c r="G5" s="3478" t="s">
        <v>3454</v>
      </c>
      <c r="H5" s="3478" t="s">
        <v>3465</v>
      </c>
      <c r="I5" s="3478" t="s">
        <v>3456</v>
      </c>
      <c r="J5" s="3478">
        <v>142.21</v>
      </c>
      <c r="K5" s="3478" t="s">
        <v>3388</v>
      </c>
      <c r="L5" s="3478">
        <v>6</v>
      </c>
      <c r="M5" s="3478">
        <v>2</v>
      </c>
      <c r="N5" s="3478">
        <v>2002</v>
      </c>
      <c r="O5" s="3478" t="s">
        <v>43</v>
      </c>
      <c r="P5" s="3478"/>
      <c r="Q5" s="3478" t="s">
        <v>43</v>
      </c>
      <c r="R5" s="3478">
        <v>0</v>
      </c>
      <c r="S5" s="3478">
        <v>40109</v>
      </c>
      <c r="T5" s="3478">
        <v>5703901</v>
      </c>
      <c r="U5" s="3480">
        <v>41243</v>
      </c>
    </row>
    <row r="6" spans="1:21" ht="46.2" hidden="1" thickBot="1">
      <c r="A6" s="3462">
        <v>63</v>
      </c>
      <c r="B6" s="3463" t="s">
        <v>3449</v>
      </c>
      <c r="C6" s="3462" t="s">
        <v>3461</v>
      </c>
      <c r="D6" s="3462" t="s">
        <v>3462</v>
      </c>
      <c r="E6" s="3462" t="s">
        <v>3452</v>
      </c>
      <c r="F6" s="3462" t="s">
        <v>3463</v>
      </c>
      <c r="G6" s="3462" t="s">
        <v>3454</v>
      </c>
      <c r="H6" s="3462" t="s">
        <v>3460</v>
      </c>
      <c r="I6" s="3462" t="s">
        <v>3456</v>
      </c>
      <c r="J6" s="3462">
        <v>181.26</v>
      </c>
      <c r="K6" s="3462" t="s">
        <v>3388</v>
      </c>
      <c r="L6" s="3462">
        <v>5</v>
      </c>
      <c r="M6" s="3462"/>
      <c r="N6" s="3462">
        <v>2002</v>
      </c>
      <c r="O6" s="3462" t="s">
        <v>43</v>
      </c>
      <c r="P6" s="3462" t="s">
        <v>43</v>
      </c>
      <c r="Q6" s="3462" t="s">
        <v>43</v>
      </c>
      <c r="R6" s="3462">
        <v>0</v>
      </c>
      <c r="S6" s="3462">
        <v>53623</v>
      </c>
      <c r="T6" s="3462">
        <v>9719705</v>
      </c>
      <c r="U6" s="3464">
        <v>41280</v>
      </c>
    </row>
    <row r="7" spans="1:21" ht="23.4" hidden="1" thickBot="1">
      <c r="A7" s="3465">
        <v>66</v>
      </c>
      <c r="B7" s="3466" t="s">
        <v>3449</v>
      </c>
      <c r="C7" s="3465" t="s">
        <v>3470</v>
      </c>
      <c r="D7" s="3465" t="s">
        <v>3471</v>
      </c>
      <c r="E7" s="3465" t="s">
        <v>3452</v>
      </c>
      <c r="F7" s="3465" t="s">
        <v>3472</v>
      </c>
      <c r="G7" s="3465" t="s">
        <v>3454</v>
      </c>
      <c r="H7" s="3465" t="s">
        <v>3469</v>
      </c>
      <c r="I7" s="3465" t="s">
        <v>3456</v>
      </c>
      <c r="J7" s="3465">
        <v>143.44999999999999</v>
      </c>
      <c r="K7" s="3465" t="s">
        <v>3388</v>
      </c>
      <c r="L7" s="3465">
        <v>6</v>
      </c>
      <c r="M7" s="3465">
        <v>3</v>
      </c>
      <c r="N7" s="3465">
        <v>2002</v>
      </c>
      <c r="O7" s="3465" t="s">
        <v>43</v>
      </c>
      <c r="P7" s="3465"/>
      <c r="Q7" s="3465" t="s">
        <v>43</v>
      </c>
      <c r="R7" s="3465">
        <v>0</v>
      </c>
      <c r="S7" s="3465">
        <v>42530</v>
      </c>
      <c r="T7" s="3465">
        <v>6100929</v>
      </c>
      <c r="U7" s="3467">
        <v>41174</v>
      </c>
    </row>
    <row r="8" spans="1:21" ht="34.799999999999997" hidden="1" thickBot="1">
      <c r="A8" s="3462">
        <v>103</v>
      </c>
      <c r="B8" s="3463" t="s">
        <v>3449</v>
      </c>
      <c r="C8" s="3462" t="s">
        <v>3513</v>
      </c>
      <c r="D8" s="3462" t="s">
        <v>3514</v>
      </c>
      <c r="E8" s="3462" t="s">
        <v>3452</v>
      </c>
      <c r="F8" s="3462" t="s">
        <v>3515</v>
      </c>
      <c r="G8" s="3462" t="s">
        <v>3516</v>
      </c>
      <c r="H8" s="3462" t="s">
        <v>3460</v>
      </c>
      <c r="I8" s="3462" t="s">
        <v>3456</v>
      </c>
      <c r="J8" s="3462">
        <v>245.35</v>
      </c>
      <c r="K8" s="3462" t="s">
        <v>3388</v>
      </c>
      <c r="L8" s="3462" t="s">
        <v>3517</v>
      </c>
      <c r="M8" s="3462"/>
      <c r="N8" s="3462" t="s">
        <v>43</v>
      </c>
      <c r="O8" s="3462">
        <v>2008</v>
      </c>
      <c r="P8" s="3462" t="s">
        <v>43</v>
      </c>
      <c r="Q8" s="3462" t="s">
        <v>43</v>
      </c>
      <c r="R8" s="3462">
        <v>0</v>
      </c>
      <c r="S8" s="3462">
        <v>52881</v>
      </c>
      <c r="T8" s="3462">
        <v>12974353</v>
      </c>
      <c r="U8" s="3464">
        <v>41330</v>
      </c>
    </row>
    <row r="9" spans="1:21" ht="23.4" hidden="1" thickBot="1">
      <c r="A9" s="3465">
        <v>68</v>
      </c>
      <c r="B9" s="3466" t="s">
        <v>3449</v>
      </c>
      <c r="C9" s="3465" t="s">
        <v>3477</v>
      </c>
      <c r="D9" s="3465" t="s">
        <v>3478</v>
      </c>
      <c r="E9" s="3465" t="s">
        <v>3452</v>
      </c>
      <c r="F9" s="3465" t="s">
        <v>3479</v>
      </c>
      <c r="G9" s="3465" t="s">
        <v>3454</v>
      </c>
      <c r="H9" s="3465" t="s">
        <v>3460</v>
      </c>
      <c r="I9" s="3465" t="s">
        <v>3456</v>
      </c>
      <c r="J9" s="3465">
        <v>142.21</v>
      </c>
      <c r="K9" s="3465" t="s">
        <v>3388</v>
      </c>
      <c r="L9" s="3465">
        <v>6</v>
      </c>
      <c r="M9" s="3465">
        <v>2</v>
      </c>
      <c r="N9" s="3465">
        <v>2002</v>
      </c>
      <c r="O9" s="3465" t="s">
        <v>43</v>
      </c>
      <c r="P9" s="3465"/>
      <c r="Q9" s="3465" t="s">
        <v>43</v>
      </c>
      <c r="R9" s="3465">
        <v>0</v>
      </c>
      <c r="S9" s="3465">
        <v>41144</v>
      </c>
      <c r="T9" s="3465">
        <v>5851088</v>
      </c>
      <c r="U9" s="3467">
        <v>41095</v>
      </c>
    </row>
    <row r="10" spans="1:21" ht="34.799999999999997" hidden="1" thickBot="1">
      <c r="A10" s="3475">
        <v>110</v>
      </c>
      <c r="B10" s="3476" t="s">
        <v>3449</v>
      </c>
      <c r="C10" s="3475" t="s">
        <v>3537</v>
      </c>
      <c r="D10" s="3475" t="s">
        <v>3538</v>
      </c>
      <c r="E10" s="3475" t="s">
        <v>3452</v>
      </c>
      <c r="F10" s="3475" t="s">
        <v>3539</v>
      </c>
      <c r="G10" s="3475" t="s">
        <v>3516</v>
      </c>
      <c r="H10" s="3475" t="s">
        <v>3460</v>
      </c>
      <c r="I10" s="3475" t="s">
        <v>3456</v>
      </c>
      <c r="J10" s="3475">
        <v>235.94</v>
      </c>
      <c r="K10" s="3475" t="s">
        <v>3388</v>
      </c>
      <c r="L10" s="3475" t="s">
        <v>3540</v>
      </c>
      <c r="M10" s="3475">
        <v>1</v>
      </c>
      <c r="N10" s="3475" t="s">
        <v>43</v>
      </c>
      <c r="O10" s="3475">
        <v>2008</v>
      </c>
      <c r="P10" s="3475"/>
      <c r="Q10" s="3475" t="s">
        <v>43</v>
      </c>
      <c r="R10" s="3475">
        <v>0</v>
      </c>
      <c r="S10" s="3475">
        <v>50896</v>
      </c>
      <c r="T10" s="3475">
        <v>12008402</v>
      </c>
      <c r="U10" s="3477">
        <v>41177</v>
      </c>
    </row>
    <row r="11" spans="1:21" ht="34.799999999999997" hidden="1" thickBot="1">
      <c r="A11" s="3469">
        <v>59</v>
      </c>
      <c r="B11" s="3470" t="s">
        <v>3449</v>
      </c>
      <c r="C11" s="3469" t="s">
        <v>3487</v>
      </c>
      <c r="D11" s="3469" t="s">
        <v>3488</v>
      </c>
      <c r="E11" s="3469" t="s">
        <v>3452</v>
      </c>
      <c r="F11" s="3469" t="s">
        <v>3489</v>
      </c>
      <c r="G11" s="3469" t="s">
        <v>3483</v>
      </c>
      <c r="H11" s="3469" t="s">
        <v>3460</v>
      </c>
      <c r="I11" s="3469" t="s">
        <v>3456</v>
      </c>
      <c r="J11" s="3469">
        <v>90.31</v>
      </c>
      <c r="K11" s="3469" t="s">
        <v>3388</v>
      </c>
      <c r="L11" s="3469" t="s">
        <v>3485</v>
      </c>
      <c r="M11" s="3469">
        <v>2</v>
      </c>
      <c r="N11" s="3469">
        <v>2006</v>
      </c>
      <c r="O11" s="3469" t="s">
        <v>43</v>
      </c>
      <c r="P11" s="3469"/>
      <c r="Q11" s="3469" t="s">
        <v>43</v>
      </c>
      <c r="R11" s="3469">
        <v>32997</v>
      </c>
      <c r="S11" s="3469">
        <v>31863</v>
      </c>
      <c r="T11" s="3469">
        <v>2877548</v>
      </c>
      <c r="U11" s="3471">
        <v>41064</v>
      </c>
    </row>
    <row r="12" spans="1:21" ht="34.799999999999997" hidden="1" thickBot="1">
      <c r="A12" s="3475">
        <v>56</v>
      </c>
      <c r="B12" s="3476" t="s">
        <v>3449</v>
      </c>
      <c r="C12" s="3475" t="s">
        <v>3490</v>
      </c>
      <c r="D12" s="3475" t="s">
        <v>3491</v>
      </c>
      <c r="E12" s="3475" t="s">
        <v>3452</v>
      </c>
      <c r="F12" s="3475" t="s">
        <v>3492</v>
      </c>
      <c r="G12" s="3475" t="s">
        <v>3493</v>
      </c>
      <c r="H12" s="3475" t="s">
        <v>3460</v>
      </c>
      <c r="I12" s="3475" t="s">
        <v>3456</v>
      </c>
      <c r="J12" s="3475">
        <v>70.7</v>
      </c>
      <c r="K12" s="3475" t="s">
        <v>3388</v>
      </c>
      <c r="L12" s="3475" t="s">
        <v>3494</v>
      </c>
      <c r="M12" s="3475"/>
      <c r="N12" s="3475">
        <v>2005</v>
      </c>
      <c r="O12" s="3475" t="s">
        <v>43</v>
      </c>
      <c r="P12" s="3475" t="s">
        <v>43</v>
      </c>
      <c r="Q12" s="3475" t="s">
        <v>43</v>
      </c>
      <c r="R12" s="3475">
        <v>0</v>
      </c>
      <c r="S12" s="3475">
        <v>33238</v>
      </c>
      <c r="T12" s="3475">
        <v>2349927</v>
      </c>
      <c r="U12" s="3477">
        <v>41281</v>
      </c>
    </row>
    <row r="13" spans="1:21" ht="23.4" hidden="1" thickBot="1">
      <c r="A13" s="3469">
        <v>57</v>
      </c>
      <c r="B13" s="3470" t="s">
        <v>3449</v>
      </c>
      <c r="C13" s="3469" t="s">
        <v>3495</v>
      </c>
      <c r="D13" s="3469" t="s">
        <v>3496</v>
      </c>
      <c r="E13" s="3469" t="s">
        <v>3452</v>
      </c>
      <c r="F13" s="3469" t="s">
        <v>3497</v>
      </c>
      <c r="G13" s="3469" t="s">
        <v>3493</v>
      </c>
      <c r="H13" s="3469" t="s">
        <v>3469</v>
      </c>
      <c r="I13" s="3469" t="s">
        <v>3456</v>
      </c>
      <c r="J13" s="3469">
        <v>70.7</v>
      </c>
      <c r="K13" s="3469" t="s">
        <v>3388</v>
      </c>
      <c r="L13" s="3469" t="s">
        <v>3498</v>
      </c>
      <c r="M13" s="3469">
        <v>2</v>
      </c>
      <c r="N13" s="3469">
        <v>2005</v>
      </c>
      <c r="O13" s="3469" t="s">
        <v>43</v>
      </c>
      <c r="P13" s="3469"/>
      <c r="Q13" s="3469" t="s">
        <v>43</v>
      </c>
      <c r="R13" s="3469">
        <v>0</v>
      </c>
      <c r="S13" s="3469">
        <v>30391</v>
      </c>
      <c r="T13" s="3469">
        <v>2148644</v>
      </c>
      <c r="U13" s="3471">
        <v>41102</v>
      </c>
    </row>
    <row r="14" spans="1:21" ht="34.799999999999997" hidden="1" thickBot="1">
      <c r="A14" s="3472">
        <v>107</v>
      </c>
      <c r="B14" s="3473" t="s">
        <v>3449</v>
      </c>
      <c r="C14" s="3472" t="s">
        <v>3527</v>
      </c>
      <c r="D14" s="3472" t="s">
        <v>3528</v>
      </c>
      <c r="E14" s="3472" t="s">
        <v>3452</v>
      </c>
      <c r="F14" s="3472" t="s">
        <v>3529</v>
      </c>
      <c r="G14" s="3472" t="s">
        <v>3516</v>
      </c>
      <c r="H14" s="3472" t="s">
        <v>3465</v>
      </c>
      <c r="I14" s="3472" t="s">
        <v>3456</v>
      </c>
      <c r="J14" s="3472">
        <v>232.67</v>
      </c>
      <c r="K14" s="3472" t="s">
        <v>3388</v>
      </c>
      <c r="L14" s="3472" t="s">
        <v>3517</v>
      </c>
      <c r="M14" s="3472">
        <v>1</v>
      </c>
      <c r="N14" s="3472" t="s">
        <v>43</v>
      </c>
      <c r="O14" s="3472">
        <v>2008</v>
      </c>
      <c r="P14" s="3472"/>
      <c r="Q14" s="3472" t="s">
        <v>43</v>
      </c>
      <c r="R14" s="3472">
        <v>0</v>
      </c>
      <c r="S14" s="3472">
        <v>50705</v>
      </c>
      <c r="T14" s="3472">
        <v>11797532</v>
      </c>
      <c r="U14" s="3474">
        <v>41255</v>
      </c>
    </row>
    <row r="15" spans="1:21" ht="23.4" hidden="1" thickBot="1">
      <c r="A15" s="3469">
        <v>216</v>
      </c>
      <c r="B15" s="3470" t="s">
        <v>3449</v>
      </c>
      <c r="C15" s="3469" t="s">
        <v>3504</v>
      </c>
      <c r="D15" s="3469" t="s">
        <v>3505</v>
      </c>
      <c r="E15" s="3469" t="s">
        <v>3452</v>
      </c>
      <c r="F15" s="3469" t="s">
        <v>3506</v>
      </c>
      <c r="G15" s="3469" t="s">
        <v>3507</v>
      </c>
      <c r="H15" s="3469" t="s">
        <v>3460</v>
      </c>
      <c r="I15" s="3469" t="s">
        <v>3456</v>
      </c>
      <c r="J15" s="3469">
        <v>115.08</v>
      </c>
      <c r="K15" s="3469" t="s">
        <v>3388</v>
      </c>
      <c r="L15" s="3469" t="s">
        <v>3508</v>
      </c>
      <c r="M15" s="3469"/>
      <c r="N15" s="3469">
        <v>2004</v>
      </c>
      <c r="O15" s="3469" t="s">
        <v>43</v>
      </c>
      <c r="P15" s="3469" t="s">
        <v>43</v>
      </c>
      <c r="Q15" s="3469" t="s">
        <v>43</v>
      </c>
      <c r="R15" s="3469">
        <v>0</v>
      </c>
      <c r="S15" s="3469">
        <v>40131</v>
      </c>
      <c r="T15" s="3469">
        <v>4618275</v>
      </c>
      <c r="U15" s="3471">
        <v>41331</v>
      </c>
    </row>
    <row r="16" spans="1:21" ht="34.799999999999997" hidden="1" thickBot="1">
      <c r="A16" s="3462">
        <v>217</v>
      </c>
      <c r="B16" s="3463" t="s">
        <v>3449</v>
      </c>
      <c r="C16" s="3462" t="s">
        <v>3490</v>
      </c>
      <c r="D16" s="3462" t="s">
        <v>3491</v>
      </c>
      <c r="E16" s="3462" t="s">
        <v>3452</v>
      </c>
      <c r="F16" s="3462" t="s">
        <v>3492</v>
      </c>
      <c r="G16" s="3462" t="s">
        <v>3493</v>
      </c>
      <c r="H16" s="3462" t="s">
        <v>3460</v>
      </c>
      <c r="I16" s="3462" t="s">
        <v>3456</v>
      </c>
      <c r="J16" s="3462">
        <v>70.7</v>
      </c>
      <c r="K16" s="3462" t="s">
        <v>3388</v>
      </c>
      <c r="L16" s="3462" t="s">
        <v>3494</v>
      </c>
      <c r="M16" s="3462"/>
      <c r="N16" s="3462">
        <v>2005</v>
      </c>
      <c r="O16" s="3462" t="s">
        <v>43</v>
      </c>
      <c r="P16" s="3462" t="s">
        <v>43</v>
      </c>
      <c r="Q16" s="3462" t="s">
        <v>43</v>
      </c>
      <c r="R16" s="3462">
        <v>0</v>
      </c>
      <c r="S16" s="3462">
        <v>33238</v>
      </c>
      <c r="T16" s="3462">
        <v>2349927</v>
      </c>
      <c r="U16" s="3464">
        <v>41281</v>
      </c>
    </row>
    <row r="17" spans="1:21" ht="34.799999999999997" hidden="1" thickBot="1">
      <c r="A17" s="3465">
        <v>218</v>
      </c>
      <c r="B17" s="3466" t="s">
        <v>3449</v>
      </c>
      <c r="C17" s="3465" t="s">
        <v>3509</v>
      </c>
      <c r="D17" s="3465" t="s">
        <v>3510</v>
      </c>
      <c r="E17" s="3465" t="s">
        <v>3452</v>
      </c>
      <c r="F17" s="3465" t="s">
        <v>3511</v>
      </c>
      <c r="G17" s="3465" t="s">
        <v>3507</v>
      </c>
      <c r="H17" s="3465" t="s">
        <v>3465</v>
      </c>
      <c r="I17" s="3465" t="s">
        <v>3456</v>
      </c>
      <c r="J17" s="3465">
        <v>110.74</v>
      </c>
      <c r="K17" s="3465" t="s">
        <v>3388</v>
      </c>
      <c r="L17" s="3465" t="s">
        <v>3512</v>
      </c>
      <c r="M17" s="3465">
        <v>10</v>
      </c>
      <c r="N17" s="3465">
        <v>2004</v>
      </c>
      <c r="O17" s="3465" t="s">
        <v>43</v>
      </c>
      <c r="P17" s="3465"/>
      <c r="Q17" s="3465" t="s">
        <v>43</v>
      </c>
      <c r="R17" s="3465">
        <v>0</v>
      </c>
      <c r="S17" s="3465">
        <v>40788</v>
      </c>
      <c r="T17" s="3465">
        <v>4516863</v>
      </c>
      <c r="U17" s="3467">
        <v>41243</v>
      </c>
    </row>
    <row r="18" spans="1:21" ht="34.799999999999997" hidden="1" thickBot="1">
      <c r="A18" s="3472">
        <v>105</v>
      </c>
      <c r="B18" s="3473" t="s">
        <v>3449</v>
      </c>
      <c r="C18" s="3472" t="s">
        <v>3521</v>
      </c>
      <c r="D18" s="3472" t="s">
        <v>3522</v>
      </c>
      <c r="E18" s="3472" t="s">
        <v>3452</v>
      </c>
      <c r="F18" s="3472" t="s">
        <v>3523</v>
      </c>
      <c r="G18" s="3472" t="s">
        <v>3516</v>
      </c>
      <c r="H18" s="3472" t="s">
        <v>3460</v>
      </c>
      <c r="I18" s="3472" t="s">
        <v>3456</v>
      </c>
      <c r="J18" s="3472">
        <v>245.68</v>
      </c>
      <c r="K18" s="3472" t="s">
        <v>3388</v>
      </c>
      <c r="L18" s="3472" t="s">
        <v>3517</v>
      </c>
      <c r="M18" s="3472"/>
      <c r="N18" s="3472" t="s">
        <v>43</v>
      </c>
      <c r="O18" s="3472">
        <v>2008</v>
      </c>
      <c r="P18" s="3472" t="s">
        <v>43</v>
      </c>
      <c r="Q18" s="3472" t="s">
        <v>43</v>
      </c>
      <c r="R18" s="3472">
        <v>0</v>
      </c>
      <c r="S18" s="3472">
        <v>50666</v>
      </c>
      <c r="T18" s="3472">
        <v>12447623</v>
      </c>
      <c r="U18" s="3474">
        <v>41323</v>
      </c>
    </row>
    <row r="19" spans="1:21" ht="34.799999999999997" hidden="1" thickBot="1">
      <c r="A19" s="3462">
        <v>109</v>
      </c>
      <c r="B19" s="3463" t="s">
        <v>3449</v>
      </c>
      <c r="C19" s="3462" t="s">
        <v>3534</v>
      </c>
      <c r="D19" s="3462" t="s">
        <v>3535</v>
      </c>
      <c r="E19" s="3462" t="s">
        <v>3452</v>
      </c>
      <c r="F19" s="3462" t="s">
        <v>3536</v>
      </c>
      <c r="G19" s="3462" t="s">
        <v>3516</v>
      </c>
      <c r="H19" s="3462" t="s">
        <v>3460</v>
      </c>
      <c r="I19" s="3462" t="s">
        <v>3456</v>
      </c>
      <c r="J19" s="3462">
        <v>287.27</v>
      </c>
      <c r="K19" s="3462" t="s">
        <v>3388</v>
      </c>
      <c r="L19" s="3462" t="s">
        <v>3503</v>
      </c>
      <c r="M19" s="3462">
        <v>2</v>
      </c>
      <c r="N19" s="3462" t="s">
        <v>43</v>
      </c>
      <c r="O19" s="3462">
        <v>2008</v>
      </c>
      <c r="P19" s="3462"/>
      <c r="Q19" s="3462" t="s">
        <v>43</v>
      </c>
      <c r="R19" s="3462">
        <v>0</v>
      </c>
      <c r="S19" s="3462">
        <v>50627</v>
      </c>
      <c r="T19" s="3462">
        <v>14543618</v>
      </c>
      <c r="U19" s="3464">
        <v>41201</v>
      </c>
    </row>
    <row r="20" spans="1:21" ht="34.799999999999997" hidden="1" thickBot="1">
      <c r="A20" s="3462">
        <v>65</v>
      </c>
      <c r="B20" s="3463" t="s">
        <v>3449</v>
      </c>
      <c r="C20" s="3462" t="s">
        <v>3466</v>
      </c>
      <c r="D20" s="3462" t="s">
        <v>3467</v>
      </c>
      <c r="E20" s="3462" t="s">
        <v>3452</v>
      </c>
      <c r="F20" s="3462" t="s">
        <v>3468</v>
      </c>
      <c r="G20" s="3462" t="s">
        <v>3454</v>
      </c>
      <c r="H20" s="3462" t="s">
        <v>3469</v>
      </c>
      <c r="I20" s="3462" t="s">
        <v>3456</v>
      </c>
      <c r="J20" s="3462">
        <v>162.44999999999999</v>
      </c>
      <c r="K20" s="3462" t="s">
        <v>3388</v>
      </c>
      <c r="L20" s="3462">
        <v>5</v>
      </c>
      <c r="M20" s="3468">
        <v>46024</v>
      </c>
      <c r="N20" s="3462">
        <v>2002</v>
      </c>
      <c r="O20" s="3462" t="s">
        <v>43</v>
      </c>
      <c r="P20" s="3462"/>
      <c r="Q20" s="3462" t="s">
        <v>43</v>
      </c>
      <c r="R20" s="3462">
        <v>0</v>
      </c>
      <c r="S20" s="3462">
        <v>50217</v>
      </c>
      <c r="T20" s="3462">
        <v>8157752</v>
      </c>
      <c r="U20" s="3464">
        <v>41174</v>
      </c>
    </row>
    <row r="21" spans="1:21" ht="34.799999999999997" hidden="1" thickBot="1">
      <c r="A21" s="3462">
        <v>61</v>
      </c>
      <c r="B21" s="3463" t="s">
        <v>3449</v>
      </c>
      <c r="C21" s="3462" t="s">
        <v>3450</v>
      </c>
      <c r="D21" s="3462" t="s">
        <v>3451</v>
      </c>
      <c r="E21" s="3462" t="s">
        <v>3452</v>
      </c>
      <c r="F21" s="3462" t="s">
        <v>3453</v>
      </c>
      <c r="G21" s="3462" t="s">
        <v>3454</v>
      </c>
      <c r="H21" s="3462" t="s">
        <v>3455</v>
      </c>
      <c r="I21" s="3462" t="s">
        <v>3456</v>
      </c>
      <c r="J21" s="3462">
        <v>177.31</v>
      </c>
      <c r="K21" s="3462" t="s">
        <v>3388</v>
      </c>
      <c r="L21" s="3462">
        <v>6</v>
      </c>
      <c r="M21" s="3462"/>
      <c r="N21" s="3462">
        <v>2002</v>
      </c>
      <c r="O21" s="3462" t="s">
        <v>43</v>
      </c>
      <c r="P21" s="3462" t="s">
        <v>43</v>
      </c>
      <c r="Q21" s="3462" t="s">
        <v>43</v>
      </c>
      <c r="R21" s="3462">
        <v>0</v>
      </c>
      <c r="S21" s="3462">
        <v>47485</v>
      </c>
      <c r="T21" s="3462">
        <v>8419565</v>
      </c>
      <c r="U21" s="3464">
        <v>41366</v>
      </c>
    </row>
    <row r="22" spans="1:21" ht="34.799999999999997" hidden="1" thickBot="1">
      <c r="A22" s="3465">
        <v>58</v>
      </c>
      <c r="B22" s="3466" t="s">
        <v>3449</v>
      </c>
      <c r="C22" s="3465" t="s">
        <v>3480</v>
      </c>
      <c r="D22" s="3465" t="s">
        <v>3481</v>
      </c>
      <c r="E22" s="3465" t="s">
        <v>3452</v>
      </c>
      <c r="F22" s="3465" t="s">
        <v>3482</v>
      </c>
      <c r="G22" s="3465" t="s">
        <v>3483</v>
      </c>
      <c r="H22" s="3465" t="s">
        <v>3484</v>
      </c>
      <c r="I22" s="3465" t="s">
        <v>3456</v>
      </c>
      <c r="J22" s="3465">
        <v>179.28</v>
      </c>
      <c r="K22" s="3465" t="s">
        <v>3388</v>
      </c>
      <c r="L22" s="3465" t="s">
        <v>3485</v>
      </c>
      <c r="M22" s="3465">
        <v>10</v>
      </c>
      <c r="N22" s="3465">
        <v>2006</v>
      </c>
      <c r="O22" s="3465" t="s">
        <v>633</v>
      </c>
      <c r="P22" s="3465" t="s">
        <v>633</v>
      </c>
      <c r="Q22" s="3465" t="s">
        <v>633</v>
      </c>
      <c r="R22" s="3465">
        <v>0</v>
      </c>
      <c r="S22" s="3465">
        <v>46767</v>
      </c>
      <c r="T22" s="3465">
        <v>8384388</v>
      </c>
      <c r="U22" s="3465" t="s">
        <v>3486</v>
      </c>
    </row>
    <row r="23" spans="1:21" ht="34.799999999999997" thickBot="1">
      <c r="A23" s="3478">
        <v>108</v>
      </c>
      <c r="B23" s="3479" t="s">
        <v>3449</v>
      </c>
      <c r="C23" s="3478" t="s">
        <v>3530</v>
      </c>
      <c r="D23" s="3478" t="s">
        <v>3531</v>
      </c>
      <c r="E23" s="3478" t="s">
        <v>3452</v>
      </c>
      <c r="F23" s="3478" t="s">
        <v>3532</v>
      </c>
      <c r="G23" s="3478" t="s">
        <v>3516</v>
      </c>
      <c r="H23" s="3478" t="s">
        <v>3533</v>
      </c>
      <c r="I23" s="3478" t="s">
        <v>3456</v>
      </c>
      <c r="J23" s="3478">
        <v>267</v>
      </c>
      <c r="K23" s="3478" t="s">
        <v>3388</v>
      </c>
      <c r="L23" s="3478" t="s">
        <v>3503</v>
      </c>
      <c r="M23" s="3478">
        <v>5</v>
      </c>
      <c r="N23" s="3478" t="s">
        <v>43</v>
      </c>
      <c r="O23" s="3478">
        <v>2008</v>
      </c>
      <c r="P23" s="3478"/>
      <c r="Q23" s="3478" t="s">
        <v>43</v>
      </c>
      <c r="R23" s="3478">
        <v>0</v>
      </c>
      <c r="S23" s="3478">
        <v>45833</v>
      </c>
      <c r="T23" s="3478">
        <v>12237411</v>
      </c>
      <c r="U23" s="3480">
        <v>41205</v>
      </c>
    </row>
    <row r="24" spans="1:21" ht="34.799999999999997" hidden="1" thickBot="1">
      <c r="A24" s="3462">
        <v>111</v>
      </c>
      <c r="B24" s="3463" t="s">
        <v>3449</v>
      </c>
      <c r="C24" s="3462" t="s">
        <v>3541</v>
      </c>
      <c r="D24" s="3462" t="s">
        <v>3542</v>
      </c>
      <c r="E24" s="3462" t="s">
        <v>3452</v>
      </c>
      <c r="F24" s="3462" t="s">
        <v>3543</v>
      </c>
      <c r="G24" s="3462" t="s">
        <v>3516</v>
      </c>
      <c r="H24" s="3462" t="s">
        <v>3455</v>
      </c>
      <c r="I24" s="3462" t="s">
        <v>3456</v>
      </c>
      <c r="J24" s="3462">
        <v>267.17</v>
      </c>
      <c r="K24" s="3462" t="s">
        <v>3388</v>
      </c>
      <c r="L24" s="3462" t="s">
        <v>3517</v>
      </c>
      <c r="M24" s="3462">
        <v>9</v>
      </c>
      <c r="N24" s="3462" t="s">
        <v>43</v>
      </c>
      <c r="O24" s="3462">
        <v>2008</v>
      </c>
      <c r="P24" s="3462"/>
      <c r="Q24" s="3462" t="s">
        <v>43</v>
      </c>
      <c r="R24" s="3462">
        <v>0</v>
      </c>
      <c r="S24" s="3462">
        <v>45301</v>
      </c>
      <c r="T24" s="3462">
        <v>12103068</v>
      </c>
      <c r="U24" s="3464">
        <v>41060</v>
      </c>
    </row>
    <row r="25" spans="1:21" ht="34.799999999999997" hidden="1" thickBot="1">
      <c r="A25" s="3469">
        <v>112</v>
      </c>
      <c r="B25" s="3470" t="s">
        <v>3449</v>
      </c>
      <c r="C25" s="3469" t="s">
        <v>3544</v>
      </c>
      <c r="D25" s="3469" t="s">
        <v>3545</v>
      </c>
      <c r="E25" s="3469" t="s">
        <v>3452</v>
      </c>
      <c r="F25" s="3469" t="s">
        <v>3546</v>
      </c>
      <c r="G25" s="3469" t="s">
        <v>3516</v>
      </c>
      <c r="H25" s="3469" t="s">
        <v>3460</v>
      </c>
      <c r="I25" s="3469" t="s">
        <v>3456</v>
      </c>
      <c r="J25" s="3469">
        <v>202.41</v>
      </c>
      <c r="K25" s="3469" t="s">
        <v>3388</v>
      </c>
      <c r="L25" s="3469" t="s">
        <v>3517</v>
      </c>
      <c r="M25" s="3469">
        <v>4</v>
      </c>
      <c r="N25" s="3469" t="s">
        <v>43</v>
      </c>
      <c r="O25" s="3469">
        <v>2008</v>
      </c>
      <c r="P25" s="3469"/>
      <c r="Q25" s="3469" t="s">
        <v>43</v>
      </c>
      <c r="R25" s="3469">
        <v>0</v>
      </c>
      <c r="S25" s="3469">
        <v>44589</v>
      </c>
      <c r="T25" s="3469">
        <v>9025259</v>
      </c>
      <c r="U25" s="3471">
        <v>41054</v>
      </c>
    </row>
    <row r="26" spans="1:21" ht="34.799999999999997" hidden="1" thickBot="1">
      <c r="A26" s="3465">
        <v>114</v>
      </c>
      <c r="B26" s="3466" t="s">
        <v>3449</v>
      </c>
      <c r="C26" s="3465" t="s">
        <v>3550</v>
      </c>
      <c r="D26" s="3465" t="s">
        <v>3551</v>
      </c>
      <c r="E26" s="3465" t="s">
        <v>3452</v>
      </c>
      <c r="F26" s="3465" t="s">
        <v>3552</v>
      </c>
      <c r="G26" s="3465" t="s">
        <v>3516</v>
      </c>
      <c r="H26" s="3465" t="s">
        <v>3502</v>
      </c>
      <c r="I26" s="3465" t="s">
        <v>3456</v>
      </c>
      <c r="J26" s="3465">
        <v>170.02</v>
      </c>
      <c r="K26" s="3465" t="s">
        <v>3388</v>
      </c>
      <c r="L26" s="3465" t="s">
        <v>3503</v>
      </c>
      <c r="M26" s="3465">
        <v>2</v>
      </c>
      <c r="N26" s="3465" t="s">
        <v>43</v>
      </c>
      <c r="O26" s="3465">
        <v>2008</v>
      </c>
      <c r="P26" s="3465"/>
      <c r="Q26" s="3465" t="s">
        <v>43</v>
      </c>
      <c r="R26" s="3465">
        <v>0</v>
      </c>
      <c r="S26" s="3465">
        <v>44349</v>
      </c>
      <c r="T26" s="3465">
        <v>7540217</v>
      </c>
      <c r="U26" s="3467">
        <v>41025</v>
      </c>
    </row>
    <row r="27" spans="1:21" ht="34.799999999999997" hidden="1" thickBot="1">
      <c r="A27" s="3462">
        <v>113</v>
      </c>
      <c r="B27" s="3463" t="s">
        <v>3449</v>
      </c>
      <c r="C27" s="3462" t="s">
        <v>3547</v>
      </c>
      <c r="D27" s="3462" t="s">
        <v>3548</v>
      </c>
      <c r="E27" s="3462" t="s">
        <v>3452</v>
      </c>
      <c r="F27" s="3462" t="s">
        <v>3549</v>
      </c>
      <c r="G27" s="3462" t="s">
        <v>3516</v>
      </c>
      <c r="H27" s="3462" t="s">
        <v>3460</v>
      </c>
      <c r="I27" s="3462" t="s">
        <v>3456</v>
      </c>
      <c r="J27" s="3462">
        <v>237.9</v>
      </c>
      <c r="K27" s="3462" t="s">
        <v>3388</v>
      </c>
      <c r="L27" s="3462" t="s">
        <v>3517</v>
      </c>
      <c r="M27" s="3462">
        <v>6</v>
      </c>
      <c r="N27" s="3462" t="s">
        <v>43</v>
      </c>
      <c r="O27" s="3462">
        <v>2008</v>
      </c>
      <c r="P27" s="3462"/>
      <c r="Q27" s="3462" t="s">
        <v>43</v>
      </c>
      <c r="R27" s="3462">
        <v>0</v>
      </c>
      <c r="S27" s="3462">
        <v>43727</v>
      </c>
      <c r="T27" s="3462">
        <v>10402653</v>
      </c>
      <c r="U27" s="3464">
        <v>41027</v>
      </c>
    </row>
    <row r="28" spans="1:21" ht="34.799999999999997" hidden="1" thickBot="1">
      <c r="A28" s="3462">
        <v>115</v>
      </c>
      <c r="B28" s="3463" t="s">
        <v>3449</v>
      </c>
      <c r="C28" s="3462" t="s">
        <v>3553</v>
      </c>
      <c r="D28" s="3462" t="s">
        <v>3554</v>
      </c>
      <c r="E28" s="3462" t="s">
        <v>3452</v>
      </c>
      <c r="F28" s="3462" t="s">
        <v>3555</v>
      </c>
      <c r="G28" s="3462" t="s">
        <v>3516</v>
      </c>
      <c r="H28" s="3462" t="s">
        <v>3455</v>
      </c>
      <c r="I28" s="3462" t="s">
        <v>3456</v>
      </c>
      <c r="J28" s="3462">
        <v>203.79</v>
      </c>
      <c r="K28" s="3462" t="s">
        <v>3388</v>
      </c>
      <c r="L28" s="3462" t="s">
        <v>3517</v>
      </c>
      <c r="M28" s="3462">
        <v>8</v>
      </c>
      <c r="N28" s="3462" t="s">
        <v>43</v>
      </c>
      <c r="O28" s="3462">
        <v>2008</v>
      </c>
      <c r="P28" s="3462"/>
      <c r="Q28" s="3462" t="s">
        <v>43</v>
      </c>
      <c r="R28" s="3462">
        <v>0</v>
      </c>
      <c r="S28" s="3462">
        <v>43452</v>
      </c>
      <c r="T28" s="3462">
        <v>8855083</v>
      </c>
      <c r="U28" s="3464">
        <v>41014</v>
      </c>
    </row>
    <row r="29" spans="1:21" ht="23.4" hidden="1" thickBot="1">
      <c r="A29" s="3469">
        <v>67</v>
      </c>
      <c r="B29" s="3470" t="s">
        <v>3449</v>
      </c>
      <c r="C29" s="3469" t="s">
        <v>3473</v>
      </c>
      <c r="D29" s="3469" t="s">
        <v>3474</v>
      </c>
      <c r="E29" s="3469" t="s">
        <v>3452</v>
      </c>
      <c r="F29" s="3469" t="s">
        <v>3475</v>
      </c>
      <c r="G29" s="3469" t="s">
        <v>3454</v>
      </c>
      <c r="H29" s="3469" t="s">
        <v>3460</v>
      </c>
      <c r="I29" s="3469" t="s">
        <v>3456</v>
      </c>
      <c r="J29" s="3469">
        <v>208.27</v>
      </c>
      <c r="K29" s="3469" t="s">
        <v>3388</v>
      </c>
      <c r="L29" s="3469" t="s">
        <v>3476</v>
      </c>
      <c r="M29" s="3469">
        <v>3</v>
      </c>
      <c r="N29" s="3469">
        <v>2004</v>
      </c>
      <c r="O29" s="3469" t="s">
        <v>43</v>
      </c>
      <c r="P29" s="3469"/>
      <c r="Q29" s="3469" t="s">
        <v>43</v>
      </c>
      <c r="R29" s="3469">
        <v>0</v>
      </c>
      <c r="S29" s="3469">
        <v>43220</v>
      </c>
      <c r="T29" s="3469">
        <v>9001429</v>
      </c>
      <c r="U29" s="3471">
        <v>41145</v>
      </c>
    </row>
    <row r="30" spans="1:21" ht="34.799999999999997" thickBot="1">
      <c r="A30" s="3478">
        <v>215</v>
      </c>
      <c r="B30" s="3479" t="s">
        <v>3449</v>
      </c>
      <c r="C30" s="3478" t="s">
        <v>3571</v>
      </c>
      <c r="D30" s="3478" t="s">
        <v>3499</v>
      </c>
      <c r="E30" s="3478" t="s">
        <v>3452</v>
      </c>
      <c r="F30" s="3478" t="s">
        <v>3500</v>
      </c>
      <c r="G30" s="3478" t="s">
        <v>3501</v>
      </c>
      <c r="H30" s="3478" t="s">
        <v>3502</v>
      </c>
      <c r="I30" s="3478" t="s">
        <v>3456</v>
      </c>
      <c r="J30" s="3478">
        <v>187.18</v>
      </c>
      <c r="K30" s="3478" t="s">
        <v>3388</v>
      </c>
      <c r="L30" s="3478" t="s">
        <v>3503</v>
      </c>
      <c r="M30" s="3478"/>
      <c r="N30" s="3478" t="s">
        <v>43</v>
      </c>
      <c r="O30" s="3478">
        <v>2007</v>
      </c>
      <c r="P30" s="3478" t="s">
        <v>43</v>
      </c>
      <c r="Q30" s="3478" t="s">
        <v>43</v>
      </c>
      <c r="R30" s="3478">
        <v>0</v>
      </c>
      <c r="S30" s="3478">
        <v>42339</v>
      </c>
      <c r="T30" s="3478">
        <v>7925014</v>
      </c>
      <c r="U30" s="3480">
        <v>41333</v>
      </c>
    </row>
    <row r="31" spans="1:21" ht="34.799999999999997" hidden="1" thickBot="1">
      <c r="A31" s="3465">
        <v>116</v>
      </c>
      <c r="B31" s="3466" t="s">
        <v>3449</v>
      </c>
      <c r="C31" s="3465" t="s">
        <v>3556</v>
      </c>
      <c r="D31" s="3465" t="s">
        <v>3557</v>
      </c>
      <c r="E31" s="3465" t="s">
        <v>3452</v>
      </c>
      <c r="F31" s="3465" t="s">
        <v>3558</v>
      </c>
      <c r="G31" s="3465" t="s">
        <v>3516</v>
      </c>
      <c r="H31" s="3465" t="s">
        <v>3455</v>
      </c>
      <c r="I31" s="3465" t="s">
        <v>3456</v>
      </c>
      <c r="J31" s="3465">
        <v>237.9</v>
      </c>
      <c r="K31" s="3465" t="s">
        <v>3388</v>
      </c>
      <c r="L31" s="3465" t="s">
        <v>3517</v>
      </c>
      <c r="M31" s="3465">
        <v>4</v>
      </c>
      <c r="N31" s="3465" t="s">
        <v>43</v>
      </c>
      <c r="O31" s="3465">
        <v>2008</v>
      </c>
      <c r="P31" s="3465"/>
      <c r="Q31" s="3465" t="s">
        <v>43</v>
      </c>
      <c r="R31" s="3465">
        <v>0</v>
      </c>
      <c r="S31" s="3465">
        <v>42131</v>
      </c>
      <c r="T31" s="3465">
        <v>10022965</v>
      </c>
      <c r="U31" s="3467">
        <v>41014</v>
      </c>
    </row>
  </sheetData>
  <autoFilter ref="A1:U31">
    <filterColumn colId="8">
      <colorFilter dxfId="0"/>
    </filterColumn>
  </autoFilter>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G25" sqref="G25"/>
    </sheetView>
  </sheetViews>
  <sheetFormatPr defaultColWidth="8.88671875" defaultRowHeight="10.8"/>
  <cols>
    <col min="1" max="1" width="9.6640625" style="3226" customWidth="1"/>
    <col min="2" max="2" width="18.6640625" style="3226" customWidth="1"/>
    <col min="3" max="6" width="10.21875" style="3226" customWidth="1"/>
    <col min="7" max="7" width="10.44140625" style="3226" bestFit="1" customWidth="1"/>
    <col min="8" max="8" width="8.88671875" style="3222"/>
    <col min="9" max="9" width="13.33203125" style="3222" customWidth="1"/>
    <col min="10" max="13" width="13.33203125" style="3226" customWidth="1"/>
    <col min="14" max="14" width="18.21875" style="3226" customWidth="1"/>
    <col min="15" max="17" width="15.109375" style="3226" customWidth="1"/>
    <col min="18" max="20" width="11.44140625" style="3226" customWidth="1"/>
    <col min="21" max="16384" width="8.88671875" style="3226"/>
  </cols>
  <sheetData>
    <row r="1" spans="1:20" ht="11.4" thickBot="1">
      <c r="A1" s="3806" t="s">
        <v>2840</v>
      </c>
      <c r="B1" s="3806"/>
      <c r="C1" s="3806"/>
      <c r="D1" s="3806"/>
      <c r="E1" s="3806"/>
      <c r="F1" s="3806"/>
      <c r="G1" s="3807"/>
      <c r="I1" s="3223" t="s">
        <v>2841</v>
      </c>
      <c r="J1" s="3224" t="s">
        <v>2842</v>
      </c>
      <c r="K1" s="3224" t="s">
        <v>2843</v>
      </c>
      <c r="L1" s="3224" t="s">
        <v>2844</v>
      </c>
      <c r="M1" s="3224" t="s">
        <v>2845</v>
      </c>
      <c r="N1" s="3224" t="s">
        <v>2846</v>
      </c>
      <c r="O1" s="3224" t="s">
        <v>2847</v>
      </c>
      <c r="P1" s="3224" t="s">
        <v>2848</v>
      </c>
      <c r="Q1" s="3224" t="s">
        <v>2849</v>
      </c>
      <c r="R1" s="3224" t="s">
        <v>2850</v>
      </c>
      <c r="S1" s="3224" t="s">
        <v>2851</v>
      </c>
      <c r="T1" s="3225" t="s">
        <v>2852</v>
      </c>
    </row>
    <row r="2" spans="1:20" ht="11.4" thickBot="1">
      <c r="A2" s="3227" t="s">
        <v>2853</v>
      </c>
      <c r="B2" s="3227"/>
      <c r="C2" s="3227"/>
      <c r="D2" s="3227"/>
      <c r="E2" s="3227"/>
      <c r="F2" s="3227"/>
      <c r="G2" s="3228" t="s">
        <v>2854</v>
      </c>
      <c r="I2" s="3229" t="s">
        <v>2855</v>
      </c>
      <c r="J2" s="3229" t="s">
        <v>2856</v>
      </c>
      <c r="K2" s="3229" t="s">
        <v>2857</v>
      </c>
      <c r="L2" s="3229" t="s">
        <v>2858</v>
      </c>
      <c r="M2" s="3229" t="s">
        <v>2859</v>
      </c>
      <c r="N2" s="3229" t="s">
        <v>2860</v>
      </c>
      <c r="O2" s="3229" t="s">
        <v>2861</v>
      </c>
      <c r="P2" s="3229" t="s">
        <v>2862</v>
      </c>
      <c r="Q2" s="3229" t="s">
        <v>2863</v>
      </c>
      <c r="R2" s="3229" t="s">
        <v>2864</v>
      </c>
      <c r="S2" s="3229" t="s">
        <v>2865</v>
      </c>
      <c r="T2" s="3229" t="s">
        <v>2866</v>
      </c>
    </row>
    <row r="3" spans="1:20" s="3235" customFormat="1">
      <c r="A3" s="3804" t="s">
        <v>2867</v>
      </c>
      <c r="B3" s="3230"/>
      <c r="C3" s="3231" t="s">
        <v>2812</v>
      </c>
      <c r="D3" s="3231" t="s">
        <v>2868</v>
      </c>
      <c r="E3" s="3231" t="s">
        <v>2814</v>
      </c>
      <c r="F3" s="3231" t="s">
        <v>2869</v>
      </c>
      <c r="G3" s="3231" t="s">
        <v>2632</v>
      </c>
      <c r="H3" s="3232"/>
      <c r="I3" s="3233" t="s">
        <v>2870</v>
      </c>
      <c r="J3" s="3234" t="s">
        <v>128</v>
      </c>
      <c r="K3" s="3234" t="s">
        <v>129</v>
      </c>
      <c r="L3" s="3233" t="s">
        <v>130</v>
      </c>
      <c r="M3" s="3233" t="s">
        <v>131</v>
      </c>
      <c r="N3" s="3233" t="s">
        <v>132</v>
      </c>
      <c r="O3" s="3233" t="s">
        <v>133</v>
      </c>
      <c r="P3" s="3233" t="s">
        <v>134</v>
      </c>
      <c r="Q3" s="3233" t="s">
        <v>135</v>
      </c>
      <c r="R3" s="3233" t="s">
        <v>136</v>
      </c>
      <c r="S3" s="3233" t="s">
        <v>2871</v>
      </c>
      <c r="T3" s="3233" t="s">
        <v>2872</v>
      </c>
    </row>
    <row r="4" spans="1:20" s="3235" customFormat="1" ht="11.4" thickBot="1">
      <c r="A4" s="3805"/>
      <c r="B4" s="3236" t="s">
        <v>2873</v>
      </c>
      <c r="C4" s="3236" t="s">
        <v>2874</v>
      </c>
      <c r="D4" s="3236" t="s">
        <v>2874</v>
      </c>
      <c r="E4" s="3236" t="s">
        <v>2874</v>
      </c>
      <c r="F4" s="3237" t="s">
        <v>2874</v>
      </c>
      <c r="G4" s="3237" t="s">
        <v>2874</v>
      </c>
      <c r="H4" s="3232"/>
      <c r="I4" s="3234" t="s">
        <v>137</v>
      </c>
      <c r="J4" s="3234" t="s">
        <v>111</v>
      </c>
      <c r="K4" s="3234" t="s">
        <v>138</v>
      </c>
      <c r="L4" s="3233" t="s">
        <v>139</v>
      </c>
      <c r="M4" s="3233" t="s">
        <v>140</v>
      </c>
      <c r="N4" s="3233" t="s">
        <v>141</v>
      </c>
      <c r="O4" s="3233" t="s">
        <v>142</v>
      </c>
      <c r="P4" s="3233" t="s">
        <v>143</v>
      </c>
      <c r="Q4" s="3233" t="s">
        <v>2875</v>
      </c>
      <c r="R4" s="3233" t="s">
        <v>2876</v>
      </c>
      <c r="S4" s="3233" t="s">
        <v>2877</v>
      </c>
      <c r="T4" s="3233" t="s">
        <v>2878</v>
      </c>
    </row>
    <row r="5" spans="1:20">
      <c r="A5" s="3238" t="s">
        <v>2841</v>
      </c>
      <c r="B5" s="3229" t="s">
        <v>2855</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2879</v>
      </c>
      <c r="R5" s="3233" t="s">
        <v>2880</v>
      </c>
      <c r="S5" s="3233" t="s">
        <v>153</v>
      </c>
      <c r="T5" s="3233" t="s">
        <v>2881</v>
      </c>
    </row>
    <row r="6" spans="1:20" ht="11.4" thickBot="1">
      <c r="A6" s="3233" t="s">
        <v>144</v>
      </c>
      <c r="B6" s="3233" t="s">
        <v>2870</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2882</v>
      </c>
      <c r="Q6" s="3233" t="s">
        <v>2883</v>
      </c>
      <c r="R6" s="3233" t="s">
        <v>161</v>
      </c>
      <c r="S6" s="3233" t="s">
        <v>2884</v>
      </c>
      <c r="T6" s="3233" t="s">
        <v>2885</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2886</v>
      </c>
      <c r="Q7" s="3233" t="s">
        <v>2887</v>
      </c>
      <c r="R7" s="3233" t="s">
        <v>2888</v>
      </c>
      <c r="S7" s="3233" t="s">
        <v>2889</v>
      </c>
      <c r="T7" s="3233" t="s">
        <v>2890</v>
      </c>
    </row>
    <row r="8" spans="1:20" ht="11.4"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2891</v>
      </c>
      <c r="Q8" s="3233" t="s">
        <v>174</v>
      </c>
      <c r="R8" s="3233" t="s">
        <v>2892</v>
      </c>
      <c r="S8" s="3233" t="s">
        <v>2893</v>
      </c>
      <c r="T8" s="3240" t="s">
        <v>2894</v>
      </c>
    </row>
    <row r="9" spans="1:20" ht="11.4"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2895</v>
      </c>
      <c r="Q9" s="3233" t="s">
        <v>182</v>
      </c>
      <c r="R9" s="3233" t="s">
        <v>183</v>
      </c>
      <c r="S9" s="3233" t="s">
        <v>200</v>
      </c>
    </row>
    <row r="10" spans="1:20">
      <c r="A10" s="3238" t="s">
        <v>184</v>
      </c>
      <c r="B10" s="3229" t="s">
        <v>2856</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2896</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2897</v>
      </c>
      <c r="P11" s="3233" t="s">
        <v>191</v>
      </c>
      <c r="Q11" s="3233" t="s">
        <v>199</v>
      </c>
      <c r="R11" s="3233" t="s">
        <v>2898</v>
      </c>
      <c r="S11" s="3233" t="s">
        <v>2899</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2900</v>
      </c>
      <c r="P12" s="3233" t="s">
        <v>2901</v>
      </c>
      <c r="Q12" s="3233" t="s">
        <v>2902</v>
      </c>
      <c r="R12" s="3233" t="s">
        <v>2903</v>
      </c>
      <c r="S12" s="3233" t="s">
        <v>2904</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2905</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2906</v>
      </c>
      <c r="K14" s="3234" t="s">
        <v>215</v>
      </c>
      <c r="L14" s="3233" t="s">
        <v>216</v>
      </c>
      <c r="M14" s="3233" t="s">
        <v>217</v>
      </c>
      <c r="N14" s="3233" t="s">
        <v>218</v>
      </c>
      <c r="O14" s="3233" t="s">
        <v>240</v>
      </c>
      <c r="P14" s="3233" t="s">
        <v>213</v>
      </c>
      <c r="Q14" s="3233" t="s">
        <v>2907</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2908</v>
      </c>
      <c r="P15" s="3233" t="s">
        <v>2909</v>
      </c>
      <c r="Q15" s="3233" t="s">
        <v>242</v>
      </c>
      <c r="R15" s="3233" t="s">
        <v>2910</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2911</v>
      </c>
      <c r="P16" s="3233" t="s">
        <v>227</v>
      </c>
      <c r="Q16" s="3233" t="s">
        <v>250</v>
      </c>
      <c r="R16" s="3233" t="s">
        <v>207</v>
      </c>
      <c r="S16" s="3233" t="s">
        <v>2912</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2913</v>
      </c>
      <c r="P17" s="3233" t="s">
        <v>2914</v>
      </c>
      <c r="Q17" s="3233" t="s">
        <v>256</v>
      </c>
      <c r="R17" s="3233" t="s">
        <v>2915</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2916</v>
      </c>
      <c r="P18" s="3233" t="s">
        <v>241</v>
      </c>
      <c r="Q18" s="3233" t="s">
        <v>2917</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2918</v>
      </c>
      <c r="P19" s="3233" t="s">
        <v>249</v>
      </c>
      <c r="Q19" s="3233" t="s">
        <v>2919</v>
      </c>
      <c r="R19" s="3233" t="s">
        <v>265</v>
      </c>
      <c r="S19" s="3233" t="s">
        <v>2920</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2921</v>
      </c>
      <c r="P20" s="3233" t="s">
        <v>2922</v>
      </c>
      <c r="Q20" s="3233" t="s">
        <v>290</v>
      </c>
      <c r="R20" s="3233" t="s">
        <v>2923</v>
      </c>
      <c r="S20" s="3233" t="s">
        <v>277</v>
      </c>
    </row>
    <row r="21" spans="1:19" ht="14.25" customHeight="1" thickBot="1">
      <c r="A21" s="3233" t="s">
        <v>184</v>
      </c>
      <c r="B21" s="3234" t="s">
        <v>208</v>
      </c>
      <c r="C21" s="3233">
        <v>32370</v>
      </c>
      <c r="D21" s="3233">
        <v>26730</v>
      </c>
      <c r="E21" s="3233">
        <v>26640</v>
      </c>
      <c r="F21" s="3233"/>
      <c r="G21" s="3233">
        <v>19440</v>
      </c>
      <c r="J21" s="3240" t="s">
        <v>2924</v>
      </c>
      <c r="K21" s="3234" t="s">
        <v>267</v>
      </c>
      <c r="L21" s="3233" t="s">
        <v>268</v>
      </c>
      <c r="M21" s="3233" t="s">
        <v>269</v>
      </c>
      <c r="N21" s="3233" t="s">
        <v>270</v>
      </c>
      <c r="O21" s="3233" t="s">
        <v>264</v>
      </c>
      <c r="P21" s="3233" t="s">
        <v>283</v>
      </c>
      <c r="Q21" s="3233" t="s">
        <v>293</v>
      </c>
      <c r="R21" s="3233" t="s">
        <v>2925</v>
      </c>
      <c r="S21" s="3240" t="s">
        <v>2926</v>
      </c>
    </row>
    <row r="22" spans="1:19" ht="14.25" customHeight="1">
      <c r="A22" s="3233" t="s">
        <v>184</v>
      </c>
      <c r="B22" s="3234" t="s">
        <v>2906</v>
      </c>
      <c r="C22" s="3233">
        <v>29830</v>
      </c>
      <c r="D22" s="3233">
        <v>27600</v>
      </c>
      <c r="E22" s="3233">
        <v>28150</v>
      </c>
      <c r="F22" s="3233"/>
      <c r="G22" s="3233">
        <v>20080</v>
      </c>
      <c r="K22" s="3234" t="s">
        <v>2927</v>
      </c>
      <c r="L22" s="3233" t="s">
        <v>272</v>
      </c>
      <c r="M22" s="3233" t="s">
        <v>273</v>
      </c>
      <c r="N22" s="3233" t="s">
        <v>274</v>
      </c>
      <c r="O22" s="3233" t="s">
        <v>2928</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2929</v>
      </c>
      <c r="L23" s="3233" t="s">
        <v>278</v>
      </c>
      <c r="M23" s="3233" t="s">
        <v>279</v>
      </c>
      <c r="N23" s="3233" t="s">
        <v>2930</v>
      </c>
      <c r="O23" s="3233" t="s">
        <v>2931</v>
      </c>
      <c r="P23" s="3233" t="s">
        <v>289</v>
      </c>
      <c r="Q23" s="3233" t="s">
        <v>298</v>
      </c>
      <c r="R23" s="3233" t="s">
        <v>2932</v>
      </c>
    </row>
    <row r="24" spans="1:19" ht="14.25" customHeight="1">
      <c r="A24" s="3233" t="s">
        <v>184</v>
      </c>
      <c r="B24" s="3234" t="s">
        <v>230</v>
      </c>
      <c r="C24" s="3233">
        <v>27930</v>
      </c>
      <c r="D24" s="3233">
        <v>32260</v>
      </c>
      <c r="E24" s="3233">
        <v>32120</v>
      </c>
      <c r="F24" s="3233"/>
      <c r="G24" s="3233">
        <v>23470</v>
      </c>
      <c r="K24" s="3234" t="s">
        <v>2933</v>
      </c>
      <c r="L24" s="3233" t="s">
        <v>281</v>
      </c>
      <c r="M24" s="3233" t="s">
        <v>282</v>
      </c>
      <c r="N24" s="3233" t="s">
        <v>2934</v>
      </c>
      <c r="O24" s="3233" t="s">
        <v>285</v>
      </c>
      <c r="P24" s="3233" t="s">
        <v>2935</v>
      </c>
      <c r="Q24" s="3242" t="s">
        <v>2936</v>
      </c>
      <c r="R24" s="3233" t="s">
        <v>2937</v>
      </c>
    </row>
    <row r="25" spans="1:19" ht="14.25" customHeight="1">
      <c r="A25" s="3233" t="s">
        <v>184</v>
      </c>
      <c r="B25" s="3234" t="s">
        <v>235</v>
      </c>
      <c r="C25" s="3233">
        <v>32230</v>
      </c>
      <c r="D25" s="3233">
        <v>29640</v>
      </c>
      <c r="E25" s="3233">
        <v>29510</v>
      </c>
      <c r="F25" s="3233"/>
      <c r="G25" s="3233">
        <v>21560</v>
      </c>
      <c r="K25" s="3234" t="s">
        <v>2938</v>
      </c>
      <c r="L25" s="3233" t="s">
        <v>2939</v>
      </c>
      <c r="M25" s="3233" t="s">
        <v>284</v>
      </c>
      <c r="N25" s="3233" t="s">
        <v>292</v>
      </c>
      <c r="O25" s="3233" t="s">
        <v>288</v>
      </c>
      <c r="P25" s="3233" t="s">
        <v>275</v>
      </c>
      <c r="Q25" s="3242" t="s">
        <v>271</v>
      </c>
      <c r="R25" s="3233" t="s">
        <v>2940</v>
      </c>
    </row>
    <row r="26" spans="1:19" ht="14.25" customHeight="1" thickBot="1">
      <c r="A26" s="3233" t="s">
        <v>184</v>
      </c>
      <c r="B26" s="3234" t="s">
        <v>244</v>
      </c>
      <c r="C26" s="3233">
        <v>31690</v>
      </c>
      <c r="D26" s="3233">
        <v>27650</v>
      </c>
      <c r="E26" s="3233">
        <v>28200</v>
      </c>
      <c r="F26" s="3233"/>
      <c r="G26" s="3233">
        <v>20110</v>
      </c>
      <c r="K26" s="3239" t="s">
        <v>2941</v>
      </c>
      <c r="L26" s="3233" t="s">
        <v>2942</v>
      </c>
      <c r="M26" s="3233" t="s">
        <v>287</v>
      </c>
      <c r="N26" s="3233" t="s">
        <v>294</v>
      </c>
      <c r="O26" s="3233" t="s">
        <v>2943</v>
      </c>
      <c r="P26" s="3233" t="s">
        <v>2944</v>
      </c>
      <c r="Q26" s="3242" t="s">
        <v>276</v>
      </c>
      <c r="R26" s="3233" t="s">
        <v>2945</v>
      </c>
    </row>
    <row r="27" spans="1:19" ht="14.25" customHeight="1">
      <c r="A27" s="3233" t="s">
        <v>184</v>
      </c>
      <c r="B27" s="3234" t="s">
        <v>251</v>
      </c>
      <c r="C27" s="3233">
        <v>29610</v>
      </c>
      <c r="D27" s="3233">
        <v>27770</v>
      </c>
      <c r="E27" s="3233">
        <v>28300</v>
      </c>
      <c r="F27" s="3233"/>
      <c r="G27" s="3233">
        <v>20210</v>
      </c>
      <c r="L27" s="3233" t="s">
        <v>2946</v>
      </c>
      <c r="M27" s="3233" t="s">
        <v>291</v>
      </c>
      <c r="N27" s="3233" t="s">
        <v>297</v>
      </c>
      <c r="O27" s="3233" t="s">
        <v>2947</v>
      </c>
      <c r="P27" s="3233" t="s">
        <v>2948</v>
      </c>
      <c r="Q27" s="3233" t="s">
        <v>2949</v>
      </c>
      <c r="R27" s="3233" t="s">
        <v>2950</v>
      </c>
    </row>
    <row r="28" spans="1:19" ht="14.25" customHeight="1">
      <c r="A28" s="3233" t="s">
        <v>184</v>
      </c>
      <c r="B28" s="3234" t="s">
        <v>259</v>
      </c>
      <c r="C28" s="3233"/>
      <c r="D28" s="3233">
        <v>31520</v>
      </c>
      <c r="E28" s="3233">
        <v>31410</v>
      </c>
      <c r="F28" s="3233"/>
      <c r="G28" s="3233">
        <v>22940</v>
      </c>
      <c r="L28" s="3233" t="s">
        <v>2951</v>
      </c>
      <c r="M28" s="3233" t="s">
        <v>2952</v>
      </c>
      <c r="N28" s="3233" t="s">
        <v>2953</v>
      </c>
      <c r="O28" s="3233" t="s">
        <v>2954</v>
      </c>
      <c r="P28" s="3233" t="s">
        <v>2955</v>
      </c>
      <c r="Q28" s="3233" t="s">
        <v>2956</v>
      </c>
      <c r="R28" s="3233" t="s">
        <v>2957</v>
      </c>
    </row>
    <row r="29" spans="1:19" ht="14.25" customHeight="1" thickBot="1">
      <c r="A29" s="3241" t="s">
        <v>184</v>
      </c>
      <c r="B29" s="3243" t="s">
        <v>2924</v>
      </c>
      <c r="C29" s="3244"/>
      <c r="D29" s="3244">
        <v>29460</v>
      </c>
      <c r="E29" s="3244">
        <v>28640</v>
      </c>
      <c r="F29" s="3244"/>
      <c r="G29" s="3244">
        <v>21430</v>
      </c>
      <c r="L29" s="3233" t="s">
        <v>2958</v>
      </c>
      <c r="M29" s="3233" t="s">
        <v>2959</v>
      </c>
      <c r="N29" s="3233" t="s">
        <v>2960</v>
      </c>
      <c r="O29" s="3233" t="s">
        <v>2961</v>
      </c>
      <c r="P29" s="3233" t="s">
        <v>2962</v>
      </c>
      <c r="Q29" s="3233" t="s">
        <v>2963</v>
      </c>
      <c r="R29" s="3233" t="s">
        <v>280</v>
      </c>
    </row>
    <row r="30" spans="1:19" ht="14.25" customHeight="1">
      <c r="A30" s="3238" t="s">
        <v>296</v>
      </c>
      <c r="B30" s="3229" t="s">
        <v>2857</v>
      </c>
      <c r="C30" s="3229">
        <v>26890</v>
      </c>
      <c r="D30" s="3229">
        <v>26770</v>
      </c>
      <c r="E30" s="3229">
        <v>25700</v>
      </c>
      <c r="F30" s="3229">
        <v>8180</v>
      </c>
      <c r="G30" s="3245">
        <v>18740</v>
      </c>
      <c r="L30" s="3233" t="s">
        <v>2964</v>
      </c>
      <c r="M30" s="3233" t="s">
        <v>2965</v>
      </c>
      <c r="N30" s="3233" t="s">
        <v>2966</v>
      </c>
      <c r="O30" s="3233" t="s">
        <v>2967</v>
      </c>
      <c r="P30" s="3233" t="s">
        <v>2968</v>
      </c>
      <c r="Q30" s="3233" t="s">
        <v>2969</v>
      </c>
      <c r="R30" s="3233" t="s">
        <v>2970</v>
      </c>
    </row>
    <row r="31" spans="1:19" ht="14.25" customHeight="1">
      <c r="A31" s="3233" t="s">
        <v>296</v>
      </c>
      <c r="B31" s="3234" t="s">
        <v>129</v>
      </c>
      <c r="C31" s="3233">
        <v>24550</v>
      </c>
      <c r="D31" s="3233">
        <v>23990</v>
      </c>
      <c r="E31" s="3233">
        <v>22930</v>
      </c>
      <c r="F31" s="3233">
        <v>7470</v>
      </c>
      <c r="G31" s="3246">
        <v>16790</v>
      </c>
      <c r="L31" s="3233" t="s">
        <v>2971</v>
      </c>
      <c r="M31" s="3233" t="s">
        <v>2972</v>
      </c>
      <c r="N31" s="3233" t="s">
        <v>2973</v>
      </c>
      <c r="O31" s="3233" t="s">
        <v>2974</v>
      </c>
      <c r="P31" s="3233" t="s">
        <v>2975</v>
      </c>
      <c r="Q31" s="3233" t="s">
        <v>2976</v>
      </c>
      <c r="R31" s="3233" t="s">
        <v>2977</v>
      </c>
    </row>
    <row r="32" spans="1:19" ht="14.25" customHeight="1" thickBot="1">
      <c r="A32" s="3233" t="s">
        <v>296</v>
      </c>
      <c r="B32" s="3234" t="s">
        <v>138</v>
      </c>
      <c r="C32" s="3233">
        <v>27210</v>
      </c>
      <c r="D32" s="3233">
        <v>23240</v>
      </c>
      <c r="E32" s="3233">
        <v>23260</v>
      </c>
      <c r="F32" s="3233">
        <v>7130</v>
      </c>
      <c r="G32" s="3246">
        <v>16270</v>
      </c>
      <c r="L32" s="3233" t="s">
        <v>2978</v>
      </c>
      <c r="M32" s="3233" t="s">
        <v>2979</v>
      </c>
      <c r="N32" s="3233" t="s">
        <v>300</v>
      </c>
      <c r="O32" s="3233" t="s">
        <v>2980</v>
      </c>
      <c r="P32" s="3233" t="s">
        <v>299</v>
      </c>
      <c r="Q32" s="3233" t="s">
        <v>2981</v>
      </c>
      <c r="R32" s="3240" t="s">
        <v>2982</v>
      </c>
    </row>
    <row r="33" spans="1:17" ht="14.25" customHeight="1" thickBot="1">
      <c r="A33" s="3233" t="s">
        <v>296</v>
      </c>
      <c r="B33" s="3234" t="s">
        <v>147</v>
      </c>
      <c r="C33" s="3233">
        <v>27300</v>
      </c>
      <c r="D33" s="3233">
        <v>22980</v>
      </c>
      <c r="E33" s="3233">
        <v>24260</v>
      </c>
      <c r="F33" s="3233">
        <v>5860</v>
      </c>
      <c r="G33" s="3246">
        <v>16090</v>
      </c>
      <c r="L33" s="3240" t="s">
        <v>2983</v>
      </c>
      <c r="M33" s="3233" t="s">
        <v>2984</v>
      </c>
      <c r="N33" s="3233" t="s">
        <v>301</v>
      </c>
      <c r="O33" s="3233" t="s">
        <v>2985</v>
      </c>
      <c r="P33" s="3233" t="s">
        <v>2986</v>
      </c>
      <c r="Q33" s="3233" t="s">
        <v>2987</v>
      </c>
    </row>
    <row r="34" spans="1:17" ht="14.25" customHeight="1">
      <c r="A34" s="3233" t="s">
        <v>296</v>
      </c>
      <c r="B34" s="3234" t="s">
        <v>156</v>
      </c>
      <c r="C34" s="3233">
        <v>23090</v>
      </c>
      <c r="D34" s="3233">
        <v>23390</v>
      </c>
      <c r="E34" s="3233">
        <v>23510</v>
      </c>
      <c r="F34" s="3233">
        <v>6700</v>
      </c>
      <c r="G34" s="3246">
        <v>16370</v>
      </c>
      <c r="M34" s="3233" t="s">
        <v>2988</v>
      </c>
      <c r="N34" s="3233" t="s">
        <v>302</v>
      </c>
      <c r="O34" s="3233" t="s">
        <v>2989</v>
      </c>
      <c r="P34" s="3233" t="s">
        <v>2990</v>
      </c>
      <c r="Q34" s="3233" t="s">
        <v>2991</v>
      </c>
    </row>
    <row r="35" spans="1:17" ht="14.25" customHeight="1">
      <c r="A35" s="3233" t="s">
        <v>296</v>
      </c>
      <c r="B35" s="3234" t="s">
        <v>163</v>
      </c>
      <c r="C35" s="3233">
        <v>27270</v>
      </c>
      <c r="D35" s="3233">
        <v>24270</v>
      </c>
      <c r="E35" s="3233">
        <v>24950</v>
      </c>
      <c r="F35" s="3233">
        <v>6600</v>
      </c>
      <c r="G35" s="3246">
        <v>16990</v>
      </c>
      <c r="M35" s="3233" t="s">
        <v>2992</v>
      </c>
      <c r="N35" s="3233" t="s">
        <v>2993</v>
      </c>
      <c r="O35" s="3233" t="s">
        <v>2994</v>
      </c>
      <c r="P35" s="3233" t="s">
        <v>2995</v>
      </c>
      <c r="Q35" s="3233" t="s">
        <v>2996</v>
      </c>
    </row>
    <row r="36" spans="1:17" ht="14.25" customHeight="1">
      <c r="A36" s="3233" t="s">
        <v>296</v>
      </c>
      <c r="B36" s="3234" t="s">
        <v>169</v>
      </c>
      <c r="C36" s="3233">
        <v>23490</v>
      </c>
      <c r="D36" s="3233">
        <v>23020</v>
      </c>
      <c r="E36" s="3233">
        <v>25230</v>
      </c>
      <c r="F36" s="3233">
        <v>6780</v>
      </c>
      <c r="G36" s="3246">
        <v>16120</v>
      </c>
      <c r="M36" s="3233" t="s">
        <v>2997</v>
      </c>
      <c r="N36" s="3233" t="s">
        <v>2998</v>
      </c>
      <c r="O36" s="3233" t="s">
        <v>2999</v>
      </c>
      <c r="P36" s="3233" t="s">
        <v>3000</v>
      </c>
      <c r="Q36" s="3233" t="s">
        <v>3001</v>
      </c>
    </row>
    <row r="37" spans="1:17" ht="14.25" customHeight="1">
      <c r="A37" s="3233" t="s">
        <v>296</v>
      </c>
      <c r="B37" s="3234" t="s">
        <v>176</v>
      </c>
      <c r="C37" s="3233">
        <v>24380</v>
      </c>
      <c r="D37" s="3233">
        <v>22240</v>
      </c>
      <c r="E37" s="3233">
        <v>25980</v>
      </c>
      <c r="F37" s="3233">
        <v>8160</v>
      </c>
      <c r="G37" s="3246">
        <v>15570</v>
      </c>
      <c r="M37" s="3233" t="s">
        <v>3002</v>
      </c>
      <c r="N37" s="3233" t="s">
        <v>3003</v>
      </c>
      <c r="O37" s="3233" t="s">
        <v>3004</v>
      </c>
      <c r="P37" s="3233" t="s">
        <v>3005</v>
      </c>
      <c r="Q37" s="3233" t="s">
        <v>3006</v>
      </c>
    </row>
    <row r="38" spans="1:17" ht="14.25" customHeight="1">
      <c r="A38" s="3233" t="s">
        <v>296</v>
      </c>
      <c r="B38" s="3234" t="s">
        <v>186</v>
      </c>
      <c r="C38" s="3233">
        <v>23120</v>
      </c>
      <c r="D38" s="3233">
        <v>24630</v>
      </c>
      <c r="E38" s="3233">
        <v>25030</v>
      </c>
      <c r="F38" s="3233">
        <v>7710</v>
      </c>
      <c r="G38" s="3246">
        <v>17240</v>
      </c>
      <c r="M38" s="3233" t="s">
        <v>3007</v>
      </c>
      <c r="N38" s="3233" t="s">
        <v>3008</v>
      </c>
      <c r="O38" s="3233" t="s">
        <v>3009</v>
      </c>
      <c r="P38" s="3233" t="s">
        <v>3010</v>
      </c>
      <c r="Q38" s="3233" t="s">
        <v>3011</v>
      </c>
    </row>
    <row r="39" spans="1:17" ht="14.25" customHeight="1">
      <c r="A39" s="3233" t="s">
        <v>296</v>
      </c>
      <c r="B39" s="3234" t="s">
        <v>195</v>
      </c>
      <c r="C39" s="3233">
        <v>22330</v>
      </c>
      <c r="D39" s="3233">
        <v>21140</v>
      </c>
      <c r="E39" s="3233">
        <v>23970</v>
      </c>
      <c r="F39" s="3233">
        <v>7940</v>
      </c>
      <c r="G39" s="3246">
        <v>14790</v>
      </c>
      <c r="M39" s="3233" t="s">
        <v>3012</v>
      </c>
      <c r="N39" s="3233" t="s">
        <v>3013</v>
      </c>
      <c r="O39" s="3233" t="s">
        <v>3014</v>
      </c>
      <c r="P39" s="3233" t="s">
        <v>3015</v>
      </c>
      <c r="Q39" s="3233" t="s">
        <v>3016</v>
      </c>
    </row>
    <row r="40" spans="1:17" ht="14.25" customHeight="1">
      <c r="A40" s="3233" t="s">
        <v>296</v>
      </c>
      <c r="B40" s="3234" t="s">
        <v>202</v>
      </c>
      <c r="C40" s="3233">
        <v>24740</v>
      </c>
      <c r="D40" s="3233">
        <v>24690</v>
      </c>
      <c r="E40" s="3233">
        <v>22610</v>
      </c>
      <c r="F40" s="3233"/>
      <c r="G40" s="3246">
        <v>17280</v>
      </c>
      <c r="M40" s="3233" t="s">
        <v>3017</v>
      </c>
      <c r="N40" s="3233" t="s">
        <v>3018</v>
      </c>
      <c r="O40" s="3233" t="s">
        <v>3019</v>
      </c>
      <c r="P40" s="3233" t="s">
        <v>3020</v>
      </c>
      <c r="Q40" s="3233" t="s">
        <v>3021</v>
      </c>
    </row>
    <row r="41" spans="1:17" ht="14.25" customHeight="1" thickBot="1">
      <c r="A41" s="3233" t="s">
        <v>296</v>
      </c>
      <c r="B41" s="3234" t="s">
        <v>209</v>
      </c>
      <c r="C41" s="3233">
        <v>21220</v>
      </c>
      <c r="D41" s="3233">
        <v>21120</v>
      </c>
      <c r="E41" s="3233">
        <v>22590</v>
      </c>
      <c r="F41" s="3233"/>
      <c r="G41" s="3246">
        <v>14780</v>
      </c>
      <c r="M41" s="3240" t="s">
        <v>3022</v>
      </c>
      <c r="N41" s="3233" t="s">
        <v>3023</v>
      </c>
      <c r="O41" s="3233" t="s">
        <v>3024</v>
      </c>
      <c r="P41" s="3233" t="s">
        <v>3025</v>
      </c>
      <c r="Q41" s="3233" t="s">
        <v>3026</v>
      </c>
    </row>
    <row r="42" spans="1:17" ht="14.25" customHeight="1">
      <c r="A42" s="3233" t="s">
        <v>296</v>
      </c>
      <c r="B42" s="3234" t="s">
        <v>215</v>
      </c>
      <c r="C42" s="3233">
        <v>24800</v>
      </c>
      <c r="D42" s="3233">
        <v>22280</v>
      </c>
      <c r="E42" s="3233">
        <v>24350</v>
      </c>
      <c r="F42" s="3233"/>
      <c r="G42" s="3246">
        <v>15590</v>
      </c>
      <c r="N42" s="3233" t="s">
        <v>3027</v>
      </c>
      <c r="O42" s="3233" t="s">
        <v>3028</v>
      </c>
      <c r="P42" s="3233" t="s">
        <v>3029</v>
      </c>
      <c r="Q42" s="3233" t="s">
        <v>3030</v>
      </c>
    </row>
    <row r="43" spans="1:17" ht="14.25" customHeight="1">
      <c r="A43" s="3233" t="s">
        <v>3031</v>
      </c>
      <c r="B43" s="3234" t="s">
        <v>223</v>
      </c>
      <c r="C43" s="3233">
        <v>21210</v>
      </c>
      <c r="D43" s="3233">
        <v>21160</v>
      </c>
      <c r="E43" s="3233">
        <v>22650</v>
      </c>
      <c r="F43" s="3233"/>
      <c r="G43" s="3246">
        <v>14800</v>
      </c>
      <c r="N43" s="3233" t="s">
        <v>3032</v>
      </c>
      <c r="O43" s="3233" t="s">
        <v>3033</v>
      </c>
      <c r="P43" s="3233" t="s">
        <v>3034</v>
      </c>
      <c r="Q43" s="3233" t="s">
        <v>3035</v>
      </c>
    </row>
    <row r="44" spans="1:17" ht="14.25" customHeight="1" thickBot="1">
      <c r="A44" s="3233" t="s">
        <v>296</v>
      </c>
      <c r="B44" s="3234" t="s">
        <v>231</v>
      </c>
      <c r="C44" s="3233">
        <v>22370</v>
      </c>
      <c r="D44" s="3233">
        <v>23140</v>
      </c>
      <c r="E44" s="3233">
        <v>25090</v>
      </c>
      <c r="F44" s="3233"/>
      <c r="G44" s="3246">
        <v>16190</v>
      </c>
      <c r="N44" s="3233" t="s">
        <v>3036</v>
      </c>
      <c r="O44" s="3233" t="s">
        <v>3037</v>
      </c>
      <c r="P44" s="3240" t="s">
        <v>3038</v>
      </c>
      <c r="Q44" s="3233" t="s">
        <v>3039</v>
      </c>
    </row>
    <row r="45" spans="1:17" ht="14.25" customHeight="1" thickBot="1">
      <c r="A45" s="3233" t="s">
        <v>296</v>
      </c>
      <c r="B45" s="3234" t="s">
        <v>236</v>
      </c>
      <c r="C45" s="3233">
        <v>21240</v>
      </c>
      <c r="D45" s="3233">
        <v>27050</v>
      </c>
      <c r="E45" s="3233">
        <v>28000</v>
      </c>
      <c r="F45" s="3233"/>
      <c r="G45" s="3246">
        <v>18940</v>
      </c>
      <c r="N45" s="3233" t="s">
        <v>3040</v>
      </c>
      <c r="O45" s="3240" t="s">
        <v>3041</v>
      </c>
      <c r="Q45" s="3233" t="s">
        <v>3042</v>
      </c>
    </row>
    <row r="46" spans="1:17" ht="14.25" customHeight="1">
      <c r="A46" s="3233" t="s">
        <v>296</v>
      </c>
      <c r="B46" s="3234" t="s">
        <v>245</v>
      </c>
      <c r="C46" s="3233">
        <v>23240</v>
      </c>
      <c r="D46" s="3233">
        <v>23000</v>
      </c>
      <c r="E46" s="3233">
        <v>24980</v>
      </c>
      <c r="F46" s="3233"/>
      <c r="G46" s="3246">
        <v>16100</v>
      </c>
      <c r="N46" s="3233" t="s">
        <v>3043</v>
      </c>
      <c r="Q46" s="3233" t="s">
        <v>3044</v>
      </c>
    </row>
    <row r="47" spans="1:17" ht="14.25" customHeight="1">
      <c r="A47" s="3233" t="s">
        <v>296</v>
      </c>
      <c r="B47" s="3234" t="s">
        <v>252</v>
      </c>
      <c r="C47" s="3233">
        <v>27150</v>
      </c>
      <c r="D47" s="3233">
        <v>23310</v>
      </c>
      <c r="E47" s="3233">
        <v>25150</v>
      </c>
      <c r="F47" s="3233"/>
      <c r="G47" s="3246">
        <v>16310</v>
      </c>
      <c r="N47" s="3233" t="s">
        <v>3045</v>
      </c>
      <c r="Q47" s="3233" t="s">
        <v>3046</v>
      </c>
    </row>
    <row r="48" spans="1:17" ht="14.25" customHeight="1">
      <c r="A48" s="3233" t="s">
        <v>296</v>
      </c>
      <c r="B48" s="3234" t="s">
        <v>260</v>
      </c>
      <c r="C48" s="3233">
        <v>23100</v>
      </c>
      <c r="D48" s="3233">
        <v>21110</v>
      </c>
      <c r="E48" s="3233">
        <v>23080</v>
      </c>
      <c r="F48" s="3233"/>
      <c r="G48" s="3246">
        <v>14780</v>
      </c>
      <c r="N48" s="3233" t="s">
        <v>3047</v>
      </c>
      <c r="Q48" s="3233" t="s">
        <v>3048</v>
      </c>
    </row>
    <row r="49" spans="1:17" ht="14.25" customHeight="1">
      <c r="A49" s="3233" t="s">
        <v>296</v>
      </c>
      <c r="B49" s="3234" t="s">
        <v>267</v>
      </c>
      <c r="C49" s="3233">
        <v>23400</v>
      </c>
      <c r="D49" s="3233">
        <v>22920</v>
      </c>
      <c r="E49" s="3233">
        <v>24900</v>
      </c>
      <c r="F49" s="3233"/>
      <c r="G49" s="3246">
        <v>16040</v>
      </c>
      <c r="N49" s="3233" t="s">
        <v>3049</v>
      </c>
      <c r="Q49" s="3233" t="s">
        <v>3050</v>
      </c>
    </row>
    <row r="50" spans="1:17" ht="14.25" customHeight="1">
      <c r="A50" s="3233" t="s">
        <v>296</v>
      </c>
      <c r="B50" s="3234" t="s">
        <v>2927</v>
      </c>
      <c r="C50" s="3233">
        <v>21200</v>
      </c>
      <c r="D50" s="3233">
        <v>26540</v>
      </c>
      <c r="E50" s="3233">
        <v>23200</v>
      </c>
      <c r="F50" s="3233"/>
      <c r="G50" s="3246">
        <v>18580</v>
      </c>
      <c r="N50" s="3233" t="s">
        <v>3051</v>
      </c>
      <c r="Q50" s="3234" t="s">
        <v>3052</v>
      </c>
    </row>
    <row r="51" spans="1:17" ht="14.25" customHeight="1" thickBot="1">
      <c r="A51" s="3233" t="s">
        <v>296</v>
      </c>
      <c r="B51" s="3234" t="s">
        <v>2929</v>
      </c>
      <c r="C51" s="3233">
        <v>23000</v>
      </c>
      <c r="D51" s="3233">
        <v>23460</v>
      </c>
      <c r="E51" s="3233">
        <v>25290</v>
      </c>
      <c r="F51" s="3233"/>
      <c r="G51" s="3246">
        <v>16420</v>
      </c>
      <c r="N51" s="3233" t="s">
        <v>3053</v>
      </c>
      <c r="Q51" s="3240" t="s">
        <v>3054</v>
      </c>
    </row>
    <row r="52" spans="1:17" ht="14.25" customHeight="1">
      <c r="A52" s="3233" t="s">
        <v>296</v>
      </c>
      <c r="B52" s="3234" t="s">
        <v>2933</v>
      </c>
      <c r="C52" s="3233">
        <v>26660</v>
      </c>
      <c r="D52" s="3233">
        <v>22350</v>
      </c>
      <c r="E52" s="3233">
        <v>22920</v>
      </c>
      <c r="F52" s="3233"/>
      <c r="G52" s="3246">
        <v>15640</v>
      </c>
      <c r="N52" s="3233" t="s">
        <v>3055</v>
      </c>
    </row>
    <row r="53" spans="1:17" ht="14.25" customHeight="1">
      <c r="A53" s="3233" t="s">
        <v>296</v>
      </c>
      <c r="B53" s="3234" t="s">
        <v>2938</v>
      </c>
      <c r="C53" s="3233">
        <v>23580</v>
      </c>
      <c r="D53" s="3233"/>
      <c r="E53" s="3233">
        <v>24280</v>
      </c>
      <c r="F53" s="3233"/>
      <c r="G53" s="3246"/>
      <c r="N53" s="3233" t="s">
        <v>3056</v>
      </c>
    </row>
    <row r="54" spans="1:17" ht="14.25" customHeight="1" thickBot="1">
      <c r="A54" s="3247" t="s">
        <v>296</v>
      </c>
      <c r="B54" s="3239" t="s">
        <v>2941</v>
      </c>
      <c r="C54" s="3240">
        <v>22460</v>
      </c>
      <c r="D54" s="3240"/>
      <c r="E54" s="3240"/>
      <c r="F54" s="3240"/>
      <c r="G54" s="3248"/>
      <c r="N54" s="3233" t="s">
        <v>3057</v>
      </c>
    </row>
    <row r="55" spans="1:17" ht="14.25" customHeight="1">
      <c r="A55" s="3238" t="s">
        <v>110</v>
      </c>
      <c r="B55" s="3229" t="s">
        <v>3058</v>
      </c>
      <c r="C55" s="3233">
        <v>21970</v>
      </c>
      <c r="D55" s="3233">
        <v>20370</v>
      </c>
      <c r="E55" s="3233">
        <v>20180</v>
      </c>
      <c r="F55" s="3233">
        <v>5730</v>
      </c>
      <c r="G55" s="3233">
        <v>13820</v>
      </c>
      <c r="N55" s="3233" t="s">
        <v>3059</v>
      </c>
    </row>
    <row r="56" spans="1:17" ht="14.25" customHeight="1">
      <c r="A56" s="3233" t="s">
        <v>110</v>
      </c>
      <c r="B56" s="3233" t="s">
        <v>130</v>
      </c>
      <c r="C56" s="3233">
        <v>20470</v>
      </c>
      <c r="D56" s="3233">
        <v>20700</v>
      </c>
      <c r="E56" s="3233">
        <v>20380</v>
      </c>
      <c r="F56" s="3233">
        <v>4760</v>
      </c>
      <c r="G56" s="3233">
        <v>14050</v>
      </c>
      <c r="N56" s="3233" t="s">
        <v>3060</v>
      </c>
    </row>
    <row r="57" spans="1:17" ht="14.25" customHeight="1">
      <c r="A57" s="3233" t="s">
        <v>110</v>
      </c>
      <c r="B57" s="3233" t="s">
        <v>139</v>
      </c>
      <c r="C57" s="3233">
        <v>20790</v>
      </c>
      <c r="D57" s="3233">
        <v>21370</v>
      </c>
      <c r="E57" s="3233">
        <v>20890</v>
      </c>
      <c r="F57" s="3233">
        <v>4910</v>
      </c>
      <c r="G57" s="3233">
        <v>14510</v>
      </c>
      <c r="N57" s="3233" t="s">
        <v>3061</v>
      </c>
    </row>
    <row r="58" spans="1:17" ht="14.25" customHeight="1">
      <c r="A58" s="3233" t="s">
        <v>110</v>
      </c>
      <c r="B58" s="3233" t="s">
        <v>148</v>
      </c>
      <c r="C58" s="3233">
        <v>21460</v>
      </c>
      <c r="D58" s="3233">
        <v>20920</v>
      </c>
      <c r="E58" s="3233">
        <v>23410</v>
      </c>
      <c r="F58" s="3233">
        <v>5100</v>
      </c>
      <c r="G58" s="3233">
        <v>14200</v>
      </c>
      <c r="N58" s="3233" t="s">
        <v>3062</v>
      </c>
    </row>
    <row r="59" spans="1:17" ht="14.25" customHeight="1">
      <c r="A59" s="3233" t="s">
        <v>110</v>
      </c>
      <c r="B59" s="3233" t="s">
        <v>157</v>
      </c>
      <c r="C59" s="3233">
        <v>21000</v>
      </c>
      <c r="D59" s="3233">
        <v>21550</v>
      </c>
      <c r="E59" s="3233">
        <v>21150</v>
      </c>
      <c r="F59" s="3233">
        <v>5250</v>
      </c>
      <c r="G59" s="3233">
        <v>14630</v>
      </c>
      <c r="N59" s="3233" t="s">
        <v>3063</v>
      </c>
    </row>
    <row r="60" spans="1:17" ht="14.25" customHeight="1">
      <c r="A60" s="3233" t="s">
        <v>110</v>
      </c>
      <c r="B60" s="3233" t="s">
        <v>164</v>
      </c>
      <c r="C60" s="3233">
        <v>21640</v>
      </c>
      <c r="D60" s="3233">
        <v>21260</v>
      </c>
      <c r="E60" s="3233">
        <v>24040</v>
      </c>
      <c r="F60" s="3233">
        <v>4470</v>
      </c>
      <c r="G60" s="3233">
        <v>14430</v>
      </c>
      <c r="N60" s="3233" t="s">
        <v>3064</v>
      </c>
    </row>
    <row r="61" spans="1:17" ht="14.25" customHeight="1">
      <c r="A61" s="3233" t="s">
        <v>110</v>
      </c>
      <c r="B61" s="3233" t="s">
        <v>170</v>
      </c>
      <c r="C61" s="3233">
        <v>21330</v>
      </c>
      <c r="D61" s="3233">
        <v>18640</v>
      </c>
      <c r="E61" s="3233">
        <v>21190</v>
      </c>
      <c r="F61" s="3233">
        <v>4180</v>
      </c>
      <c r="G61" s="3233">
        <v>12650</v>
      </c>
      <c r="N61" s="3233" t="s">
        <v>3065</v>
      </c>
    </row>
    <row r="62" spans="1:17" ht="14.25" customHeight="1">
      <c r="A62" s="3233" t="s">
        <v>110</v>
      </c>
      <c r="B62" s="3233" t="s">
        <v>177</v>
      </c>
      <c r="C62" s="3233">
        <v>18710</v>
      </c>
      <c r="D62" s="3233">
        <v>19400</v>
      </c>
      <c r="E62" s="3233">
        <v>23750</v>
      </c>
      <c r="F62" s="3233">
        <v>4860</v>
      </c>
      <c r="G62" s="3233">
        <v>13170</v>
      </c>
      <c r="N62" s="3233" t="s">
        <v>3066</v>
      </c>
    </row>
    <row r="63" spans="1:17" ht="14.25" customHeight="1">
      <c r="A63" s="3233" t="s">
        <v>110</v>
      </c>
      <c r="B63" s="3233" t="s">
        <v>187</v>
      </c>
      <c r="C63" s="3233">
        <v>19480</v>
      </c>
      <c r="D63" s="3233">
        <v>16830</v>
      </c>
      <c r="E63" s="3233">
        <v>21590</v>
      </c>
      <c r="F63" s="3233">
        <v>4560</v>
      </c>
      <c r="G63" s="3233">
        <v>11420</v>
      </c>
      <c r="N63" s="3233" t="s">
        <v>3067</v>
      </c>
    </row>
    <row r="64" spans="1:17" ht="14.25" customHeight="1" thickBot="1">
      <c r="A64" s="3233" t="s">
        <v>110</v>
      </c>
      <c r="B64" s="3233" t="s">
        <v>196</v>
      </c>
      <c r="C64" s="3233">
        <v>16920</v>
      </c>
      <c r="D64" s="3233">
        <v>19190</v>
      </c>
      <c r="E64" s="3233">
        <v>22200</v>
      </c>
      <c r="F64" s="3233">
        <v>4390</v>
      </c>
      <c r="G64" s="3233">
        <v>13030</v>
      </c>
      <c r="N64" s="3240" t="s">
        <v>3068</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2939</v>
      </c>
      <c r="C78" s="3233">
        <v>19820</v>
      </c>
      <c r="D78" s="3233">
        <v>19780</v>
      </c>
      <c r="E78" s="3233">
        <v>18560</v>
      </c>
      <c r="F78" s="3233"/>
      <c r="G78" s="3233">
        <v>13430</v>
      </c>
    </row>
    <row r="79" spans="1:7" s="3222" customFormat="1" ht="14.25" customHeight="1">
      <c r="A79" s="3233" t="s">
        <v>110</v>
      </c>
      <c r="B79" s="3233" t="s">
        <v>2942</v>
      </c>
      <c r="C79" s="3233">
        <v>21660</v>
      </c>
      <c r="D79" s="3233">
        <v>18000</v>
      </c>
      <c r="E79" s="3233">
        <v>22570</v>
      </c>
      <c r="F79" s="3233"/>
      <c r="G79" s="3233">
        <v>12220</v>
      </c>
    </row>
    <row r="80" spans="1:7" s="3222" customFormat="1" ht="14.25" customHeight="1">
      <c r="A80" s="3233" t="s">
        <v>110</v>
      </c>
      <c r="B80" s="3233" t="s">
        <v>2946</v>
      </c>
      <c r="C80" s="3233">
        <v>19850</v>
      </c>
      <c r="D80" s="3233"/>
      <c r="E80" s="3233">
        <v>21700</v>
      </c>
      <c r="F80" s="3233"/>
      <c r="G80" s="3233"/>
    </row>
    <row r="81" spans="1:7" s="3222" customFormat="1" ht="14.25" customHeight="1">
      <c r="A81" s="3233" t="s">
        <v>110</v>
      </c>
      <c r="B81" s="3233" t="s">
        <v>2951</v>
      </c>
      <c r="C81" s="3233">
        <v>18080</v>
      </c>
      <c r="D81" s="3233"/>
      <c r="E81" s="3233">
        <v>20900</v>
      </c>
      <c r="F81" s="3233"/>
      <c r="G81" s="3233"/>
    </row>
    <row r="82" spans="1:7" s="3222" customFormat="1" ht="14.25" customHeight="1">
      <c r="A82" s="3233" t="s">
        <v>110</v>
      </c>
      <c r="B82" s="3233" t="s">
        <v>2958</v>
      </c>
      <c r="C82" s="3233"/>
      <c r="D82" s="3233"/>
      <c r="E82" s="3233">
        <v>20840</v>
      </c>
      <c r="F82" s="3233"/>
      <c r="G82" s="3233"/>
    </row>
    <row r="83" spans="1:7" s="3222" customFormat="1" ht="14.25" customHeight="1">
      <c r="A83" s="3233" t="s">
        <v>110</v>
      </c>
      <c r="B83" s="3233" t="s">
        <v>3069</v>
      </c>
      <c r="C83" s="3233"/>
      <c r="D83" s="3233"/>
      <c r="E83" s="3233"/>
      <c r="F83" s="3233">
        <v>4770</v>
      </c>
      <c r="G83" s="3233"/>
    </row>
    <row r="84" spans="1:7" s="3222" customFormat="1" ht="14.25" customHeight="1">
      <c r="A84" s="3233" t="s">
        <v>110</v>
      </c>
      <c r="B84" s="3233" t="s">
        <v>3070</v>
      </c>
      <c r="C84" s="3233"/>
      <c r="D84" s="3233"/>
      <c r="E84" s="3233"/>
      <c r="F84" s="3233">
        <v>4600</v>
      </c>
      <c r="G84" s="3233"/>
    </row>
    <row r="85" spans="1:7" s="3222" customFormat="1" ht="14.25" customHeight="1">
      <c r="A85" s="3233" t="s">
        <v>110</v>
      </c>
      <c r="B85" s="3233" t="s">
        <v>3071</v>
      </c>
      <c r="C85" s="3233"/>
      <c r="D85" s="3233"/>
      <c r="E85" s="3233"/>
      <c r="F85" s="3233">
        <v>4680</v>
      </c>
      <c r="G85" s="3233"/>
    </row>
    <row r="86" spans="1:7" s="3222" customFormat="1" ht="14.25" customHeight="1" thickBot="1">
      <c r="A86" s="3241" t="s">
        <v>110</v>
      </c>
      <c r="B86" s="3243" t="s">
        <v>3072</v>
      </c>
      <c r="C86" s="3244">
        <v>16610</v>
      </c>
      <c r="D86" s="3244">
        <v>16540</v>
      </c>
      <c r="E86" s="3244">
        <v>18850</v>
      </c>
      <c r="F86" s="3244"/>
      <c r="G86" s="3244">
        <v>11220</v>
      </c>
    </row>
    <row r="87" spans="1:7" s="3222" customFormat="1" ht="14.25" customHeight="1">
      <c r="A87" s="3238" t="s">
        <v>303</v>
      </c>
      <c r="B87" s="3229" t="s">
        <v>3073</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2952</v>
      </c>
      <c r="C113" s="3233">
        <v>15520</v>
      </c>
      <c r="D113" s="3233">
        <v>15450</v>
      </c>
      <c r="E113" s="3233"/>
      <c r="F113" s="3233"/>
      <c r="G113" s="3246">
        <v>10210</v>
      </c>
    </row>
    <row r="114" spans="1:7" s="3222" customFormat="1" ht="14.25" customHeight="1">
      <c r="A114" s="3233" t="s">
        <v>303</v>
      </c>
      <c r="B114" s="3233" t="s">
        <v>2959</v>
      </c>
      <c r="C114" s="3233">
        <v>13110</v>
      </c>
      <c r="D114" s="3233">
        <v>13050</v>
      </c>
      <c r="E114" s="3233"/>
      <c r="F114" s="3233"/>
      <c r="G114" s="3246">
        <v>8620</v>
      </c>
    </row>
    <row r="115" spans="1:7" s="3222" customFormat="1" ht="14.25" customHeight="1">
      <c r="A115" s="3233" t="s">
        <v>303</v>
      </c>
      <c r="B115" s="3233" t="s">
        <v>2965</v>
      </c>
      <c r="C115" s="3233">
        <v>12460</v>
      </c>
      <c r="D115" s="3233">
        <v>12390</v>
      </c>
      <c r="E115" s="3233"/>
      <c r="F115" s="3233"/>
      <c r="G115" s="3246">
        <v>8190</v>
      </c>
    </row>
    <row r="116" spans="1:7" s="3222" customFormat="1" ht="14.25" customHeight="1">
      <c r="A116" s="3233" t="s">
        <v>303</v>
      </c>
      <c r="B116" s="3233" t="s">
        <v>2972</v>
      </c>
      <c r="C116" s="3233">
        <v>13580</v>
      </c>
      <c r="D116" s="3233">
        <v>13520</v>
      </c>
      <c r="E116" s="3233"/>
      <c r="F116" s="3233"/>
      <c r="G116" s="3246">
        <v>8930</v>
      </c>
    </row>
    <row r="117" spans="1:7" s="3222" customFormat="1" ht="14.25" customHeight="1">
      <c r="A117" s="3233" t="s">
        <v>303</v>
      </c>
      <c r="B117" s="3233" t="s">
        <v>2979</v>
      </c>
      <c r="C117" s="3233">
        <v>17120</v>
      </c>
      <c r="D117" s="3233">
        <v>17040</v>
      </c>
      <c r="E117" s="3233"/>
      <c r="F117" s="3233"/>
      <c r="G117" s="3246">
        <v>11260</v>
      </c>
    </row>
    <row r="118" spans="1:7" s="3222" customFormat="1" ht="14.25" customHeight="1">
      <c r="A118" s="3233" t="s">
        <v>303</v>
      </c>
      <c r="B118" s="3233" t="s">
        <v>2984</v>
      </c>
      <c r="C118" s="3233">
        <v>14860</v>
      </c>
      <c r="D118" s="3233">
        <v>14790</v>
      </c>
      <c r="E118" s="3233"/>
      <c r="F118" s="3233"/>
      <c r="G118" s="3246">
        <v>9780</v>
      </c>
    </row>
    <row r="119" spans="1:7" s="3222" customFormat="1" ht="14.25" customHeight="1">
      <c r="A119" s="3233" t="s">
        <v>303</v>
      </c>
      <c r="B119" s="3233" t="s">
        <v>2988</v>
      </c>
      <c r="C119" s="3233">
        <v>16470</v>
      </c>
      <c r="D119" s="3233">
        <v>16400</v>
      </c>
      <c r="E119" s="3233"/>
      <c r="F119" s="3233"/>
      <c r="G119" s="3246">
        <v>10840</v>
      </c>
    </row>
    <row r="120" spans="1:7" s="3222" customFormat="1" ht="14.25" customHeight="1">
      <c r="A120" s="3233" t="s">
        <v>303</v>
      </c>
      <c r="B120" s="3233" t="s">
        <v>3074</v>
      </c>
      <c r="C120" s="3233"/>
      <c r="D120" s="3233"/>
      <c r="E120" s="3233"/>
      <c r="F120" s="3233">
        <v>4160</v>
      </c>
      <c r="G120" s="3246"/>
    </row>
    <row r="121" spans="1:7" s="3222" customFormat="1" ht="14.25" customHeight="1">
      <c r="A121" s="3233" t="s">
        <v>303</v>
      </c>
      <c r="B121" s="3233" t="s">
        <v>3075</v>
      </c>
      <c r="C121" s="3233"/>
      <c r="D121" s="3233"/>
      <c r="E121" s="3233"/>
      <c r="F121" s="3233">
        <v>3880</v>
      </c>
      <c r="G121" s="3246"/>
    </row>
    <row r="122" spans="1:7" s="3222" customFormat="1" ht="14.25" customHeight="1">
      <c r="A122" s="3233" t="s">
        <v>303</v>
      </c>
      <c r="B122" s="3233" t="s">
        <v>3076</v>
      </c>
      <c r="C122" s="3233">
        <v>13750</v>
      </c>
      <c r="D122" s="3233">
        <v>13680</v>
      </c>
      <c r="E122" s="3233">
        <v>16460</v>
      </c>
      <c r="F122" s="3233">
        <v>2880</v>
      </c>
      <c r="G122" s="3246">
        <v>9040</v>
      </c>
    </row>
    <row r="123" spans="1:7" s="3222" customFormat="1" ht="14.25" customHeight="1">
      <c r="A123" s="3233" t="s">
        <v>303</v>
      </c>
      <c r="B123" s="3233" t="s">
        <v>3007</v>
      </c>
      <c r="C123" s="3233">
        <v>13590</v>
      </c>
      <c r="D123" s="3233">
        <v>13520</v>
      </c>
      <c r="E123" s="3233">
        <v>16290</v>
      </c>
      <c r="F123" s="3233">
        <v>2790</v>
      </c>
      <c r="G123" s="3246">
        <v>8930</v>
      </c>
    </row>
    <row r="124" spans="1:7" s="3222" customFormat="1" ht="14.25" customHeight="1">
      <c r="A124" s="3233" t="s">
        <v>303</v>
      </c>
      <c r="B124" s="3233" t="s">
        <v>3012</v>
      </c>
      <c r="C124" s="3233">
        <v>13400</v>
      </c>
      <c r="D124" s="3233">
        <v>13320</v>
      </c>
      <c r="E124" s="3233">
        <v>16100</v>
      </c>
      <c r="F124" s="3233">
        <v>2320</v>
      </c>
      <c r="G124" s="3246">
        <v>8800</v>
      </c>
    </row>
    <row r="125" spans="1:7" s="3222" customFormat="1" ht="14.25" customHeight="1">
      <c r="A125" s="3233" t="s">
        <v>303</v>
      </c>
      <c r="B125" s="3233" t="s">
        <v>3017</v>
      </c>
      <c r="C125" s="3233">
        <v>12860</v>
      </c>
      <c r="D125" s="3233">
        <v>12790</v>
      </c>
      <c r="E125" s="3233">
        <v>15370</v>
      </c>
      <c r="F125" s="3233">
        <v>2280</v>
      </c>
      <c r="G125" s="3246">
        <v>8450</v>
      </c>
    </row>
    <row r="126" spans="1:7" s="3222" customFormat="1" ht="14.25" customHeight="1" thickBot="1">
      <c r="A126" s="3247" t="s">
        <v>303</v>
      </c>
      <c r="B126" s="3240" t="s">
        <v>3022</v>
      </c>
      <c r="C126" s="3240">
        <v>12960</v>
      </c>
      <c r="D126" s="3240">
        <v>12890</v>
      </c>
      <c r="E126" s="3240">
        <v>15530</v>
      </c>
      <c r="F126" s="3240">
        <v>2910</v>
      </c>
      <c r="G126" s="3248">
        <v>8520</v>
      </c>
    </row>
    <row r="127" spans="1:7" s="3222" customFormat="1" ht="14.25" customHeight="1">
      <c r="A127" s="3238" t="s">
        <v>29</v>
      </c>
      <c r="B127" s="3229" t="s">
        <v>3077</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3078</v>
      </c>
      <c r="C148" s="3233">
        <v>10370</v>
      </c>
      <c r="D148" s="3233">
        <v>10310</v>
      </c>
      <c r="E148" s="3233">
        <v>12970</v>
      </c>
      <c r="F148" s="3233"/>
      <c r="G148" s="3233">
        <v>6630</v>
      </c>
    </row>
    <row r="149" spans="1:7" s="3222" customFormat="1" ht="14.25" customHeight="1">
      <c r="A149" s="3233" t="s">
        <v>29</v>
      </c>
      <c r="B149" s="3233" t="s">
        <v>3079</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2953</v>
      </c>
      <c r="C153" s="3233">
        <v>10880</v>
      </c>
      <c r="D153" s="3233">
        <v>10820</v>
      </c>
      <c r="E153" s="3233">
        <v>13660</v>
      </c>
      <c r="F153" s="3233">
        <v>2260</v>
      </c>
      <c r="G153" s="3233">
        <v>6970</v>
      </c>
    </row>
    <row r="154" spans="1:7" s="3222" customFormat="1" ht="14.25" customHeight="1">
      <c r="A154" s="3233" t="s">
        <v>29</v>
      </c>
      <c r="B154" s="3233" t="s">
        <v>3080</v>
      </c>
      <c r="C154" s="3233">
        <v>11220</v>
      </c>
      <c r="D154" s="3233">
        <v>11160</v>
      </c>
      <c r="E154" s="3233">
        <v>14130</v>
      </c>
      <c r="F154" s="3233">
        <v>2230</v>
      </c>
      <c r="G154" s="3233">
        <v>7180</v>
      </c>
    </row>
    <row r="155" spans="1:7" s="3222" customFormat="1" ht="14.25" customHeight="1">
      <c r="A155" s="3233" t="s">
        <v>29</v>
      </c>
      <c r="B155" s="3233" t="s">
        <v>2966</v>
      </c>
      <c r="C155" s="3233">
        <v>10430</v>
      </c>
      <c r="D155" s="3233">
        <v>10380</v>
      </c>
      <c r="E155" s="3233">
        <v>13140</v>
      </c>
      <c r="F155" s="3233">
        <v>2080</v>
      </c>
      <c r="G155" s="3233">
        <v>6650</v>
      </c>
    </row>
    <row r="156" spans="1:7" s="3222" customFormat="1" ht="14.25" customHeight="1">
      <c r="A156" s="3233" t="s">
        <v>29</v>
      </c>
      <c r="B156" s="3233" t="s">
        <v>3081</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3082</v>
      </c>
      <c r="C160" s="3233">
        <v>11180</v>
      </c>
      <c r="D160" s="3233">
        <v>11140</v>
      </c>
      <c r="E160" s="3233">
        <v>14050</v>
      </c>
      <c r="F160" s="3233">
        <v>2270</v>
      </c>
      <c r="G160" s="3233">
        <v>7170</v>
      </c>
    </row>
    <row r="161" spans="1:7" s="3222" customFormat="1" ht="14.25" customHeight="1">
      <c r="A161" s="3233" t="s">
        <v>29</v>
      </c>
      <c r="B161" s="3233" t="s">
        <v>2998</v>
      </c>
      <c r="C161" s="3233">
        <v>11160</v>
      </c>
      <c r="D161" s="3233">
        <v>11120</v>
      </c>
      <c r="E161" s="3233">
        <v>14020</v>
      </c>
      <c r="F161" s="3233">
        <v>2150</v>
      </c>
      <c r="G161" s="3233">
        <v>7160</v>
      </c>
    </row>
    <row r="162" spans="1:7" s="3222" customFormat="1" ht="14.25" customHeight="1">
      <c r="A162" s="3233" t="s">
        <v>29</v>
      </c>
      <c r="B162" s="3233" t="s">
        <v>3003</v>
      </c>
      <c r="C162" s="3233">
        <v>9620</v>
      </c>
      <c r="D162" s="3233">
        <v>9570</v>
      </c>
      <c r="E162" s="3233">
        <v>12320</v>
      </c>
      <c r="F162" s="3233">
        <v>2010</v>
      </c>
      <c r="G162" s="3233">
        <v>6160</v>
      </c>
    </row>
    <row r="163" spans="1:7" s="3222" customFormat="1" ht="14.25" customHeight="1">
      <c r="A163" s="3233" t="s">
        <v>29</v>
      </c>
      <c r="B163" s="3233" t="s">
        <v>3008</v>
      </c>
      <c r="C163" s="3233">
        <v>9320</v>
      </c>
      <c r="D163" s="3233">
        <v>9270</v>
      </c>
      <c r="E163" s="3233">
        <v>11790</v>
      </c>
      <c r="F163" s="3233">
        <v>1920</v>
      </c>
      <c r="G163" s="3233">
        <v>5960</v>
      </c>
    </row>
    <row r="164" spans="1:7" s="3222" customFormat="1" ht="14.25" customHeight="1">
      <c r="A164" s="3233" t="s">
        <v>29</v>
      </c>
      <c r="B164" s="3233" t="s">
        <v>3013</v>
      </c>
      <c r="C164" s="3233"/>
      <c r="D164" s="3233"/>
      <c r="E164" s="3233"/>
      <c r="F164" s="3233">
        <v>1980</v>
      </c>
      <c r="G164" s="3233"/>
    </row>
    <row r="165" spans="1:7" s="3222" customFormat="1" ht="14.25" customHeight="1">
      <c r="A165" s="3233" t="s">
        <v>29</v>
      </c>
      <c r="B165" s="3233" t="s">
        <v>3083</v>
      </c>
      <c r="C165" s="3233">
        <v>11060</v>
      </c>
      <c r="D165" s="3233">
        <v>11030</v>
      </c>
      <c r="E165" s="3233">
        <v>13850</v>
      </c>
      <c r="F165" s="3233">
        <v>2170</v>
      </c>
      <c r="G165" s="3233">
        <v>7090</v>
      </c>
    </row>
    <row r="166" spans="1:7" s="3222" customFormat="1" ht="14.25" customHeight="1">
      <c r="A166" s="3233" t="s">
        <v>29</v>
      </c>
      <c r="B166" s="3233" t="s">
        <v>3023</v>
      </c>
      <c r="C166" s="3233">
        <v>11050</v>
      </c>
      <c r="D166" s="3233">
        <v>11010</v>
      </c>
      <c r="E166" s="3233">
        <v>13920</v>
      </c>
      <c r="F166" s="3233">
        <v>2140</v>
      </c>
      <c r="G166" s="3233">
        <v>7080</v>
      </c>
    </row>
    <row r="167" spans="1:7" s="3222" customFormat="1" ht="14.25" customHeight="1">
      <c r="A167" s="3233" t="s">
        <v>29</v>
      </c>
      <c r="B167" s="3233" t="s">
        <v>3027</v>
      </c>
      <c r="C167" s="3233">
        <v>10930</v>
      </c>
      <c r="D167" s="3233">
        <v>10890</v>
      </c>
      <c r="E167" s="3233">
        <v>13790</v>
      </c>
      <c r="F167" s="3233">
        <v>2010</v>
      </c>
      <c r="G167" s="3233">
        <v>7000</v>
      </c>
    </row>
    <row r="168" spans="1:7" s="3222" customFormat="1" ht="14.25" customHeight="1">
      <c r="A168" s="3233" t="s">
        <v>29</v>
      </c>
      <c r="B168" s="3233" t="s">
        <v>3032</v>
      </c>
      <c r="C168" s="3233">
        <v>9420</v>
      </c>
      <c r="D168" s="3233">
        <v>9380</v>
      </c>
      <c r="E168" s="3233">
        <v>11970</v>
      </c>
      <c r="F168" s="3233"/>
      <c r="G168" s="3233">
        <v>6040</v>
      </c>
    </row>
    <row r="169" spans="1:7" s="3222" customFormat="1" ht="14.25" customHeight="1">
      <c r="A169" s="3233" t="s">
        <v>29</v>
      </c>
      <c r="B169" s="3233" t="s">
        <v>3084</v>
      </c>
      <c r="C169" s="3233"/>
      <c r="D169" s="3233"/>
      <c r="E169" s="3233"/>
      <c r="F169" s="3233">
        <v>2880</v>
      </c>
      <c r="G169" s="3233"/>
    </row>
    <row r="170" spans="1:7" s="3222" customFormat="1" ht="14.25" customHeight="1">
      <c r="A170" s="3233" t="s">
        <v>29</v>
      </c>
      <c r="B170" s="3233" t="s">
        <v>3040</v>
      </c>
      <c r="C170" s="3233"/>
      <c r="D170" s="3233"/>
      <c r="E170" s="3233"/>
      <c r="F170" s="3233">
        <v>2880</v>
      </c>
      <c r="G170" s="3233"/>
    </row>
    <row r="171" spans="1:7" s="3222" customFormat="1" ht="14.25" customHeight="1">
      <c r="A171" s="3233" t="s">
        <v>29</v>
      </c>
      <c r="B171" s="3233" t="s">
        <v>3043</v>
      </c>
      <c r="C171" s="3233"/>
      <c r="D171" s="3233"/>
      <c r="E171" s="3233"/>
      <c r="F171" s="3233">
        <v>2880</v>
      </c>
      <c r="G171" s="3233"/>
    </row>
    <row r="172" spans="1:7" s="3222" customFormat="1" ht="14.25" customHeight="1">
      <c r="A172" s="3233" t="s">
        <v>29</v>
      </c>
      <c r="B172" s="3233" t="s">
        <v>3045</v>
      </c>
      <c r="C172" s="3233"/>
      <c r="D172" s="3233"/>
      <c r="E172" s="3233"/>
      <c r="F172" s="3233">
        <v>2880</v>
      </c>
      <c r="G172" s="3233"/>
    </row>
    <row r="173" spans="1:7" s="3222" customFormat="1" ht="14.25" customHeight="1">
      <c r="A173" s="3233" t="s">
        <v>29</v>
      </c>
      <c r="B173" s="3233" t="s">
        <v>3047</v>
      </c>
      <c r="C173" s="3233"/>
      <c r="D173" s="3233"/>
      <c r="E173" s="3233"/>
      <c r="F173" s="3233">
        <v>2150</v>
      </c>
      <c r="G173" s="3233"/>
    </row>
    <row r="174" spans="1:7" s="3222" customFormat="1" ht="14.25" customHeight="1">
      <c r="A174" s="3233" t="s">
        <v>29</v>
      </c>
      <c r="B174" s="3233" t="s">
        <v>3049</v>
      </c>
      <c r="C174" s="3233"/>
      <c r="D174" s="3233"/>
      <c r="E174" s="3233"/>
      <c r="F174" s="3233">
        <v>2030</v>
      </c>
      <c r="G174" s="3233"/>
    </row>
    <row r="175" spans="1:7" s="3222" customFormat="1" ht="14.25" customHeight="1">
      <c r="A175" s="3233" t="s">
        <v>29</v>
      </c>
      <c r="B175" s="3233" t="s">
        <v>3051</v>
      </c>
      <c r="C175" s="3233"/>
      <c r="D175" s="3233"/>
      <c r="E175" s="3233"/>
      <c r="F175" s="3233">
        <v>2780</v>
      </c>
      <c r="G175" s="3233"/>
    </row>
    <row r="176" spans="1:7" s="3222" customFormat="1" ht="14.25" customHeight="1">
      <c r="A176" s="3233" t="s">
        <v>29</v>
      </c>
      <c r="B176" s="3233" t="s">
        <v>3053</v>
      </c>
      <c r="C176" s="3233"/>
      <c r="D176" s="3233"/>
      <c r="E176" s="3233"/>
      <c r="F176" s="3233">
        <v>2780</v>
      </c>
      <c r="G176" s="3233"/>
    </row>
    <row r="177" spans="1:7" s="3222" customFormat="1" ht="14.25" customHeight="1">
      <c r="A177" s="3233" t="s">
        <v>29</v>
      </c>
      <c r="B177" s="3233" t="s">
        <v>3085</v>
      </c>
      <c r="C177" s="3233"/>
      <c r="D177" s="3233"/>
      <c r="E177" s="3233"/>
      <c r="F177" s="3233">
        <v>2780</v>
      </c>
      <c r="G177" s="3233"/>
    </row>
    <row r="178" spans="1:7" s="3222" customFormat="1" ht="14.25" customHeight="1">
      <c r="A178" s="3233" t="s">
        <v>29</v>
      </c>
      <c r="B178" s="3233" t="s">
        <v>3086</v>
      </c>
      <c r="C178" s="3233"/>
      <c r="D178" s="3233"/>
      <c r="E178" s="3233"/>
      <c r="F178" s="3233">
        <v>2060</v>
      </c>
      <c r="G178" s="3233"/>
    </row>
    <row r="179" spans="1:7" s="3222" customFormat="1" ht="14.25" customHeight="1">
      <c r="A179" s="3233" t="s">
        <v>29</v>
      </c>
      <c r="B179" s="3233" t="s">
        <v>3087</v>
      </c>
      <c r="C179" s="3233"/>
      <c r="D179" s="3233"/>
      <c r="E179" s="3233"/>
      <c r="F179" s="3233">
        <v>2120</v>
      </c>
      <c r="G179" s="3233"/>
    </row>
    <row r="180" spans="1:7" s="3222" customFormat="1" ht="14.25" customHeight="1">
      <c r="A180" s="3233" t="s">
        <v>29</v>
      </c>
      <c r="B180" s="3233" t="s">
        <v>3059</v>
      </c>
      <c r="C180" s="3233"/>
      <c r="D180" s="3233"/>
      <c r="E180" s="3233"/>
      <c r="F180" s="3233">
        <v>2340</v>
      </c>
      <c r="G180" s="3233"/>
    </row>
    <row r="181" spans="1:7" s="3222" customFormat="1" ht="14.25" customHeight="1">
      <c r="A181" s="3233" t="s">
        <v>29</v>
      </c>
      <c r="B181" s="3233" t="s">
        <v>3060</v>
      </c>
      <c r="C181" s="3233"/>
      <c r="D181" s="3233"/>
      <c r="E181" s="3233"/>
      <c r="F181" s="3233">
        <v>2340</v>
      </c>
      <c r="G181" s="3233"/>
    </row>
    <row r="182" spans="1:7" s="3222" customFormat="1" ht="14.25" customHeight="1">
      <c r="A182" s="3233" t="s">
        <v>29</v>
      </c>
      <c r="B182" s="3233" t="s">
        <v>3061</v>
      </c>
      <c r="C182" s="3233"/>
      <c r="D182" s="3233"/>
      <c r="E182" s="3233"/>
      <c r="F182" s="3233">
        <v>2340</v>
      </c>
      <c r="G182" s="3233"/>
    </row>
    <row r="183" spans="1:7" s="3222" customFormat="1" ht="14.25" customHeight="1">
      <c r="A183" s="3233" t="s">
        <v>29</v>
      </c>
      <c r="B183" s="3233" t="s">
        <v>3062</v>
      </c>
      <c r="C183" s="3233"/>
      <c r="D183" s="3233"/>
      <c r="E183" s="3233"/>
      <c r="F183" s="3233">
        <v>2340</v>
      </c>
      <c r="G183" s="3233"/>
    </row>
    <row r="184" spans="1:7" s="3222" customFormat="1" ht="14.25" customHeight="1">
      <c r="A184" s="3233" t="s">
        <v>29</v>
      </c>
      <c r="B184" s="3233" t="s">
        <v>3063</v>
      </c>
      <c r="C184" s="3233"/>
      <c r="D184" s="3233"/>
      <c r="E184" s="3233"/>
      <c r="F184" s="3233">
        <v>2340</v>
      </c>
      <c r="G184" s="3233"/>
    </row>
    <row r="185" spans="1:7" s="3222" customFormat="1" ht="14.25" customHeight="1">
      <c r="A185" s="3233" t="s">
        <v>29</v>
      </c>
      <c r="B185" s="3233" t="s">
        <v>3064</v>
      </c>
      <c r="C185" s="3233"/>
      <c r="D185" s="3233"/>
      <c r="E185" s="3233"/>
      <c r="F185" s="3233">
        <v>2530</v>
      </c>
      <c r="G185" s="3233"/>
    </row>
    <row r="186" spans="1:7" s="3222" customFormat="1" ht="14.25" customHeight="1">
      <c r="A186" s="3233" t="s">
        <v>29</v>
      </c>
      <c r="B186" s="3233" t="s">
        <v>3065</v>
      </c>
      <c r="C186" s="3233"/>
      <c r="D186" s="3233"/>
      <c r="E186" s="3233"/>
      <c r="F186" s="3233">
        <v>2550</v>
      </c>
      <c r="G186" s="3233"/>
    </row>
    <row r="187" spans="1:7" s="3222" customFormat="1" ht="14.25" customHeight="1">
      <c r="A187" s="3233" t="s">
        <v>29</v>
      </c>
      <c r="B187" s="3233" t="s">
        <v>3066</v>
      </c>
      <c r="C187" s="3233"/>
      <c r="D187" s="3233"/>
      <c r="E187" s="3233"/>
      <c r="F187" s="3233">
        <v>2070</v>
      </c>
      <c r="G187" s="3233"/>
    </row>
    <row r="188" spans="1:7" s="3222" customFormat="1" ht="14.25" customHeight="1">
      <c r="A188" s="3233" t="s">
        <v>29</v>
      </c>
      <c r="B188" s="3233" t="s">
        <v>3067</v>
      </c>
      <c r="C188" s="3233"/>
      <c r="D188" s="3233"/>
      <c r="E188" s="3233"/>
      <c r="F188" s="3233">
        <v>2340</v>
      </c>
      <c r="G188" s="3233"/>
    </row>
    <row r="189" spans="1:7" s="3222" customFormat="1" ht="14.25" customHeight="1" thickBot="1">
      <c r="A189" s="3241" t="s">
        <v>29</v>
      </c>
      <c r="B189" s="3244" t="s">
        <v>3068</v>
      </c>
      <c r="C189" s="3244"/>
      <c r="D189" s="3244"/>
      <c r="E189" s="3244"/>
      <c r="F189" s="3244">
        <v>2050</v>
      </c>
      <c r="G189" s="3244"/>
    </row>
    <row r="190" spans="1:7" s="3222" customFormat="1" ht="14.25" customHeight="1">
      <c r="A190" s="3238" t="s">
        <v>304</v>
      </c>
      <c r="B190" s="3229" t="s">
        <v>3088</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3089</v>
      </c>
      <c r="C199" s="3233">
        <v>8690</v>
      </c>
      <c r="D199" s="3233">
        <v>8630</v>
      </c>
      <c r="E199" s="3233">
        <v>11350</v>
      </c>
      <c r="F199" s="3233">
        <v>1600</v>
      </c>
      <c r="G199" s="3246">
        <v>5450</v>
      </c>
    </row>
    <row r="200" spans="1:7" s="3222" customFormat="1" ht="14.25" customHeight="1">
      <c r="A200" s="3233" t="s">
        <v>304</v>
      </c>
      <c r="B200" s="3233" t="s">
        <v>2900</v>
      </c>
      <c r="C200" s="3233"/>
      <c r="D200" s="3233"/>
      <c r="E200" s="3233"/>
      <c r="F200" s="3233">
        <v>1510</v>
      </c>
      <c r="G200" s="3246"/>
    </row>
    <row r="201" spans="1:7" s="3222" customFormat="1" ht="14.25" customHeight="1">
      <c r="A201" s="3233" t="s">
        <v>304</v>
      </c>
      <c r="B201" s="3233" t="s">
        <v>3090</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3091</v>
      </c>
      <c r="C203" s="3233">
        <v>8130</v>
      </c>
      <c r="D203" s="3233">
        <v>8070</v>
      </c>
      <c r="E203" s="3233">
        <v>10820</v>
      </c>
      <c r="F203" s="3233">
        <v>1690</v>
      </c>
      <c r="G203" s="3246">
        <v>5100</v>
      </c>
    </row>
    <row r="204" spans="1:7" s="3222" customFormat="1" ht="14.25" customHeight="1">
      <c r="A204" s="3233" t="s">
        <v>304</v>
      </c>
      <c r="B204" s="3233" t="s">
        <v>2911</v>
      </c>
      <c r="C204" s="3233">
        <v>8350</v>
      </c>
      <c r="D204" s="3233">
        <v>8290</v>
      </c>
      <c r="E204" s="3233">
        <v>11080</v>
      </c>
      <c r="F204" s="3233">
        <v>1450</v>
      </c>
      <c r="G204" s="3246">
        <v>5240</v>
      </c>
    </row>
    <row r="205" spans="1:7" s="3222" customFormat="1" ht="14.25" customHeight="1">
      <c r="A205" s="3233" t="s">
        <v>304</v>
      </c>
      <c r="B205" s="3233" t="s">
        <v>2913</v>
      </c>
      <c r="C205" s="3233">
        <v>7190</v>
      </c>
      <c r="D205" s="3233">
        <v>7130</v>
      </c>
      <c r="E205" s="3233">
        <v>9490</v>
      </c>
      <c r="F205" s="3233">
        <v>1470</v>
      </c>
      <c r="G205" s="3246">
        <v>4510</v>
      </c>
    </row>
    <row r="206" spans="1:7" s="3222" customFormat="1" ht="14.25" customHeight="1">
      <c r="A206" s="3233" t="s">
        <v>304</v>
      </c>
      <c r="B206" s="3233" t="s">
        <v>2916</v>
      </c>
      <c r="C206" s="3233">
        <v>7000</v>
      </c>
      <c r="D206" s="3233">
        <v>6950</v>
      </c>
      <c r="E206" s="3233">
        <v>9170</v>
      </c>
      <c r="F206" s="3233">
        <v>1400</v>
      </c>
      <c r="G206" s="3246">
        <v>4380</v>
      </c>
    </row>
    <row r="207" spans="1:7" s="3222" customFormat="1" ht="14.25" customHeight="1">
      <c r="A207" s="3233" t="s">
        <v>304</v>
      </c>
      <c r="B207" s="3233" t="s">
        <v>2918</v>
      </c>
      <c r="C207" s="3233">
        <v>6950</v>
      </c>
      <c r="D207" s="3233">
        <v>6900</v>
      </c>
      <c r="E207" s="3233">
        <v>9110</v>
      </c>
      <c r="F207" s="3233">
        <v>1790</v>
      </c>
      <c r="G207" s="3246">
        <v>4360</v>
      </c>
    </row>
    <row r="208" spans="1:7" s="3222" customFormat="1" ht="14.25" customHeight="1">
      <c r="A208" s="3233" t="s">
        <v>304</v>
      </c>
      <c r="B208" s="3233" t="s">
        <v>3092</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2928</v>
      </c>
      <c r="C210" s="3233">
        <v>8710</v>
      </c>
      <c r="D210" s="3233">
        <v>8660</v>
      </c>
      <c r="E210" s="3233">
        <v>11440</v>
      </c>
      <c r="F210" s="3233">
        <v>1740</v>
      </c>
      <c r="G210" s="3246">
        <v>5470</v>
      </c>
    </row>
    <row r="211" spans="1:7" s="3222" customFormat="1" ht="14.25" customHeight="1">
      <c r="A211" s="3233" t="s">
        <v>304</v>
      </c>
      <c r="B211" s="3233" t="s">
        <v>3093</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3094</v>
      </c>
      <c r="C214" s="3233">
        <v>8090</v>
      </c>
      <c r="D214" s="3233">
        <v>8030</v>
      </c>
      <c r="E214" s="3233">
        <v>10780</v>
      </c>
      <c r="F214" s="3233">
        <v>1570</v>
      </c>
      <c r="G214" s="3246">
        <v>5070</v>
      </c>
    </row>
    <row r="215" spans="1:7" s="3222" customFormat="1" ht="14.25" customHeight="1">
      <c r="A215" s="3233" t="s">
        <v>304</v>
      </c>
      <c r="B215" s="3233" t="s">
        <v>3095</v>
      </c>
      <c r="C215" s="3233">
        <v>7950</v>
      </c>
      <c r="D215" s="3233">
        <v>7900</v>
      </c>
      <c r="E215" s="3233">
        <v>10560</v>
      </c>
      <c r="F215" s="3233">
        <v>1630</v>
      </c>
      <c r="G215" s="3246">
        <v>4990</v>
      </c>
    </row>
    <row r="216" spans="1:7" s="3222" customFormat="1" ht="14.25" customHeight="1">
      <c r="A216" s="3233" t="s">
        <v>304</v>
      </c>
      <c r="B216" s="3233" t="s">
        <v>3096</v>
      </c>
      <c r="C216" s="3233">
        <v>8490</v>
      </c>
      <c r="D216" s="3233">
        <v>8440</v>
      </c>
      <c r="E216" s="3233">
        <v>11260</v>
      </c>
      <c r="F216" s="3233">
        <v>1690</v>
      </c>
      <c r="G216" s="3246">
        <v>5330</v>
      </c>
    </row>
    <row r="217" spans="1:7" s="3222" customFormat="1" ht="14.25" customHeight="1">
      <c r="A217" s="3233" t="s">
        <v>304</v>
      </c>
      <c r="B217" s="3233" t="s">
        <v>2961</v>
      </c>
      <c r="C217" s="3233">
        <v>8200</v>
      </c>
      <c r="D217" s="3233">
        <v>8150</v>
      </c>
      <c r="E217" s="3233">
        <v>10910</v>
      </c>
      <c r="F217" s="3233">
        <v>1670</v>
      </c>
      <c r="G217" s="3246">
        <v>5150</v>
      </c>
    </row>
    <row r="218" spans="1:7" s="3222" customFormat="1" ht="14.25" customHeight="1">
      <c r="A218" s="3233" t="s">
        <v>304</v>
      </c>
      <c r="B218" s="3233" t="s">
        <v>3097</v>
      </c>
      <c r="C218" s="3233"/>
      <c r="D218" s="3233"/>
      <c r="E218" s="3233"/>
      <c r="F218" s="3233">
        <v>2040</v>
      </c>
      <c r="G218" s="3246"/>
    </row>
    <row r="219" spans="1:7" s="3222" customFormat="1" ht="14.25" customHeight="1">
      <c r="A219" s="3233" t="s">
        <v>304</v>
      </c>
      <c r="B219" s="3233" t="s">
        <v>3098</v>
      </c>
      <c r="C219" s="3233"/>
      <c r="D219" s="3233"/>
      <c r="E219" s="3233"/>
      <c r="F219" s="3233">
        <v>2040</v>
      </c>
      <c r="G219" s="3246"/>
    </row>
    <row r="220" spans="1:7" s="3222" customFormat="1" ht="14.25" customHeight="1">
      <c r="A220" s="3233" t="s">
        <v>304</v>
      </c>
      <c r="B220" s="3233" t="s">
        <v>3099</v>
      </c>
      <c r="C220" s="3233"/>
      <c r="D220" s="3233"/>
      <c r="E220" s="3233"/>
      <c r="F220" s="3233">
        <v>2040</v>
      </c>
      <c r="G220" s="3246"/>
    </row>
    <row r="221" spans="1:7" s="3222" customFormat="1" ht="14.25" customHeight="1">
      <c r="A221" s="3233" t="s">
        <v>304</v>
      </c>
      <c r="B221" s="3233" t="s">
        <v>3100</v>
      </c>
      <c r="C221" s="3233"/>
      <c r="D221" s="3233"/>
      <c r="E221" s="3233"/>
      <c r="F221" s="3233">
        <v>2040</v>
      </c>
      <c r="G221" s="3246"/>
    </row>
    <row r="222" spans="1:7" s="3222" customFormat="1" ht="14.25" customHeight="1">
      <c r="A222" s="3233" t="s">
        <v>304</v>
      </c>
      <c r="B222" s="3233" t="s">
        <v>3101</v>
      </c>
      <c r="C222" s="3233"/>
      <c r="D222" s="3233"/>
      <c r="E222" s="3233"/>
      <c r="F222" s="3233">
        <v>2040</v>
      </c>
      <c r="G222" s="3246"/>
    </row>
    <row r="223" spans="1:7" s="3222" customFormat="1" ht="14.25" customHeight="1">
      <c r="A223" s="3233" t="s">
        <v>304</v>
      </c>
      <c r="B223" s="3233" t="s">
        <v>3102</v>
      </c>
      <c r="C223" s="3233"/>
      <c r="D223" s="3233"/>
      <c r="E223" s="3233"/>
      <c r="F223" s="3233">
        <v>1930</v>
      </c>
      <c r="G223" s="3246"/>
    </row>
    <row r="224" spans="1:7" s="3222" customFormat="1" ht="14.25" customHeight="1">
      <c r="A224" s="3233" t="s">
        <v>304</v>
      </c>
      <c r="B224" s="3233" t="s">
        <v>3103</v>
      </c>
      <c r="C224" s="3233"/>
      <c r="D224" s="3233"/>
      <c r="E224" s="3233"/>
      <c r="F224" s="3233">
        <v>1930</v>
      </c>
      <c r="G224" s="3246"/>
    </row>
    <row r="225" spans="1:7" s="3222" customFormat="1" ht="14.25" customHeight="1">
      <c r="A225" s="3233" t="s">
        <v>304</v>
      </c>
      <c r="B225" s="3233" t="s">
        <v>3104</v>
      </c>
      <c r="C225" s="3233"/>
      <c r="D225" s="3233"/>
      <c r="E225" s="3233"/>
      <c r="F225" s="3233">
        <v>1930</v>
      </c>
      <c r="G225" s="3246"/>
    </row>
    <row r="226" spans="1:7" s="3222" customFormat="1" ht="14.25" customHeight="1">
      <c r="A226" s="3233" t="s">
        <v>304</v>
      </c>
      <c r="B226" s="3233" t="s">
        <v>3105</v>
      </c>
      <c r="C226" s="3233"/>
      <c r="D226" s="3233"/>
      <c r="E226" s="3233"/>
      <c r="F226" s="3233">
        <v>1700</v>
      </c>
      <c r="G226" s="3246"/>
    </row>
    <row r="227" spans="1:7" s="3222" customFormat="1" ht="14.25" customHeight="1">
      <c r="A227" s="3233" t="s">
        <v>304</v>
      </c>
      <c r="B227" s="3233" t="s">
        <v>3106</v>
      </c>
      <c r="C227" s="3233"/>
      <c r="D227" s="3233"/>
      <c r="E227" s="3233"/>
      <c r="F227" s="3233">
        <v>1520</v>
      </c>
      <c r="G227" s="3246"/>
    </row>
    <row r="228" spans="1:7" s="3222" customFormat="1" ht="14.25" customHeight="1">
      <c r="A228" s="3233" t="s">
        <v>304</v>
      </c>
      <c r="B228" s="3233" t="s">
        <v>3107</v>
      </c>
      <c r="C228" s="3233"/>
      <c r="D228" s="3233"/>
      <c r="E228" s="3233"/>
      <c r="F228" s="3233">
        <v>1520</v>
      </c>
      <c r="G228" s="3246"/>
    </row>
    <row r="229" spans="1:7" s="3222" customFormat="1" ht="14.25" customHeight="1">
      <c r="A229" s="3233" t="s">
        <v>304</v>
      </c>
      <c r="B229" s="3233" t="s">
        <v>3024</v>
      </c>
      <c r="C229" s="3233"/>
      <c r="D229" s="3233"/>
      <c r="E229" s="3233"/>
      <c r="F229" s="3233">
        <v>1520</v>
      </c>
      <c r="G229" s="3246"/>
    </row>
    <row r="230" spans="1:7" s="3222" customFormat="1" ht="14.25" customHeight="1">
      <c r="A230" s="3233" t="s">
        <v>304</v>
      </c>
      <c r="B230" s="3233" t="s">
        <v>3108</v>
      </c>
      <c r="C230" s="3233"/>
      <c r="D230" s="3233"/>
      <c r="E230" s="3233"/>
      <c r="F230" s="3233">
        <v>1820</v>
      </c>
      <c r="G230" s="3246"/>
    </row>
    <row r="231" spans="1:7" s="3222" customFormat="1" ht="14.25" customHeight="1">
      <c r="A231" s="3233" t="s">
        <v>304</v>
      </c>
      <c r="B231" s="3233" t="s">
        <v>3109</v>
      </c>
      <c r="C231" s="3233"/>
      <c r="D231" s="3233"/>
      <c r="E231" s="3233"/>
      <c r="F231" s="3233">
        <v>1760</v>
      </c>
      <c r="G231" s="3246"/>
    </row>
    <row r="232" spans="1:7" s="3222" customFormat="1" ht="14.25" customHeight="1">
      <c r="A232" s="3233" t="s">
        <v>304</v>
      </c>
      <c r="B232" s="3233" t="s">
        <v>3110</v>
      </c>
      <c r="C232" s="3233"/>
      <c r="D232" s="3233"/>
      <c r="E232" s="3233"/>
      <c r="F232" s="3233">
        <v>1840</v>
      </c>
      <c r="G232" s="3246"/>
    </row>
    <row r="233" spans="1:7" s="3222" customFormat="1" ht="14.25" customHeight="1" thickBot="1">
      <c r="A233" s="3247" t="s">
        <v>304</v>
      </c>
      <c r="B233" s="3240" t="s">
        <v>3041</v>
      </c>
      <c r="C233" s="3240"/>
      <c r="D233" s="3240"/>
      <c r="E233" s="3240"/>
      <c r="F233" s="3240">
        <v>1770</v>
      </c>
      <c r="G233" s="3248"/>
    </row>
    <row r="234" spans="1:7" s="3222" customFormat="1" ht="14.25" customHeight="1">
      <c r="A234" s="3238" t="s">
        <v>305</v>
      </c>
      <c r="B234" s="3229" t="s">
        <v>3111</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2882</v>
      </c>
      <c r="C238" s="3233">
        <v>6920</v>
      </c>
      <c r="D238" s="3233">
        <v>6890</v>
      </c>
      <c r="E238" s="3233">
        <v>8640</v>
      </c>
      <c r="F238" s="3233">
        <v>1310</v>
      </c>
      <c r="G238" s="3233">
        <v>4230</v>
      </c>
    </row>
    <row r="239" spans="1:7" s="3222" customFormat="1" ht="14.25" customHeight="1">
      <c r="A239" s="3233" t="s">
        <v>305</v>
      </c>
      <c r="B239" s="3233" t="s">
        <v>3112</v>
      </c>
      <c r="C239" s="3233">
        <v>6780</v>
      </c>
      <c r="D239" s="3233">
        <v>6750</v>
      </c>
      <c r="E239" s="3233">
        <v>8440</v>
      </c>
      <c r="F239" s="3233">
        <v>1160</v>
      </c>
      <c r="G239" s="3233">
        <v>4140</v>
      </c>
    </row>
    <row r="240" spans="1:7" s="3222" customFormat="1" ht="14.25" customHeight="1">
      <c r="A240" s="3233" t="s">
        <v>305</v>
      </c>
      <c r="B240" s="3233" t="s">
        <v>3113</v>
      </c>
      <c r="C240" s="3233">
        <v>5420</v>
      </c>
      <c r="D240" s="3233">
        <v>5380</v>
      </c>
      <c r="E240" s="3233">
        <v>6640</v>
      </c>
      <c r="F240" s="3233">
        <v>1020</v>
      </c>
      <c r="G240" s="3233">
        <v>3300</v>
      </c>
    </row>
    <row r="241" spans="1:7" s="3222" customFormat="1" ht="14.25" customHeight="1">
      <c r="A241" s="3233" t="s">
        <v>305</v>
      </c>
      <c r="B241" s="3233" t="s">
        <v>3114</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3115</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3116</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3117</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3118</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3119</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2944</v>
      </c>
      <c r="C258" s="3233">
        <v>6190</v>
      </c>
      <c r="D258" s="3233">
        <v>6160</v>
      </c>
      <c r="E258" s="3233">
        <v>7680</v>
      </c>
      <c r="F258" s="3233">
        <v>1170</v>
      </c>
      <c r="G258" s="3233">
        <v>3780</v>
      </c>
    </row>
    <row r="259" spans="1:7" s="3222" customFormat="1" ht="14.25" customHeight="1">
      <c r="A259" s="3233" t="s">
        <v>305</v>
      </c>
      <c r="B259" s="3233" t="s">
        <v>3120</v>
      </c>
      <c r="C259" s="3233">
        <v>7610</v>
      </c>
      <c r="D259" s="3233">
        <v>7570</v>
      </c>
      <c r="E259" s="3233">
        <v>9350</v>
      </c>
      <c r="F259" s="3233">
        <v>1350</v>
      </c>
      <c r="G259" s="3233">
        <v>4650</v>
      </c>
    </row>
    <row r="260" spans="1:7" s="3222" customFormat="1" ht="14.25" customHeight="1">
      <c r="A260" s="3233" t="s">
        <v>305</v>
      </c>
      <c r="B260" s="3233" t="s">
        <v>3121</v>
      </c>
      <c r="C260" s="3233">
        <v>6920</v>
      </c>
      <c r="D260" s="3233">
        <v>6880</v>
      </c>
      <c r="E260" s="3233">
        <v>8380</v>
      </c>
      <c r="F260" s="3233">
        <v>1160</v>
      </c>
      <c r="G260" s="3233">
        <v>4220</v>
      </c>
    </row>
    <row r="261" spans="1:7" s="3222" customFormat="1" ht="14.25" customHeight="1">
      <c r="A261" s="3233" t="s">
        <v>305</v>
      </c>
      <c r="B261" s="3233" t="s">
        <v>3122</v>
      </c>
      <c r="C261" s="3233">
        <v>6850</v>
      </c>
      <c r="D261" s="3233">
        <v>6810</v>
      </c>
      <c r="E261" s="3233">
        <v>8290</v>
      </c>
      <c r="F261" s="3233">
        <v>1130</v>
      </c>
      <c r="G261" s="3233">
        <v>4180</v>
      </c>
    </row>
    <row r="262" spans="1:7" s="3222" customFormat="1" ht="14.25" customHeight="1">
      <c r="A262" s="3233" t="s">
        <v>305</v>
      </c>
      <c r="B262" s="3233" t="s">
        <v>3123</v>
      </c>
      <c r="C262" s="3233">
        <v>5860</v>
      </c>
      <c r="D262" s="3233">
        <v>5820</v>
      </c>
      <c r="E262" s="3233">
        <v>7640</v>
      </c>
      <c r="F262" s="3233">
        <v>1070</v>
      </c>
      <c r="G262" s="3233">
        <v>3570</v>
      </c>
    </row>
    <row r="263" spans="1:7" s="3222" customFormat="1" ht="14.25" customHeight="1">
      <c r="A263" s="3233" t="s">
        <v>305</v>
      </c>
      <c r="B263" s="3233" t="s">
        <v>3124</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3125</v>
      </c>
      <c r="C265" s="3233"/>
      <c r="D265" s="3233"/>
      <c r="E265" s="3233"/>
      <c r="F265" s="3233">
        <v>1500</v>
      </c>
      <c r="G265" s="3233"/>
    </row>
    <row r="266" spans="1:7" s="3222" customFormat="1" ht="14.25" customHeight="1">
      <c r="A266" s="3233" t="s">
        <v>305</v>
      </c>
      <c r="B266" s="3233" t="s">
        <v>3126</v>
      </c>
      <c r="C266" s="3233"/>
      <c r="D266" s="3233"/>
      <c r="E266" s="3233"/>
      <c r="F266" s="3233">
        <v>1500</v>
      </c>
      <c r="G266" s="3233"/>
    </row>
    <row r="267" spans="1:7" s="3222" customFormat="1" ht="14.25" customHeight="1">
      <c r="A267" s="3233" t="s">
        <v>305</v>
      </c>
      <c r="B267" s="3233" t="s">
        <v>3127</v>
      </c>
      <c r="C267" s="3233"/>
      <c r="D267" s="3233"/>
      <c r="E267" s="3233"/>
      <c r="F267" s="3233">
        <v>1500</v>
      </c>
      <c r="G267" s="3233"/>
    </row>
    <row r="268" spans="1:7" s="3222" customFormat="1" ht="14.25" customHeight="1">
      <c r="A268" s="3233" t="s">
        <v>305</v>
      </c>
      <c r="B268" s="3233" t="s">
        <v>3128</v>
      </c>
      <c r="C268" s="3233"/>
      <c r="D268" s="3233"/>
      <c r="E268" s="3233"/>
      <c r="F268" s="3233">
        <v>1290</v>
      </c>
      <c r="G268" s="3233"/>
    </row>
    <row r="269" spans="1:7" s="3222" customFormat="1" ht="14.25" customHeight="1">
      <c r="A269" s="3233" t="s">
        <v>305</v>
      </c>
      <c r="B269" s="3233" t="s">
        <v>3129</v>
      </c>
      <c r="C269" s="3233"/>
      <c r="D269" s="3233"/>
      <c r="E269" s="3233"/>
      <c r="F269" s="3233">
        <v>1150</v>
      </c>
      <c r="G269" s="3233"/>
    </row>
    <row r="270" spans="1:7" s="3222" customFormat="1" ht="14.25" customHeight="1">
      <c r="A270" s="3233" t="s">
        <v>305</v>
      </c>
      <c r="B270" s="3233" t="s">
        <v>3130</v>
      </c>
      <c r="C270" s="3233"/>
      <c r="D270" s="3233"/>
      <c r="E270" s="3233"/>
      <c r="F270" s="3233">
        <v>1380</v>
      </c>
      <c r="G270" s="3233"/>
    </row>
    <row r="271" spans="1:7" s="3222" customFormat="1" ht="14.25" customHeight="1">
      <c r="A271" s="3233" t="s">
        <v>305</v>
      </c>
      <c r="B271" s="3233" t="s">
        <v>3131</v>
      </c>
      <c r="C271" s="3233"/>
      <c r="D271" s="3233"/>
      <c r="E271" s="3233"/>
      <c r="F271" s="3233">
        <v>1460</v>
      </c>
      <c r="G271" s="3233"/>
    </row>
    <row r="272" spans="1:7" s="3222" customFormat="1" ht="14.25" customHeight="1">
      <c r="A272" s="3233" t="s">
        <v>305</v>
      </c>
      <c r="B272" s="3233" t="s">
        <v>3132</v>
      </c>
      <c r="C272" s="3233"/>
      <c r="D272" s="3233"/>
      <c r="E272" s="3233"/>
      <c r="F272" s="3233">
        <v>1460</v>
      </c>
      <c r="G272" s="3233"/>
    </row>
    <row r="273" spans="1:7" s="3222" customFormat="1" ht="14.25" customHeight="1">
      <c r="A273" s="3233" t="s">
        <v>305</v>
      </c>
      <c r="B273" s="3233" t="s">
        <v>3025</v>
      </c>
      <c r="C273" s="3233"/>
      <c r="D273" s="3233"/>
      <c r="E273" s="3233"/>
      <c r="F273" s="3233">
        <v>1490</v>
      </c>
      <c r="G273" s="3233"/>
    </row>
    <row r="274" spans="1:7" s="3222" customFormat="1" ht="14.25" customHeight="1">
      <c r="A274" s="3233" t="s">
        <v>305</v>
      </c>
      <c r="B274" s="3233" t="s">
        <v>3133</v>
      </c>
      <c r="C274" s="3233"/>
      <c r="D274" s="3233"/>
      <c r="E274" s="3233"/>
      <c r="F274" s="3233">
        <v>1490</v>
      </c>
      <c r="G274" s="3233"/>
    </row>
    <row r="275" spans="1:7" s="3222" customFormat="1" ht="14.25" customHeight="1">
      <c r="A275" s="3233" t="s">
        <v>305</v>
      </c>
      <c r="B275" s="3233" t="s">
        <v>3134</v>
      </c>
      <c r="C275" s="3233"/>
      <c r="D275" s="3233"/>
      <c r="E275" s="3233"/>
      <c r="F275" s="3233">
        <v>1220</v>
      </c>
      <c r="G275" s="3233"/>
    </row>
    <row r="276" spans="1:7" s="3222" customFormat="1" ht="14.25" customHeight="1" thickBot="1">
      <c r="A276" s="3241" t="s">
        <v>305</v>
      </c>
      <c r="B276" s="3243" t="s">
        <v>3135</v>
      </c>
      <c r="C276" s="3244"/>
      <c r="D276" s="3244"/>
      <c r="E276" s="3244"/>
      <c r="F276" s="3244">
        <v>1380</v>
      </c>
      <c r="G276" s="3244"/>
    </row>
    <row r="277" spans="1:7" s="3222" customFormat="1" ht="14.25" customHeight="1">
      <c r="A277" s="3238" t="s">
        <v>306</v>
      </c>
      <c r="B277" s="3229" t="s">
        <v>3136</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3137</v>
      </c>
      <c r="C279" s="3233">
        <v>4760</v>
      </c>
      <c r="D279" s="3233">
        <v>4720</v>
      </c>
      <c r="E279" s="3233">
        <v>5540</v>
      </c>
      <c r="F279" s="3233">
        <v>810</v>
      </c>
      <c r="G279" s="3246">
        <v>2850</v>
      </c>
    </row>
    <row r="280" spans="1:7" s="3222" customFormat="1" ht="14.25" customHeight="1">
      <c r="A280" s="3233" t="s">
        <v>306</v>
      </c>
      <c r="B280" s="3233" t="s">
        <v>3138</v>
      </c>
      <c r="C280" s="3233">
        <v>4010</v>
      </c>
      <c r="D280" s="3233">
        <v>3950</v>
      </c>
      <c r="E280" s="3233">
        <v>4710</v>
      </c>
      <c r="F280" s="3233">
        <v>800</v>
      </c>
      <c r="G280" s="3246">
        <v>2390</v>
      </c>
    </row>
    <row r="281" spans="1:7" s="3222" customFormat="1" ht="14.25" customHeight="1">
      <c r="A281" s="3233" t="s">
        <v>306</v>
      </c>
      <c r="B281" s="3233" t="s">
        <v>3139</v>
      </c>
      <c r="C281" s="3233">
        <v>4480</v>
      </c>
      <c r="D281" s="3233">
        <v>4420</v>
      </c>
      <c r="E281" s="3233">
        <v>5230</v>
      </c>
      <c r="F281" s="3233">
        <v>870</v>
      </c>
      <c r="G281" s="3246">
        <v>2660</v>
      </c>
    </row>
    <row r="282" spans="1:7" s="3222" customFormat="1" ht="14.25" customHeight="1">
      <c r="A282" s="3233" t="s">
        <v>306</v>
      </c>
      <c r="B282" s="3233" t="s">
        <v>3140</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3141</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3142</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2917</v>
      </c>
      <c r="C293" s="3233">
        <v>5320</v>
      </c>
      <c r="D293" s="3233">
        <v>5270</v>
      </c>
      <c r="E293" s="3233">
        <v>6160</v>
      </c>
      <c r="F293" s="3233">
        <v>990</v>
      </c>
      <c r="G293" s="3246">
        <v>3170</v>
      </c>
    </row>
    <row r="294" spans="1:7" s="3222" customFormat="1" ht="14.25" customHeight="1">
      <c r="A294" s="3233" t="s">
        <v>306</v>
      </c>
      <c r="B294" s="3233" t="s">
        <v>3143</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2936</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3144</v>
      </c>
      <c r="C302" s="3233">
        <v>5520</v>
      </c>
      <c r="D302" s="3233">
        <v>5470</v>
      </c>
      <c r="E302" s="3233">
        <v>6410</v>
      </c>
      <c r="F302" s="3233">
        <v>950</v>
      </c>
      <c r="G302" s="3246">
        <v>3300</v>
      </c>
    </row>
    <row r="303" spans="1:7" s="3222" customFormat="1" ht="14.25" customHeight="1">
      <c r="A303" s="3233" t="s">
        <v>306</v>
      </c>
      <c r="B303" s="3233" t="s">
        <v>2956</v>
      </c>
      <c r="C303" s="3233">
        <v>5630</v>
      </c>
      <c r="D303" s="3233">
        <v>5590</v>
      </c>
      <c r="E303" s="3233">
        <v>6550</v>
      </c>
      <c r="F303" s="3233">
        <v>1010</v>
      </c>
      <c r="G303" s="3246">
        <v>3370</v>
      </c>
    </row>
    <row r="304" spans="1:7" s="3222" customFormat="1" ht="14.25" customHeight="1">
      <c r="A304" s="3233" t="s">
        <v>306</v>
      </c>
      <c r="B304" s="3233" t="s">
        <v>2963</v>
      </c>
      <c r="C304" s="3233">
        <v>5680</v>
      </c>
      <c r="D304" s="3233">
        <v>5620</v>
      </c>
      <c r="E304" s="3233">
        <v>6620</v>
      </c>
      <c r="F304" s="3233">
        <v>1050</v>
      </c>
      <c r="G304" s="3246">
        <v>3390</v>
      </c>
    </row>
    <row r="305" spans="1:7" s="3222" customFormat="1" ht="14.25" customHeight="1">
      <c r="A305" s="3233" t="s">
        <v>306</v>
      </c>
      <c r="B305" s="3233" t="s">
        <v>2969</v>
      </c>
      <c r="C305" s="3233">
        <v>5590</v>
      </c>
      <c r="D305" s="3233">
        <v>5530</v>
      </c>
      <c r="E305" s="3233">
        <v>6460</v>
      </c>
      <c r="F305" s="3233">
        <v>900</v>
      </c>
      <c r="G305" s="3246">
        <v>3340</v>
      </c>
    </row>
    <row r="306" spans="1:7" s="3222" customFormat="1" ht="14.25" customHeight="1">
      <c r="A306" s="3233" t="s">
        <v>306</v>
      </c>
      <c r="B306" s="3233" t="s">
        <v>3145</v>
      </c>
      <c r="C306" s="3233">
        <v>5560</v>
      </c>
      <c r="D306" s="3233">
        <v>5510</v>
      </c>
      <c r="E306" s="3233">
        <v>6440</v>
      </c>
      <c r="F306" s="3233">
        <v>900</v>
      </c>
      <c r="G306" s="3246">
        <v>3320</v>
      </c>
    </row>
    <row r="307" spans="1:7" s="3222" customFormat="1" ht="14.25" customHeight="1">
      <c r="A307" s="3233" t="s">
        <v>306</v>
      </c>
      <c r="B307" s="3233" t="s">
        <v>2981</v>
      </c>
      <c r="C307" s="3233">
        <v>5650</v>
      </c>
      <c r="D307" s="3233">
        <v>5600</v>
      </c>
      <c r="E307" s="3233">
        <v>6590</v>
      </c>
      <c r="F307" s="3233">
        <v>930</v>
      </c>
      <c r="G307" s="3246">
        <v>3380</v>
      </c>
    </row>
    <row r="308" spans="1:7" s="3222" customFormat="1" ht="14.25" customHeight="1">
      <c r="A308" s="3233" t="s">
        <v>306</v>
      </c>
      <c r="B308" s="3233" t="s">
        <v>3146</v>
      </c>
      <c r="C308" s="3233">
        <v>5620</v>
      </c>
      <c r="D308" s="3233">
        <v>5580</v>
      </c>
      <c r="E308" s="3233">
        <v>6540</v>
      </c>
      <c r="F308" s="3233">
        <v>910</v>
      </c>
      <c r="G308" s="3246">
        <v>3370</v>
      </c>
    </row>
    <row r="309" spans="1:7" s="3222" customFormat="1" ht="14.25" customHeight="1">
      <c r="A309" s="3233" t="s">
        <v>306</v>
      </c>
      <c r="B309" s="3233" t="s">
        <v>3147</v>
      </c>
      <c r="C309" s="3233">
        <v>5060</v>
      </c>
      <c r="D309" s="3233">
        <v>5020</v>
      </c>
      <c r="E309" s="3233">
        <v>6370</v>
      </c>
      <c r="F309" s="3233">
        <v>800</v>
      </c>
      <c r="G309" s="3246">
        <v>3020</v>
      </c>
    </row>
    <row r="310" spans="1:7" s="3222" customFormat="1" ht="14.25" customHeight="1">
      <c r="A310" s="3233" t="s">
        <v>306</v>
      </c>
      <c r="B310" s="3233" t="s">
        <v>2996</v>
      </c>
      <c r="C310" s="3233">
        <v>5150</v>
      </c>
      <c r="D310" s="3233">
        <v>5110</v>
      </c>
      <c r="E310" s="3233">
        <v>6500</v>
      </c>
      <c r="F310" s="3233">
        <v>880</v>
      </c>
      <c r="G310" s="3246">
        <v>3080</v>
      </c>
    </row>
    <row r="311" spans="1:7" s="3222" customFormat="1" ht="14.25" customHeight="1">
      <c r="A311" s="3233" t="s">
        <v>306</v>
      </c>
      <c r="B311" s="3233" t="s">
        <v>3148</v>
      </c>
      <c r="C311" s="3233">
        <v>4750</v>
      </c>
      <c r="D311" s="3233">
        <v>4710</v>
      </c>
      <c r="E311" s="3233">
        <v>5510</v>
      </c>
      <c r="F311" s="3233">
        <v>880</v>
      </c>
      <c r="G311" s="3246">
        <v>2840</v>
      </c>
    </row>
    <row r="312" spans="1:7" s="3222" customFormat="1" ht="14.25" customHeight="1">
      <c r="A312" s="3233" t="s">
        <v>306</v>
      </c>
      <c r="B312" s="3233" t="s">
        <v>3006</v>
      </c>
      <c r="C312" s="3233">
        <v>4690</v>
      </c>
      <c r="D312" s="3233">
        <v>4640</v>
      </c>
      <c r="E312" s="3233">
        <v>5420</v>
      </c>
      <c r="F312" s="3233">
        <v>800</v>
      </c>
      <c r="G312" s="3246">
        <v>2800</v>
      </c>
    </row>
    <row r="313" spans="1:7" s="3222" customFormat="1" ht="14.25" customHeight="1">
      <c r="A313" s="3233" t="s">
        <v>306</v>
      </c>
      <c r="B313" s="3233" t="s">
        <v>3011</v>
      </c>
      <c r="C313" s="3233">
        <v>4810</v>
      </c>
      <c r="D313" s="3233">
        <v>4760</v>
      </c>
      <c r="E313" s="3233">
        <v>5550</v>
      </c>
      <c r="F313" s="3233">
        <v>920</v>
      </c>
      <c r="G313" s="3246">
        <v>2870</v>
      </c>
    </row>
    <row r="314" spans="1:7" s="3222" customFormat="1" ht="14.25" customHeight="1">
      <c r="A314" s="3233" t="s">
        <v>306</v>
      </c>
      <c r="B314" s="3233" t="s">
        <v>3149</v>
      </c>
      <c r="C314" s="3233"/>
      <c r="D314" s="3233"/>
      <c r="E314" s="3233"/>
      <c r="F314" s="3233">
        <v>1020</v>
      </c>
      <c r="G314" s="3246"/>
    </row>
    <row r="315" spans="1:7" s="3222" customFormat="1" ht="14.25" customHeight="1">
      <c r="A315" s="3233" t="s">
        <v>306</v>
      </c>
      <c r="B315" s="3233" t="s">
        <v>3150</v>
      </c>
      <c r="C315" s="3233"/>
      <c r="D315" s="3233"/>
      <c r="E315" s="3233"/>
      <c r="F315" s="3233">
        <v>1050</v>
      </c>
      <c r="G315" s="3246"/>
    </row>
    <row r="316" spans="1:7" s="3222" customFormat="1" ht="14.25" customHeight="1">
      <c r="A316" s="3233" t="s">
        <v>306</v>
      </c>
      <c r="B316" s="3233" t="s">
        <v>3026</v>
      </c>
      <c r="C316" s="3233"/>
      <c r="D316" s="3233"/>
      <c r="E316" s="3233"/>
      <c r="F316" s="3233">
        <v>900</v>
      </c>
      <c r="G316" s="3246"/>
    </row>
    <row r="317" spans="1:7" s="3222" customFormat="1" ht="14.25" customHeight="1">
      <c r="A317" s="3233" t="s">
        <v>306</v>
      </c>
      <c r="B317" s="3233" t="s">
        <v>3151</v>
      </c>
      <c r="C317" s="3233"/>
      <c r="D317" s="3233"/>
      <c r="E317" s="3233"/>
      <c r="F317" s="3233">
        <v>920</v>
      </c>
      <c r="G317" s="3246"/>
    </row>
    <row r="318" spans="1:7" s="3222" customFormat="1" ht="14.25" customHeight="1">
      <c r="A318" s="3233" t="s">
        <v>306</v>
      </c>
      <c r="B318" s="3233" t="s">
        <v>3152</v>
      </c>
      <c r="C318" s="3233"/>
      <c r="D318" s="3233"/>
      <c r="E318" s="3233"/>
      <c r="F318" s="3233">
        <v>1080</v>
      </c>
      <c r="G318" s="3246"/>
    </row>
    <row r="319" spans="1:7" s="3222" customFormat="1" ht="14.25" customHeight="1">
      <c r="A319" s="3233" t="s">
        <v>306</v>
      </c>
      <c r="B319" s="3233" t="s">
        <v>3039</v>
      </c>
      <c r="C319" s="3233"/>
      <c r="D319" s="3233"/>
      <c r="E319" s="3233"/>
      <c r="F319" s="3233">
        <v>1020</v>
      </c>
      <c r="G319" s="3246"/>
    </row>
    <row r="320" spans="1:7" s="3222" customFormat="1" ht="14.25" customHeight="1">
      <c r="A320" s="3233" t="s">
        <v>306</v>
      </c>
      <c r="B320" s="3233" t="s">
        <v>3042</v>
      </c>
      <c r="C320" s="3233"/>
      <c r="D320" s="3233"/>
      <c r="E320" s="3233"/>
      <c r="F320" s="3233">
        <v>1050</v>
      </c>
      <c r="G320" s="3246"/>
    </row>
    <row r="321" spans="1:7" s="3222" customFormat="1" ht="14.25" customHeight="1">
      <c r="A321" s="3233" t="s">
        <v>306</v>
      </c>
      <c r="B321" s="3233" t="s">
        <v>3044</v>
      </c>
      <c r="C321" s="3233"/>
      <c r="D321" s="3233"/>
      <c r="E321" s="3233"/>
      <c r="F321" s="3233">
        <v>960</v>
      </c>
      <c r="G321" s="3246"/>
    </row>
    <row r="322" spans="1:7" s="3222" customFormat="1" ht="14.25" customHeight="1">
      <c r="A322" s="3233" t="s">
        <v>306</v>
      </c>
      <c r="B322" s="3233" t="s">
        <v>3046</v>
      </c>
      <c r="C322" s="3233"/>
      <c r="D322" s="3233"/>
      <c r="E322" s="3233"/>
      <c r="F322" s="3233">
        <v>960</v>
      </c>
      <c r="G322" s="3246"/>
    </row>
    <row r="323" spans="1:7" s="3222" customFormat="1" ht="14.25" customHeight="1">
      <c r="A323" s="3233" t="s">
        <v>306</v>
      </c>
      <c r="B323" s="3233" t="s">
        <v>3048</v>
      </c>
      <c r="C323" s="3233"/>
      <c r="D323" s="3233"/>
      <c r="E323" s="3233"/>
      <c r="F323" s="3233">
        <v>880</v>
      </c>
      <c r="G323" s="3246"/>
    </row>
    <row r="324" spans="1:7" s="3222" customFormat="1" ht="14.25" customHeight="1">
      <c r="A324" s="3233" t="s">
        <v>306</v>
      </c>
      <c r="B324" s="3233" t="s">
        <v>3050</v>
      </c>
      <c r="C324" s="3233"/>
      <c r="D324" s="3233"/>
      <c r="E324" s="3233"/>
      <c r="F324" s="3233">
        <v>930</v>
      </c>
      <c r="G324" s="3246"/>
    </row>
    <row r="325" spans="1:7" s="3222" customFormat="1" ht="14.25" customHeight="1">
      <c r="A325" s="3233" t="s">
        <v>306</v>
      </c>
      <c r="B325" s="3234" t="s">
        <v>3052</v>
      </c>
      <c r="C325" s="3233"/>
      <c r="D325" s="3233"/>
      <c r="E325" s="3233"/>
      <c r="F325" s="3233">
        <v>900</v>
      </c>
      <c r="G325" s="3246"/>
    </row>
    <row r="326" spans="1:7" s="3222" customFormat="1" ht="14.25" customHeight="1" thickBot="1">
      <c r="A326" s="3247" t="s">
        <v>306</v>
      </c>
      <c r="B326" s="3240" t="s">
        <v>3054</v>
      </c>
      <c r="C326" s="3240"/>
      <c r="D326" s="3240"/>
      <c r="E326" s="3240"/>
      <c r="F326" s="3240">
        <v>790</v>
      </c>
      <c r="G326" s="3248"/>
    </row>
    <row r="327" spans="1:7" s="3222" customFormat="1" ht="14.25" customHeight="1">
      <c r="A327" s="3238" t="s">
        <v>307</v>
      </c>
      <c r="B327" s="3229" t="s">
        <v>3153</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3154</v>
      </c>
      <c r="C329" s="3233">
        <v>2730</v>
      </c>
      <c r="D329" s="3233">
        <v>2690</v>
      </c>
      <c r="E329" s="3233">
        <v>3100</v>
      </c>
      <c r="F329" s="3233">
        <v>660</v>
      </c>
      <c r="G329" s="3233">
        <v>1610</v>
      </c>
    </row>
    <row r="330" spans="1:7" s="3222" customFormat="1" ht="14.25" customHeight="1">
      <c r="A330" s="3233" t="s">
        <v>307</v>
      </c>
      <c r="B330" s="3233" t="s">
        <v>3155</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2888</v>
      </c>
      <c r="C332" s="3233">
        <v>3520</v>
      </c>
      <c r="D332" s="3233">
        <v>3480</v>
      </c>
      <c r="E332" s="3233">
        <v>3830</v>
      </c>
      <c r="F332" s="3233">
        <v>720</v>
      </c>
      <c r="G332" s="3233">
        <v>2090</v>
      </c>
    </row>
    <row r="333" spans="1:7" s="3222" customFormat="1" ht="14.25" customHeight="1">
      <c r="A333" s="3233" t="s">
        <v>307</v>
      </c>
      <c r="B333" s="3233" t="s">
        <v>3156</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2898</v>
      </c>
      <c r="C336" s="3233">
        <v>3570</v>
      </c>
      <c r="D336" s="3233">
        <v>3530</v>
      </c>
      <c r="E336" s="3233">
        <v>3880</v>
      </c>
      <c r="F336" s="3233">
        <v>770</v>
      </c>
      <c r="G336" s="3233">
        <v>2110</v>
      </c>
    </row>
    <row r="337" spans="1:10" s="3222" customFormat="1" ht="14.25" customHeight="1">
      <c r="A337" s="3233" t="s">
        <v>307</v>
      </c>
      <c r="B337" s="3233" t="s">
        <v>3157</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3158</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3159</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2923</v>
      </c>
      <c r="C345" s="3233">
        <v>3190</v>
      </c>
      <c r="D345" s="3233">
        <v>3140</v>
      </c>
      <c r="E345" s="3233">
        <v>3450</v>
      </c>
      <c r="F345" s="3233">
        <v>720</v>
      </c>
      <c r="G345" s="3233">
        <v>1880</v>
      </c>
      <c r="J345" s="3222"/>
    </row>
    <row r="346" spans="1:10">
      <c r="A346" s="3233" t="s">
        <v>307</v>
      </c>
      <c r="B346" s="3233" t="s">
        <v>3160</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2932</v>
      </c>
      <c r="C348" s="3233">
        <v>4000</v>
      </c>
      <c r="D348" s="3233">
        <v>3950</v>
      </c>
      <c r="E348" s="3233">
        <v>4430</v>
      </c>
      <c r="F348" s="3233">
        <v>760</v>
      </c>
      <c r="G348" s="3233">
        <v>2360</v>
      </c>
      <c r="J348" s="3222"/>
    </row>
    <row r="349" spans="1:10">
      <c r="A349" s="3233" t="s">
        <v>307</v>
      </c>
      <c r="B349" s="3233" t="s">
        <v>2937</v>
      </c>
      <c r="C349" s="3233">
        <v>3820</v>
      </c>
      <c r="D349" s="3233">
        <v>3780</v>
      </c>
      <c r="E349" s="3233">
        <v>4170</v>
      </c>
      <c r="F349" s="3233">
        <v>710</v>
      </c>
      <c r="G349" s="3233">
        <v>2260</v>
      </c>
      <c r="J349" s="3222"/>
    </row>
    <row r="350" spans="1:10">
      <c r="A350" s="3233" t="s">
        <v>307</v>
      </c>
      <c r="B350" s="3233" t="s">
        <v>3161</v>
      </c>
      <c r="C350" s="3233">
        <v>3760</v>
      </c>
      <c r="D350" s="3233">
        <v>3730</v>
      </c>
      <c r="E350" s="3233">
        <v>4100</v>
      </c>
      <c r="F350" s="3233">
        <v>800</v>
      </c>
      <c r="G350" s="3233">
        <v>2230</v>
      </c>
      <c r="J350" s="3222"/>
    </row>
    <row r="351" spans="1:10">
      <c r="A351" s="3233" t="s">
        <v>307</v>
      </c>
      <c r="B351" s="3233" t="s">
        <v>2945</v>
      </c>
      <c r="C351" s="3233">
        <v>3610</v>
      </c>
      <c r="D351" s="3233">
        <v>3580</v>
      </c>
      <c r="E351" s="3233">
        <v>3930</v>
      </c>
      <c r="F351" s="3233">
        <v>700</v>
      </c>
      <c r="G351" s="3233">
        <v>2140</v>
      </c>
      <c r="J351" s="3222"/>
    </row>
    <row r="352" spans="1:10">
      <c r="A352" s="3233" t="s">
        <v>307</v>
      </c>
      <c r="B352" s="3233" t="s">
        <v>2950</v>
      </c>
      <c r="C352" s="3233">
        <v>3670</v>
      </c>
      <c r="D352" s="3233">
        <v>3630</v>
      </c>
      <c r="E352" s="3233">
        <v>4000</v>
      </c>
      <c r="F352" s="3233">
        <v>750</v>
      </c>
      <c r="G352" s="3233">
        <v>2180</v>
      </c>
    </row>
    <row r="353" spans="1:7" s="3226" customFormat="1">
      <c r="A353" s="3233" t="s">
        <v>307</v>
      </c>
      <c r="B353" s="3233" t="s">
        <v>3162</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2970</v>
      </c>
      <c r="C355" s="3233">
        <v>3650</v>
      </c>
      <c r="D355" s="3233">
        <v>3610</v>
      </c>
      <c r="E355" s="3233">
        <v>4200</v>
      </c>
      <c r="F355" s="3233">
        <v>640</v>
      </c>
      <c r="G355" s="3233">
        <v>2160</v>
      </c>
    </row>
    <row r="356" spans="1:7" s="3226" customFormat="1">
      <c r="A356" s="3233" t="s">
        <v>307</v>
      </c>
      <c r="B356" s="3233" t="s">
        <v>2977</v>
      </c>
      <c r="C356" s="3233">
        <v>3260</v>
      </c>
      <c r="D356" s="3233">
        <v>3230</v>
      </c>
      <c r="E356" s="3233">
        <v>3740</v>
      </c>
      <c r="F356" s="3233">
        <v>600</v>
      </c>
      <c r="G356" s="3233">
        <v>1930</v>
      </c>
    </row>
    <row r="357" spans="1:7" s="3226" customFormat="1" ht="11.4" thickBot="1">
      <c r="A357" s="3241" t="s">
        <v>307</v>
      </c>
      <c r="B357" s="3244" t="s">
        <v>3163</v>
      </c>
      <c r="C357" s="3244">
        <v>3690</v>
      </c>
      <c r="D357" s="3244">
        <v>3650</v>
      </c>
      <c r="E357" s="3244">
        <v>4020</v>
      </c>
      <c r="F357" s="3244">
        <v>700</v>
      </c>
      <c r="G357" s="3244">
        <v>2190</v>
      </c>
    </row>
    <row r="358" spans="1:7" s="3226" customFormat="1">
      <c r="A358" s="3238" t="s">
        <v>3164</v>
      </c>
      <c r="B358" s="3229" t="s">
        <v>3165</v>
      </c>
      <c r="C358" s="3229">
        <v>2080</v>
      </c>
      <c r="D358" s="3229">
        <v>2040</v>
      </c>
      <c r="E358" s="3229">
        <v>2010</v>
      </c>
      <c r="F358" s="3229">
        <v>530</v>
      </c>
      <c r="G358" s="3245">
        <v>1230</v>
      </c>
    </row>
    <row r="359" spans="1:7" s="3226" customFormat="1">
      <c r="A359" s="3233" t="s">
        <v>3164</v>
      </c>
      <c r="B359" s="3233" t="s">
        <v>3166</v>
      </c>
      <c r="C359" s="3233">
        <v>1850</v>
      </c>
      <c r="D359" s="3233">
        <v>1820</v>
      </c>
      <c r="E359" s="3233">
        <v>1780</v>
      </c>
      <c r="F359" s="3233">
        <v>520</v>
      </c>
      <c r="G359" s="3246">
        <v>1100</v>
      </c>
    </row>
    <row r="360" spans="1:7" s="3226" customFormat="1">
      <c r="A360" s="3233" t="s">
        <v>3164</v>
      </c>
      <c r="B360" s="3233" t="s">
        <v>3167</v>
      </c>
      <c r="C360" s="3233">
        <v>2020</v>
      </c>
      <c r="D360" s="3233">
        <v>1990</v>
      </c>
      <c r="E360" s="3233">
        <v>1950</v>
      </c>
      <c r="F360" s="3233">
        <v>500</v>
      </c>
      <c r="G360" s="3246">
        <v>1200</v>
      </c>
    </row>
    <row r="361" spans="1:7" s="3226" customFormat="1">
      <c r="A361" s="3233" t="s">
        <v>3164</v>
      </c>
      <c r="B361" s="3233" t="s">
        <v>153</v>
      </c>
      <c r="C361" s="3233">
        <v>2260</v>
      </c>
      <c r="D361" s="3233">
        <v>2220</v>
      </c>
      <c r="E361" s="3233">
        <v>2180</v>
      </c>
      <c r="F361" s="3233">
        <v>580</v>
      </c>
      <c r="G361" s="3246">
        <v>1340</v>
      </c>
    </row>
    <row r="362" spans="1:7" s="3226" customFormat="1">
      <c r="A362" s="3233" t="s">
        <v>3164</v>
      </c>
      <c r="B362" s="3233" t="s">
        <v>3168</v>
      </c>
      <c r="C362" s="3233">
        <v>2650</v>
      </c>
      <c r="D362" s="3233">
        <v>2610</v>
      </c>
      <c r="E362" s="3233">
        <v>2570</v>
      </c>
      <c r="F362" s="3233">
        <v>630</v>
      </c>
      <c r="G362" s="3246">
        <v>1570</v>
      </c>
    </row>
    <row r="363" spans="1:7" s="3226" customFormat="1">
      <c r="A363" s="3233" t="s">
        <v>3164</v>
      </c>
      <c r="B363" s="3233" t="s">
        <v>2889</v>
      </c>
      <c r="C363" s="3233">
        <v>2390</v>
      </c>
      <c r="D363" s="3233">
        <v>2360</v>
      </c>
      <c r="E363" s="3233">
        <v>2320</v>
      </c>
      <c r="F363" s="3233">
        <v>600</v>
      </c>
      <c r="G363" s="3246">
        <v>1420</v>
      </c>
    </row>
    <row r="364" spans="1:7" s="3226" customFormat="1">
      <c r="A364" s="3233" t="s">
        <v>3164</v>
      </c>
      <c r="B364" s="3233" t="s">
        <v>3169</v>
      </c>
      <c r="C364" s="3233">
        <v>2050</v>
      </c>
      <c r="D364" s="3233">
        <v>2030</v>
      </c>
      <c r="E364" s="3233">
        <v>1990</v>
      </c>
      <c r="F364" s="3233">
        <v>550</v>
      </c>
      <c r="G364" s="3246">
        <v>1220</v>
      </c>
    </row>
    <row r="365" spans="1:7" s="3226" customFormat="1">
      <c r="A365" s="3233" t="s">
        <v>3164</v>
      </c>
      <c r="B365" s="3233" t="s">
        <v>200</v>
      </c>
      <c r="C365" s="3233">
        <v>2140</v>
      </c>
      <c r="D365" s="3233">
        <v>2100</v>
      </c>
      <c r="E365" s="3233">
        <v>2060</v>
      </c>
      <c r="F365" s="3233">
        <v>540</v>
      </c>
      <c r="G365" s="3246">
        <v>1270</v>
      </c>
    </row>
    <row r="366" spans="1:7" s="3226" customFormat="1">
      <c r="A366" s="3233" t="s">
        <v>3164</v>
      </c>
      <c r="B366" s="3233" t="s">
        <v>2896</v>
      </c>
      <c r="C366" s="3233">
        <v>2410</v>
      </c>
      <c r="D366" s="3233">
        <v>2370</v>
      </c>
      <c r="E366" s="3233">
        <v>2330</v>
      </c>
      <c r="F366" s="3233">
        <v>570</v>
      </c>
      <c r="G366" s="3246">
        <v>1440</v>
      </c>
    </row>
    <row r="367" spans="1:7" s="3226" customFormat="1">
      <c r="A367" s="3233" t="s">
        <v>3164</v>
      </c>
      <c r="B367" s="3233" t="s">
        <v>3170</v>
      </c>
      <c r="C367" s="3233">
        <v>2300</v>
      </c>
      <c r="D367" s="3233">
        <v>2260</v>
      </c>
      <c r="E367" s="3233">
        <v>2220</v>
      </c>
      <c r="F367" s="3233">
        <v>560</v>
      </c>
      <c r="G367" s="3246">
        <v>1370</v>
      </c>
    </row>
    <row r="368" spans="1:7" s="3226" customFormat="1">
      <c r="A368" s="3233" t="s">
        <v>3164</v>
      </c>
      <c r="B368" s="3233" t="s">
        <v>3171</v>
      </c>
      <c r="C368" s="3233">
        <v>2430</v>
      </c>
      <c r="D368" s="3233">
        <v>2390</v>
      </c>
      <c r="E368" s="3233">
        <v>2350</v>
      </c>
      <c r="F368" s="3233">
        <v>570</v>
      </c>
      <c r="G368" s="3246">
        <v>1450</v>
      </c>
    </row>
    <row r="369" spans="1:7" s="3226" customFormat="1">
      <c r="A369" s="3233" t="s">
        <v>3164</v>
      </c>
      <c r="B369" s="3233" t="s">
        <v>214</v>
      </c>
      <c r="C369" s="3233">
        <v>2320</v>
      </c>
      <c r="D369" s="3233">
        <v>2290</v>
      </c>
      <c r="E369" s="3233">
        <v>2250</v>
      </c>
      <c r="F369" s="3233">
        <v>550</v>
      </c>
      <c r="G369" s="3246">
        <v>1380</v>
      </c>
    </row>
    <row r="370" spans="1:7" s="3226" customFormat="1">
      <c r="A370" s="3233" t="s">
        <v>3164</v>
      </c>
      <c r="B370" s="3233" t="s">
        <v>221</v>
      </c>
      <c r="C370" s="3233">
        <v>2190</v>
      </c>
      <c r="D370" s="3233">
        <v>2170</v>
      </c>
      <c r="E370" s="3233">
        <v>2130</v>
      </c>
      <c r="F370" s="3233">
        <v>530</v>
      </c>
      <c r="G370" s="3246">
        <v>1310</v>
      </c>
    </row>
    <row r="371" spans="1:7" s="3226" customFormat="1">
      <c r="A371" s="3233" t="s">
        <v>3164</v>
      </c>
      <c r="B371" s="3233" t="s">
        <v>229</v>
      </c>
      <c r="C371" s="3233">
        <v>2460</v>
      </c>
      <c r="D371" s="3233">
        <v>2420</v>
      </c>
      <c r="E371" s="3233">
        <v>2370</v>
      </c>
      <c r="F371" s="3233">
        <v>560</v>
      </c>
      <c r="G371" s="3246">
        <v>1470</v>
      </c>
    </row>
    <row r="372" spans="1:7" s="3226" customFormat="1">
      <c r="A372" s="3233" t="s">
        <v>3164</v>
      </c>
      <c r="B372" s="3233" t="s">
        <v>3172</v>
      </c>
      <c r="C372" s="3233">
        <v>2250</v>
      </c>
      <c r="D372" s="3233">
        <v>2210</v>
      </c>
      <c r="E372" s="3233">
        <v>2180</v>
      </c>
      <c r="F372" s="3233">
        <v>550</v>
      </c>
      <c r="G372" s="3246">
        <v>1340</v>
      </c>
    </row>
    <row r="373" spans="1:7" s="3226" customFormat="1">
      <c r="A373" s="3233" t="s">
        <v>3164</v>
      </c>
      <c r="B373" s="3233" t="s">
        <v>258</v>
      </c>
      <c r="C373" s="3233">
        <v>2210</v>
      </c>
      <c r="D373" s="3233">
        <v>2190</v>
      </c>
      <c r="E373" s="3233">
        <v>2150</v>
      </c>
      <c r="F373" s="3233">
        <v>530</v>
      </c>
      <c r="G373" s="3246">
        <v>1320</v>
      </c>
    </row>
    <row r="374" spans="1:7" s="3226" customFormat="1">
      <c r="A374" s="3233" t="s">
        <v>3164</v>
      </c>
      <c r="B374" s="3233" t="s">
        <v>266</v>
      </c>
      <c r="C374" s="3233">
        <v>2320</v>
      </c>
      <c r="D374" s="3233">
        <v>2280</v>
      </c>
      <c r="E374" s="3233">
        <v>2230</v>
      </c>
      <c r="F374" s="3233">
        <v>580</v>
      </c>
      <c r="G374" s="3246">
        <v>1380</v>
      </c>
    </row>
    <row r="375" spans="1:7" s="3226" customFormat="1">
      <c r="A375" s="3233" t="s">
        <v>3164</v>
      </c>
      <c r="B375" s="3233" t="s">
        <v>3173</v>
      </c>
      <c r="C375" s="3233">
        <v>2090</v>
      </c>
      <c r="D375" s="3233">
        <v>2050</v>
      </c>
      <c r="E375" s="3233">
        <v>2020</v>
      </c>
      <c r="F375" s="3233">
        <v>520</v>
      </c>
      <c r="G375" s="3246">
        <v>1240</v>
      </c>
    </row>
    <row r="376" spans="1:7" s="3226" customFormat="1">
      <c r="A376" s="3233" t="s">
        <v>3164</v>
      </c>
      <c r="B376" s="3233" t="s">
        <v>277</v>
      </c>
      <c r="C376" s="3233">
        <v>2010</v>
      </c>
      <c r="D376" s="3233">
        <v>1980</v>
      </c>
      <c r="E376" s="3233">
        <v>1940</v>
      </c>
      <c r="F376" s="3233">
        <v>540</v>
      </c>
      <c r="G376" s="3246">
        <v>1190</v>
      </c>
    </row>
    <row r="377" spans="1:7" s="3226" customFormat="1" ht="11.4" thickBot="1">
      <c r="A377" s="3241" t="s">
        <v>3164</v>
      </c>
      <c r="B377" s="3244" t="s">
        <v>2926</v>
      </c>
      <c r="C377" s="3244">
        <v>1930</v>
      </c>
      <c r="D377" s="3244">
        <v>1890</v>
      </c>
      <c r="E377" s="3244">
        <v>1860</v>
      </c>
      <c r="F377" s="3244">
        <v>530</v>
      </c>
      <c r="G377" s="3249">
        <v>1150</v>
      </c>
    </row>
    <row r="378" spans="1:7" s="3226" customFormat="1">
      <c r="A378" s="3250" t="s">
        <v>3174</v>
      </c>
      <c r="B378" s="3229" t="s">
        <v>3175</v>
      </c>
      <c r="C378" s="3229">
        <v>1520</v>
      </c>
      <c r="D378" s="3229">
        <v>1490</v>
      </c>
      <c r="E378" s="3229">
        <v>1460</v>
      </c>
      <c r="F378" s="3229">
        <v>460</v>
      </c>
      <c r="G378" s="3245">
        <v>940</v>
      </c>
    </row>
    <row r="379" spans="1:7" s="3226" customFormat="1">
      <c r="A379" s="3251" t="s">
        <v>3174</v>
      </c>
      <c r="B379" s="3233" t="s">
        <v>3176</v>
      </c>
      <c r="C379" s="3233">
        <v>1500</v>
      </c>
      <c r="D379" s="3233">
        <v>1470</v>
      </c>
      <c r="E379" s="3233">
        <v>1430</v>
      </c>
      <c r="F379" s="3233">
        <v>460</v>
      </c>
      <c r="G379" s="3246">
        <v>920</v>
      </c>
    </row>
    <row r="380" spans="1:7" s="3226" customFormat="1">
      <c r="A380" s="3251" t="s">
        <v>3174</v>
      </c>
      <c r="B380" s="3233" t="s">
        <v>3177</v>
      </c>
      <c r="C380" s="3233">
        <v>1620</v>
      </c>
      <c r="D380" s="3233">
        <v>1590</v>
      </c>
      <c r="E380" s="3233">
        <v>1560</v>
      </c>
      <c r="F380" s="3233">
        <v>480</v>
      </c>
      <c r="G380" s="3246">
        <v>1000</v>
      </c>
    </row>
    <row r="381" spans="1:7" s="3226" customFormat="1">
      <c r="A381" s="3251" t="s">
        <v>3174</v>
      </c>
      <c r="B381" s="3233" t="s">
        <v>3178</v>
      </c>
      <c r="C381" s="3233">
        <v>1460</v>
      </c>
      <c r="D381" s="3233">
        <v>1430</v>
      </c>
      <c r="E381" s="3233">
        <v>1390</v>
      </c>
      <c r="F381" s="3233">
        <v>450</v>
      </c>
      <c r="G381" s="3246">
        <v>900</v>
      </c>
    </row>
    <row r="382" spans="1:7" s="3226" customFormat="1">
      <c r="A382" s="3251" t="s">
        <v>3174</v>
      </c>
      <c r="B382" s="3233" t="s">
        <v>3179</v>
      </c>
      <c r="C382" s="3233">
        <v>1310</v>
      </c>
      <c r="D382" s="3233">
        <v>1280</v>
      </c>
      <c r="E382" s="3233">
        <v>1250</v>
      </c>
      <c r="F382" s="3233">
        <v>440</v>
      </c>
      <c r="G382" s="3246">
        <v>800</v>
      </c>
    </row>
    <row r="383" spans="1:7" s="3226" customFormat="1">
      <c r="A383" s="3251" t="s">
        <v>3174</v>
      </c>
      <c r="B383" s="3233" t="s">
        <v>3180</v>
      </c>
      <c r="C383" s="3233">
        <v>1260</v>
      </c>
      <c r="D383" s="3233">
        <v>1230</v>
      </c>
      <c r="E383" s="3233">
        <v>1200</v>
      </c>
      <c r="F383" s="3233">
        <v>420</v>
      </c>
      <c r="G383" s="3246">
        <v>770</v>
      </c>
    </row>
    <row r="384" spans="1:7" s="3226" customFormat="1" ht="11.4" thickBot="1">
      <c r="A384" s="3252" t="s">
        <v>3174</v>
      </c>
      <c r="B384" s="3240" t="s">
        <v>3181</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9" customWidth="1"/>
    <col min="2" max="2" width="20" style="3289" customWidth="1"/>
    <col min="3" max="7" width="8.88671875" style="3253"/>
    <col min="8" max="16384" width="8.88671875" style="3254"/>
  </cols>
  <sheetData>
    <row r="1" spans="1:7">
      <c r="A1" s="3808" t="s">
        <v>3182</v>
      </c>
      <c r="B1" s="3808"/>
    </row>
    <row r="2" spans="1:7" ht="15" thickBot="1">
      <c r="A2" s="3255"/>
      <c r="B2" s="3255"/>
    </row>
    <row r="3" spans="1:7" ht="15" thickBot="1">
      <c r="A3" s="3255"/>
      <c r="B3" s="3255"/>
      <c r="C3" s="3256" t="s">
        <v>2812</v>
      </c>
      <c r="D3" s="3256" t="s">
        <v>2868</v>
      </c>
      <c r="E3" s="3256" t="s">
        <v>2814</v>
      </c>
      <c r="F3" s="3256" t="s">
        <v>2869</v>
      </c>
      <c r="G3" s="3256" t="s">
        <v>2632</v>
      </c>
    </row>
    <row r="4" spans="1:7" ht="15" thickBot="1">
      <c r="A4" s="3257" t="s">
        <v>2867</v>
      </c>
      <c r="B4" s="3258" t="s">
        <v>2873</v>
      </c>
      <c r="C4" s="3256"/>
      <c r="D4" s="3256"/>
      <c r="E4" s="3256"/>
      <c r="F4" s="3256"/>
      <c r="G4" s="3256"/>
    </row>
    <row r="5" spans="1:7">
      <c r="A5" s="3259" t="s">
        <v>2841</v>
      </c>
      <c r="B5" s="3260" t="s">
        <v>2855</v>
      </c>
      <c r="C5" s="3261">
        <v>9.8000000000000004E-2</v>
      </c>
      <c r="D5" s="3261">
        <v>8.6999999999999994E-2</v>
      </c>
      <c r="E5" s="3261">
        <v>8.6999999999999994E-2</v>
      </c>
      <c r="F5" s="3261">
        <v>9.8000000000000004E-2</v>
      </c>
      <c r="G5" s="3262">
        <v>9.5000000000000001E-2</v>
      </c>
    </row>
    <row r="6" spans="1:7">
      <c r="A6" s="3263" t="s">
        <v>144</v>
      </c>
      <c r="B6" s="3264" t="s">
        <v>2870</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5" thickBot="1">
      <c r="A9" s="3267" t="s">
        <v>144</v>
      </c>
      <c r="B9" s="3268" t="s">
        <v>154</v>
      </c>
      <c r="C9" s="3269">
        <v>0.1</v>
      </c>
      <c r="D9" s="3269">
        <v>0.1</v>
      </c>
      <c r="E9" s="3269">
        <v>0.1</v>
      </c>
      <c r="F9" s="3270"/>
      <c r="G9" s="3271">
        <v>0.1</v>
      </c>
    </row>
    <row r="10" spans="1:7">
      <c r="A10" s="3259" t="s">
        <v>184</v>
      </c>
      <c r="B10" s="3260" t="s">
        <v>2856</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2906</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5" thickBot="1">
      <c r="A29" s="3267" t="s">
        <v>184</v>
      </c>
      <c r="B29" s="3268" t="s">
        <v>2924</v>
      </c>
      <c r="C29" s="3273"/>
      <c r="D29" s="3269">
        <v>5.1999999999999998E-2</v>
      </c>
      <c r="E29" s="3269">
        <v>7.0000000000000007E-2</v>
      </c>
      <c r="F29" s="3273"/>
      <c r="G29" s="3271">
        <v>7.0999999999999994E-2</v>
      </c>
    </row>
    <row r="30" spans="1:7">
      <c r="A30" s="3274" t="s">
        <v>296</v>
      </c>
      <c r="B30" s="3260" t="s">
        <v>2857</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2843</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2927</v>
      </c>
      <c r="C50" s="3265">
        <v>9.8000000000000004E-2</v>
      </c>
      <c r="D50" s="3265">
        <v>7.2999999999999995E-2</v>
      </c>
      <c r="E50" s="3265">
        <v>7.0999999999999994E-2</v>
      </c>
      <c r="F50" s="3276"/>
      <c r="G50" s="3266">
        <v>7.2999999999999995E-2</v>
      </c>
    </row>
    <row r="51" spans="1:7">
      <c r="A51" s="3275" t="s">
        <v>296</v>
      </c>
      <c r="B51" s="3264" t="s">
        <v>2929</v>
      </c>
      <c r="C51" s="3265">
        <v>9.9000000000000005E-2</v>
      </c>
      <c r="D51" s="3265">
        <v>8.5000000000000006E-2</v>
      </c>
      <c r="E51" s="3265">
        <v>6.3E-2</v>
      </c>
      <c r="F51" s="3276"/>
      <c r="G51" s="3266">
        <v>9.6000000000000002E-2</v>
      </c>
    </row>
    <row r="52" spans="1:7">
      <c r="A52" s="3275" t="s">
        <v>296</v>
      </c>
      <c r="B52" s="3264" t="s">
        <v>2933</v>
      </c>
      <c r="C52" s="3265">
        <v>7.3999999999999996E-2</v>
      </c>
      <c r="D52" s="3265">
        <v>9.6000000000000002E-2</v>
      </c>
      <c r="E52" s="3265">
        <v>0.05</v>
      </c>
      <c r="F52" s="3276"/>
      <c r="G52" s="3266">
        <v>9.8000000000000004E-2</v>
      </c>
    </row>
    <row r="53" spans="1:7">
      <c r="A53" s="3275" t="s">
        <v>296</v>
      </c>
      <c r="B53" s="3264" t="s">
        <v>2938</v>
      </c>
      <c r="C53" s="3265">
        <v>8.5999999999999993E-2</v>
      </c>
      <c r="D53" s="3276"/>
      <c r="E53" s="3265">
        <v>9.1999999999999998E-2</v>
      </c>
      <c r="F53" s="3276"/>
      <c r="G53" s="3277"/>
    </row>
    <row r="54" spans="1:7" ht="15" thickBot="1">
      <c r="A54" s="3278" t="s">
        <v>296</v>
      </c>
      <c r="B54" s="3268" t="s">
        <v>2941</v>
      </c>
      <c r="C54" s="3269">
        <v>9.6000000000000002E-2</v>
      </c>
      <c r="D54" s="3270"/>
      <c r="E54" s="3279"/>
      <c r="F54" s="3270"/>
      <c r="G54" s="3280"/>
    </row>
    <row r="55" spans="1:7">
      <c r="A55" s="3274" t="s">
        <v>110</v>
      </c>
      <c r="B55" s="3260" t="s">
        <v>2858</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2939</v>
      </c>
      <c r="C78" s="3265">
        <v>0.1</v>
      </c>
      <c r="D78" s="3265">
        <v>8.5000000000000006E-2</v>
      </c>
      <c r="E78" s="3265">
        <v>9.6000000000000002E-2</v>
      </c>
      <c r="F78" s="3276"/>
      <c r="G78" s="3266">
        <v>9.6000000000000002E-2</v>
      </c>
    </row>
    <row r="79" spans="1:7">
      <c r="A79" s="3275" t="s">
        <v>110</v>
      </c>
      <c r="B79" s="3264" t="s">
        <v>2942</v>
      </c>
      <c r="C79" s="3265">
        <v>0.05</v>
      </c>
      <c r="D79" s="3265">
        <v>9.6000000000000002E-2</v>
      </c>
      <c r="E79" s="3265">
        <v>9.5000000000000001E-2</v>
      </c>
      <c r="F79" s="3276"/>
      <c r="G79" s="3266">
        <v>9.8000000000000004E-2</v>
      </c>
    </row>
    <row r="80" spans="1:7">
      <c r="A80" s="3275" t="s">
        <v>110</v>
      </c>
      <c r="B80" s="3264" t="s">
        <v>2946</v>
      </c>
      <c r="C80" s="3265">
        <v>8.5999999999999993E-2</v>
      </c>
      <c r="D80" s="3281"/>
      <c r="E80" s="3265">
        <v>0.1</v>
      </c>
      <c r="F80" s="3276"/>
      <c r="G80" s="3277"/>
    </row>
    <row r="81" spans="1:7">
      <c r="A81" s="3275" t="s">
        <v>110</v>
      </c>
      <c r="B81" s="3264" t="s">
        <v>2951</v>
      </c>
      <c r="C81" s="3265">
        <v>9.6000000000000002E-2</v>
      </c>
      <c r="D81" s="3276"/>
      <c r="E81" s="3265">
        <v>9.8000000000000004E-2</v>
      </c>
      <c r="F81" s="3276"/>
      <c r="G81" s="3277"/>
    </row>
    <row r="82" spans="1:7">
      <c r="A82" s="3275" t="s">
        <v>110</v>
      </c>
      <c r="B82" s="3264" t="s">
        <v>2958</v>
      </c>
      <c r="C82" s="3281"/>
      <c r="D82" s="3276"/>
      <c r="E82" s="3265">
        <v>7.6999999999999999E-2</v>
      </c>
      <c r="F82" s="3276"/>
      <c r="G82" s="3277"/>
    </row>
    <row r="83" spans="1:7">
      <c r="A83" s="3275" t="s">
        <v>110</v>
      </c>
      <c r="B83" s="3264" t="s">
        <v>2964</v>
      </c>
      <c r="C83" s="3276"/>
      <c r="D83" s="3276"/>
      <c r="E83" s="3276"/>
      <c r="F83" s="3265">
        <v>0.1</v>
      </c>
      <c r="G83" s="3282"/>
    </row>
    <row r="84" spans="1:7">
      <c r="A84" s="3275" t="s">
        <v>110</v>
      </c>
      <c r="B84" s="3264" t="s">
        <v>2971</v>
      </c>
      <c r="C84" s="3276"/>
      <c r="D84" s="3276"/>
      <c r="E84" s="3276"/>
      <c r="F84" s="3265">
        <v>0.1</v>
      </c>
      <c r="G84" s="3282"/>
    </row>
    <row r="85" spans="1:7">
      <c r="A85" s="3275" t="s">
        <v>110</v>
      </c>
      <c r="B85" s="3264" t="s">
        <v>2978</v>
      </c>
      <c r="C85" s="3276"/>
      <c r="D85" s="3276"/>
      <c r="E85" s="3276"/>
      <c r="F85" s="3265">
        <v>0.1</v>
      </c>
      <c r="G85" s="3282"/>
    </row>
    <row r="86" spans="1:7" ht="15" thickBot="1">
      <c r="A86" s="3278" t="s">
        <v>110</v>
      </c>
      <c r="B86" s="3268" t="s">
        <v>2983</v>
      </c>
      <c r="C86" s="3269">
        <v>9.8000000000000004E-2</v>
      </c>
      <c r="D86" s="3269">
        <v>9.8000000000000004E-2</v>
      </c>
      <c r="E86" s="3269">
        <v>9.6000000000000002E-2</v>
      </c>
      <c r="F86" s="3279"/>
      <c r="G86" s="3271">
        <v>0.1</v>
      </c>
    </row>
    <row r="87" spans="1:7">
      <c r="A87" s="3274" t="s">
        <v>303</v>
      </c>
      <c r="B87" s="3260" t="s">
        <v>2859</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2952</v>
      </c>
      <c r="C113" s="3265">
        <v>0.1</v>
      </c>
      <c r="D113" s="3265">
        <v>0.1</v>
      </c>
      <c r="E113" s="3276"/>
      <c r="F113" s="3276"/>
      <c r="G113" s="3266">
        <v>0.1</v>
      </c>
    </row>
    <row r="114" spans="1:7">
      <c r="A114" s="3275" t="s">
        <v>303</v>
      </c>
      <c r="B114" s="3264" t="s">
        <v>2959</v>
      </c>
      <c r="C114" s="3265">
        <v>9.7000000000000003E-2</v>
      </c>
      <c r="D114" s="3265">
        <v>9.7000000000000003E-2</v>
      </c>
      <c r="E114" s="3276"/>
      <c r="F114" s="3276"/>
      <c r="G114" s="3266">
        <v>9.9000000000000005E-2</v>
      </c>
    </row>
    <row r="115" spans="1:7">
      <c r="A115" s="3275" t="s">
        <v>303</v>
      </c>
      <c r="B115" s="3264" t="s">
        <v>2965</v>
      </c>
      <c r="C115" s="3265">
        <v>0.1</v>
      </c>
      <c r="D115" s="3265">
        <v>0.1</v>
      </c>
      <c r="E115" s="3276"/>
      <c r="F115" s="3276"/>
      <c r="G115" s="3266">
        <v>0.1</v>
      </c>
    </row>
    <row r="116" spans="1:7">
      <c r="A116" s="3275" t="s">
        <v>303</v>
      </c>
      <c r="B116" s="3264" t="s">
        <v>2972</v>
      </c>
      <c r="C116" s="3265">
        <v>0.1</v>
      </c>
      <c r="D116" s="3265">
        <v>0.1</v>
      </c>
      <c r="E116" s="3276"/>
      <c r="F116" s="3276"/>
      <c r="G116" s="3266">
        <v>0.1</v>
      </c>
    </row>
    <row r="117" spans="1:7">
      <c r="A117" s="3275" t="s">
        <v>303</v>
      </c>
      <c r="B117" s="3264" t="s">
        <v>2979</v>
      </c>
      <c r="C117" s="3265">
        <v>9.7000000000000003E-2</v>
      </c>
      <c r="D117" s="3265">
        <v>9.7000000000000003E-2</v>
      </c>
      <c r="E117" s="3276"/>
      <c r="F117" s="3276"/>
      <c r="G117" s="3266">
        <v>9.7000000000000003E-2</v>
      </c>
    </row>
    <row r="118" spans="1:7">
      <c r="A118" s="3275" t="s">
        <v>303</v>
      </c>
      <c r="B118" s="3264" t="s">
        <v>2984</v>
      </c>
      <c r="C118" s="3265">
        <v>0.1</v>
      </c>
      <c r="D118" s="3265">
        <v>0.1</v>
      </c>
      <c r="E118" s="3276"/>
      <c r="F118" s="3276"/>
      <c r="G118" s="3266">
        <v>0.1</v>
      </c>
    </row>
    <row r="119" spans="1:7">
      <c r="A119" s="3275" t="s">
        <v>303</v>
      </c>
      <c r="B119" s="3264" t="s">
        <v>2988</v>
      </c>
      <c r="C119" s="3265">
        <v>5.0999999999999997E-2</v>
      </c>
      <c r="D119" s="3265">
        <v>5.1999999999999998E-2</v>
      </c>
      <c r="E119" s="3276"/>
      <c r="F119" s="3281"/>
      <c r="G119" s="3266">
        <v>0.06</v>
      </c>
    </row>
    <row r="120" spans="1:7">
      <c r="A120" s="3275" t="s">
        <v>303</v>
      </c>
      <c r="B120" s="3264" t="s">
        <v>2992</v>
      </c>
      <c r="C120" s="3276"/>
      <c r="D120" s="3276"/>
      <c r="E120" s="3276"/>
      <c r="F120" s="3265">
        <v>0.1</v>
      </c>
      <c r="G120" s="3282"/>
    </row>
    <row r="121" spans="1:7">
      <c r="A121" s="3275" t="s">
        <v>303</v>
      </c>
      <c r="B121" s="3264" t="s">
        <v>2997</v>
      </c>
      <c r="C121" s="3276"/>
      <c r="D121" s="3276"/>
      <c r="E121" s="3276"/>
      <c r="F121" s="3265">
        <v>0.1</v>
      </c>
      <c r="G121" s="3282"/>
    </row>
    <row r="122" spans="1:7">
      <c r="A122" s="3275" t="s">
        <v>303</v>
      </c>
      <c r="B122" s="3264" t="s">
        <v>3002</v>
      </c>
      <c r="C122" s="3265">
        <v>0.1</v>
      </c>
      <c r="D122" s="3265">
        <v>0.1</v>
      </c>
      <c r="E122" s="3265">
        <v>9.8000000000000004E-2</v>
      </c>
      <c r="F122" s="3265">
        <v>0.1</v>
      </c>
      <c r="G122" s="3266">
        <v>0.1</v>
      </c>
    </row>
    <row r="123" spans="1:7">
      <c r="A123" s="3275" t="s">
        <v>303</v>
      </c>
      <c r="B123" s="3264" t="s">
        <v>3007</v>
      </c>
      <c r="C123" s="3265">
        <v>0.1</v>
      </c>
      <c r="D123" s="3265">
        <v>0.1</v>
      </c>
      <c r="E123" s="3265">
        <v>9.8000000000000004E-2</v>
      </c>
      <c r="F123" s="3265">
        <v>0.1</v>
      </c>
      <c r="G123" s="3266">
        <v>0.1</v>
      </c>
    </row>
    <row r="124" spans="1:7">
      <c r="A124" s="3275" t="s">
        <v>303</v>
      </c>
      <c r="B124" s="3264" t="s">
        <v>3012</v>
      </c>
      <c r="C124" s="3265">
        <v>0.1</v>
      </c>
      <c r="D124" s="3265">
        <v>0.1</v>
      </c>
      <c r="E124" s="3265">
        <v>9.8000000000000004E-2</v>
      </c>
      <c r="F124" s="3281"/>
      <c r="G124" s="3266">
        <v>0.1</v>
      </c>
    </row>
    <row r="125" spans="1:7">
      <c r="A125" s="3275" t="s">
        <v>303</v>
      </c>
      <c r="B125" s="3264" t="s">
        <v>3017</v>
      </c>
      <c r="C125" s="3265">
        <v>9.8000000000000004E-2</v>
      </c>
      <c r="D125" s="3265">
        <v>9.8000000000000004E-2</v>
      </c>
      <c r="E125" s="3265">
        <v>9.6000000000000002E-2</v>
      </c>
      <c r="F125" s="3281"/>
      <c r="G125" s="3266">
        <v>0.1</v>
      </c>
    </row>
    <row r="126" spans="1:7" ht="15" thickBot="1">
      <c r="A126" s="3278" t="s">
        <v>303</v>
      </c>
      <c r="B126" s="3268" t="s">
        <v>3183</v>
      </c>
      <c r="C126" s="3269">
        <v>0.1</v>
      </c>
      <c r="D126" s="3269">
        <v>0.1</v>
      </c>
      <c r="E126" s="3269">
        <v>9.8000000000000004E-2</v>
      </c>
      <c r="F126" s="3269">
        <v>0.1</v>
      </c>
      <c r="G126" s="3271">
        <v>0.1</v>
      </c>
    </row>
    <row r="127" spans="1:7">
      <c r="A127" s="3274" t="s">
        <v>29</v>
      </c>
      <c r="B127" s="3260" t="s">
        <v>2860</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2930</v>
      </c>
      <c r="C148" s="3265">
        <v>0.13</v>
      </c>
      <c r="D148" s="3265">
        <v>0.13</v>
      </c>
      <c r="E148" s="3265">
        <v>0.13</v>
      </c>
      <c r="F148" s="3276"/>
      <c r="G148" s="3266">
        <v>0.13</v>
      </c>
    </row>
    <row r="149" spans="1:7">
      <c r="A149" s="3275" t="s">
        <v>29</v>
      </c>
      <c r="B149" s="3264" t="s">
        <v>2934</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2953</v>
      </c>
      <c r="C153" s="3265">
        <v>0.13</v>
      </c>
      <c r="D153" s="3265">
        <v>0.13</v>
      </c>
      <c r="E153" s="3265">
        <v>0.13</v>
      </c>
      <c r="F153" s="3265">
        <v>0.13</v>
      </c>
      <c r="G153" s="3266">
        <v>0.13</v>
      </c>
    </row>
    <row r="154" spans="1:7">
      <c r="A154" s="3275" t="s">
        <v>29</v>
      </c>
      <c r="B154" s="3264" t="s">
        <v>2960</v>
      </c>
      <c r="C154" s="3265">
        <v>0.121</v>
      </c>
      <c r="D154" s="3265">
        <v>0.121</v>
      </c>
      <c r="E154" s="3265">
        <v>0.105</v>
      </c>
      <c r="F154" s="3265">
        <v>0.121</v>
      </c>
      <c r="G154" s="3266">
        <v>0.123</v>
      </c>
    </row>
    <row r="155" spans="1:7">
      <c r="A155" s="3275" t="s">
        <v>29</v>
      </c>
      <c r="B155" s="3264" t="s">
        <v>2966</v>
      </c>
      <c r="C155" s="3265">
        <v>0.1</v>
      </c>
      <c r="D155" s="3265">
        <v>0.1</v>
      </c>
      <c r="E155" s="3265">
        <v>0.1</v>
      </c>
      <c r="F155" s="3265">
        <v>0.1</v>
      </c>
      <c r="G155" s="3266">
        <v>0.1</v>
      </c>
    </row>
    <row r="156" spans="1:7">
      <c r="A156" s="3275" t="s">
        <v>29</v>
      </c>
      <c r="B156" s="3264" t="s">
        <v>2973</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2993</v>
      </c>
      <c r="C160" s="3265">
        <v>0.13</v>
      </c>
      <c r="D160" s="3265">
        <v>0.13</v>
      </c>
      <c r="E160" s="3265">
        <v>0.124</v>
      </c>
      <c r="F160" s="3265">
        <v>0.126</v>
      </c>
      <c r="G160" s="3266">
        <v>0.13</v>
      </c>
    </row>
    <row r="161" spans="1:7">
      <c r="A161" s="3275" t="s">
        <v>29</v>
      </c>
      <c r="B161" s="3264" t="s">
        <v>2998</v>
      </c>
      <c r="C161" s="3265">
        <v>0.13</v>
      </c>
      <c r="D161" s="3265">
        <v>0.13</v>
      </c>
      <c r="E161" s="3265">
        <v>0.124</v>
      </c>
      <c r="F161" s="3265">
        <v>0.127</v>
      </c>
      <c r="G161" s="3266">
        <v>0.13</v>
      </c>
    </row>
    <row r="162" spans="1:7">
      <c r="A162" s="3275" t="s">
        <v>29</v>
      </c>
      <c r="B162" s="3264" t="s">
        <v>3003</v>
      </c>
      <c r="C162" s="3265">
        <v>0.1</v>
      </c>
      <c r="D162" s="3265">
        <v>0.1</v>
      </c>
      <c r="E162" s="3265">
        <v>0.1</v>
      </c>
      <c r="F162" s="3265">
        <v>0.121</v>
      </c>
      <c r="G162" s="3266">
        <v>0.105</v>
      </c>
    </row>
    <row r="163" spans="1:7">
      <c r="A163" s="3275" t="s">
        <v>29</v>
      </c>
      <c r="B163" s="3264" t="s">
        <v>3008</v>
      </c>
      <c r="C163" s="3265">
        <v>0.1</v>
      </c>
      <c r="D163" s="3265">
        <v>0.1</v>
      </c>
      <c r="E163" s="3265">
        <v>0.1</v>
      </c>
      <c r="F163" s="3265">
        <v>0.1</v>
      </c>
      <c r="G163" s="3266">
        <v>0.1</v>
      </c>
    </row>
    <row r="164" spans="1:7">
      <c r="A164" s="3275" t="s">
        <v>29</v>
      </c>
      <c r="B164" s="3264" t="s">
        <v>3013</v>
      </c>
      <c r="C164" s="3281"/>
      <c r="D164" s="3281"/>
      <c r="E164" s="3281"/>
      <c r="F164" s="3265">
        <v>0.1</v>
      </c>
      <c r="G164" s="3277"/>
    </row>
    <row r="165" spans="1:7">
      <c r="A165" s="3275" t="s">
        <v>29</v>
      </c>
      <c r="B165" s="3264" t="s">
        <v>3184</v>
      </c>
      <c r="C165" s="3265">
        <v>0.126</v>
      </c>
      <c r="D165" s="3265">
        <v>0.126</v>
      </c>
      <c r="E165" s="3265">
        <v>0.11899999999999999</v>
      </c>
      <c r="F165" s="3265">
        <v>0.13</v>
      </c>
      <c r="G165" s="3266">
        <v>0.128</v>
      </c>
    </row>
    <row r="166" spans="1:7">
      <c r="A166" s="3275" t="s">
        <v>29</v>
      </c>
      <c r="B166" s="3264" t="s">
        <v>3023</v>
      </c>
      <c r="C166" s="3265">
        <v>0.129</v>
      </c>
      <c r="D166" s="3265">
        <v>0.129</v>
      </c>
      <c r="E166" s="3265">
        <v>0.123</v>
      </c>
      <c r="F166" s="3265">
        <v>0.128</v>
      </c>
      <c r="G166" s="3266">
        <v>0.13</v>
      </c>
    </row>
    <row r="167" spans="1:7">
      <c r="A167" s="3275" t="s">
        <v>29</v>
      </c>
      <c r="B167" s="3264" t="s">
        <v>3027</v>
      </c>
      <c r="C167" s="3265">
        <v>0.125</v>
      </c>
      <c r="D167" s="3265">
        <v>0.125</v>
      </c>
      <c r="E167" s="3265">
        <v>0.11700000000000001</v>
      </c>
      <c r="F167" s="3265">
        <v>0.13</v>
      </c>
      <c r="G167" s="3266">
        <v>0.126</v>
      </c>
    </row>
    <row r="168" spans="1:7">
      <c r="A168" s="3275" t="s">
        <v>29</v>
      </c>
      <c r="B168" s="3264" t="s">
        <v>3032</v>
      </c>
      <c r="C168" s="3265">
        <v>0.128</v>
      </c>
      <c r="D168" s="3265">
        <v>0.128</v>
      </c>
      <c r="E168" s="3265">
        <v>0.123</v>
      </c>
      <c r="F168" s="3276"/>
      <c r="G168" s="3266">
        <v>0.13</v>
      </c>
    </row>
    <row r="169" spans="1:7">
      <c r="A169" s="3275" t="s">
        <v>29</v>
      </c>
      <c r="B169" s="3264" t="s">
        <v>3185</v>
      </c>
      <c r="C169" s="3281"/>
      <c r="D169" s="3281"/>
      <c r="E169" s="3281"/>
      <c r="F169" s="3265">
        <v>0.05</v>
      </c>
      <c r="G169" s="3277"/>
    </row>
    <row r="170" spans="1:7">
      <c r="A170" s="3275" t="s">
        <v>29</v>
      </c>
      <c r="B170" s="3264" t="s">
        <v>3186</v>
      </c>
      <c r="C170" s="3281"/>
      <c r="D170" s="3281"/>
      <c r="E170" s="3281"/>
      <c r="F170" s="3265">
        <v>0.05</v>
      </c>
      <c r="G170" s="3277"/>
    </row>
    <row r="171" spans="1:7">
      <c r="A171" s="3275" t="s">
        <v>29</v>
      </c>
      <c r="B171" s="3264" t="s">
        <v>3187</v>
      </c>
      <c r="C171" s="3281"/>
      <c r="D171" s="3281"/>
      <c r="E171" s="3281"/>
      <c r="F171" s="3265">
        <v>0.05</v>
      </c>
      <c r="G171" s="3282"/>
    </row>
    <row r="172" spans="1:7">
      <c r="A172" s="3275" t="s">
        <v>29</v>
      </c>
      <c r="B172" s="3264" t="s">
        <v>3188</v>
      </c>
      <c r="C172" s="3281"/>
      <c r="D172" s="3281"/>
      <c r="E172" s="3281"/>
      <c r="F172" s="3265">
        <v>0.05</v>
      </c>
      <c r="G172" s="3282"/>
    </row>
    <row r="173" spans="1:7">
      <c r="A173" s="3275" t="s">
        <v>29</v>
      </c>
      <c r="B173" s="3264" t="s">
        <v>3189</v>
      </c>
      <c r="C173" s="3281"/>
      <c r="D173" s="3281"/>
      <c r="E173" s="3281"/>
      <c r="F173" s="3265">
        <v>0.05</v>
      </c>
      <c r="G173" s="3277"/>
    </row>
    <row r="174" spans="1:7">
      <c r="A174" s="3275" t="s">
        <v>29</v>
      </c>
      <c r="B174" s="3264" t="s">
        <v>3190</v>
      </c>
      <c r="C174" s="3281"/>
      <c r="D174" s="3281"/>
      <c r="E174" s="3281"/>
      <c r="F174" s="3265">
        <v>0.05</v>
      </c>
      <c r="G174" s="3277"/>
    </row>
    <row r="175" spans="1:7">
      <c r="A175" s="3275" t="s">
        <v>29</v>
      </c>
      <c r="B175" s="3264" t="s">
        <v>3191</v>
      </c>
      <c r="C175" s="3281"/>
      <c r="D175" s="3281"/>
      <c r="E175" s="3281"/>
      <c r="F175" s="3265">
        <v>0.05</v>
      </c>
      <c r="G175" s="3277"/>
    </row>
    <row r="176" spans="1:7">
      <c r="A176" s="3275" t="s">
        <v>29</v>
      </c>
      <c r="B176" s="3264" t="s">
        <v>3192</v>
      </c>
      <c r="C176" s="3281"/>
      <c r="D176" s="3281"/>
      <c r="E176" s="3281"/>
      <c r="F176" s="3265">
        <v>0.05</v>
      </c>
      <c r="G176" s="3277"/>
    </row>
    <row r="177" spans="1:7">
      <c r="A177" s="3275" t="s">
        <v>29</v>
      </c>
      <c r="B177" s="3264" t="s">
        <v>3193</v>
      </c>
      <c r="C177" s="3276"/>
      <c r="D177" s="3276"/>
      <c r="E177" s="3276"/>
      <c r="F177" s="3265">
        <v>0.05</v>
      </c>
      <c r="G177" s="3282"/>
    </row>
    <row r="178" spans="1:7">
      <c r="A178" s="3275" t="s">
        <v>29</v>
      </c>
      <c r="B178" s="3264" t="s">
        <v>3194</v>
      </c>
      <c r="C178" s="3276"/>
      <c r="D178" s="3276"/>
      <c r="E178" s="3276"/>
      <c r="F178" s="3265">
        <v>0.05</v>
      </c>
      <c r="G178" s="3282"/>
    </row>
    <row r="179" spans="1:7">
      <c r="A179" s="3275" t="s">
        <v>29</v>
      </c>
      <c r="B179" s="3264" t="s">
        <v>3195</v>
      </c>
      <c r="C179" s="3276"/>
      <c r="D179" s="3276"/>
      <c r="E179" s="3276"/>
      <c r="F179" s="3265">
        <v>0.05</v>
      </c>
      <c r="G179" s="3282"/>
    </row>
    <row r="180" spans="1:7">
      <c r="A180" s="3275" t="s">
        <v>29</v>
      </c>
      <c r="B180" s="3264" t="s">
        <v>3196</v>
      </c>
      <c r="C180" s="3276"/>
      <c r="D180" s="3276"/>
      <c r="E180" s="3276"/>
      <c r="F180" s="3265">
        <v>0.05</v>
      </c>
      <c r="G180" s="3282"/>
    </row>
    <row r="181" spans="1:7">
      <c r="A181" s="3275" t="s">
        <v>29</v>
      </c>
      <c r="B181" s="3264" t="s">
        <v>3197</v>
      </c>
      <c r="C181" s="3276"/>
      <c r="D181" s="3276"/>
      <c r="E181" s="3276"/>
      <c r="F181" s="3265">
        <v>0.05</v>
      </c>
      <c r="G181" s="3282"/>
    </row>
    <row r="182" spans="1:7">
      <c r="A182" s="3275" t="s">
        <v>29</v>
      </c>
      <c r="B182" s="3264" t="s">
        <v>3198</v>
      </c>
      <c r="C182" s="3276"/>
      <c r="D182" s="3276"/>
      <c r="E182" s="3276"/>
      <c r="F182" s="3265">
        <v>0.05</v>
      </c>
      <c r="G182" s="3282"/>
    </row>
    <row r="183" spans="1:7">
      <c r="A183" s="3275" t="s">
        <v>29</v>
      </c>
      <c r="B183" s="3264" t="s">
        <v>3199</v>
      </c>
      <c r="C183" s="3276"/>
      <c r="D183" s="3276"/>
      <c r="E183" s="3276"/>
      <c r="F183" s="3265">
        <v>0.05</v>
      </c>
      <c r="G183" s="3282"/>
    </row>
    <row r="184" spans="1:7">
      <c r="A184" s="3275" t="s">
        <v>29</v>
      </c>
      <c r="B184" s="3264" t="s">
        <v>3200</v>
      </c>
      <c r="C184" s="3276"/>
      <c r="D184" s="3276"/>
      <c r="E184" s="3276"/>
      <c r="F184" s="3265">
        <v>0.05</v>
      </c>
      <c r="G184" s="3282"/>
    </row>
    <row r="185" spans="1:7">
      <c r="A185" s="3275" t="s">
        <v>29</v>
      </c>
      <c r="B185" s="3264" t="s">
        <v>3201</v>
      </c>
      <c r="C185" s="3276"/>
      <c r="D185" s="3276"/>
      <c r="E185" s="3276"/>
      <c r="F185" s="3265">
        <v>0.05</v>
      </c>
      <c r="G185" s="3282"/>
    </row>
    <row r="186" spans="1:7">
      <c r="A186" s="3275" t="s">
        <v>29</v>
      </c>
      <c r="B186" s="3264" t="s">
        <v>3202</v>
      </c>
      <c r="C186" s="3276"/>
      <c r="D186" s="3276"/>
      <c r="E186" s="3276"/>
      <c r="F186" s="3265">
        <v>0.05</v>
      </c>
      <c r="G186" s="3282"/>
    </row>
    <row r="187" spans="1:7">
      <c r="A187" s="3275" t="s">
        <v>29</v>
      </c>
      <c r="B187" s="3264" t="s">
        <v>3203</v>
      </c>
      <c r="C187" s="3276"/>
      <c r="D187" s="3276"/>
      <c r="E187" s="3276"/>
      <c r="F187" s="3265">
        <v>0.05</v>
      </c>
      <c r="G187" s="3282"/>
    </row>
    <row r="188" spans="1:7">
      <c r="A188" s="3275" t="s">
        <v>29</v>
      </c>
      <c r="B188" s="3264" t="s">
        <v>3204</v>
      </c>
      <c r="C188" s="3276"/>
      <c r="D188" s="3276"/>
      <c r="E188" s="3276"/>
      <c r="F188" s="3265">
        <v>0.05</v>
      </c>
      <c r="G188" s="3282"/>
    </row>
    <row r="189" spans="1:7" ht="15" thickBot="1">
      <c r="A189" s="3278" t="s">
        <v>29</v>
      </c>
      <c r="B189" s="3268" t="s">
        <v>3205</v>
      </c>
      <c r="C189" s="3270"/>
      <c r="D189" s="3270"/>
      <c r="E189" s="3270"/>
      <c r="F189" s="3269">
        <v>0.05</v>
      </c>
      <c r="G189" s="3283"/>
    </row>
    <row r="190" spans="1:7">
      <c r="A190" s="3274" t="s">
        <v>304</v>
      </c>
      <c r="B190" s="3260" t="s">
        <v>2861</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2897</v>
      </c>
      <c r="C199" s="3265">
        <v>0.13</v>
      </c>
      <c r="D199" s="3265">
        <v>0.13</v>
      </c>
      <c r="E199" s="3265">
        <v>0.13</v>
      </c>
      <c r="F199" s="3265">
        <v>0.13</v>
      </c>
      <c r="G199" s="3266">
        <v>0.13</v>
      </c>
    </row>
    <row r="200" spans="1:7">
      <c r="A200" s="3275" t="s">
        <v>304</v>
      </c>
      <c r="B200" s="3264" t="s">
        <v>2900</v>
      </c>
      <c r="C200" s="3281"/>
      <c r="D200" s="3281"/>
      <c r="E200" s="3281"/>
      <c r="F200" s="3265">
        <v>0.13</v>
      </c>
      <c r="G200" s="3277"/>
    </row>
    <row r="201" spans="1:7">
      <c r="A201" s="3275" t="s">
        <v>304</v>
      </c>
      <c r="B201" s="3264" t="s">
        <v>2905</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2908</v>
      </c>
      <c r="C203" s="3265">
        <v>0.129</v>
      </c>
      <c r="D203" s="3265">
        <v>0.129</v>
      </c>
      <c r="E203" s="3265">
        <v>0.13</v>
      </c>
      <c r="F203" s="3265">
        <v>0.13</v>
      </c>
      <c r="G203" s="3266">
        <v>0.13</v>
      </c>
    </row>
    <row r="204" spans="1:7">
      <c r="A204" s="3275" t="s">
        <v>304</v>
      </c>
      <c r="B204" s="3264" t="s">
        <v>2911</v>
      </c>
      <c r="C204" s="3265">
        <v>0.129</v>
      </c>
      <c r="D204" s="3265">
        <v>0.129</v>
      </c>
      <c r="E204" s="3265">
        <v>0.123</v>
      </c>
      <c r="F204" s="3265">
        <v>0.13</v>
      </c>
      <c r="G204" s="3266">
        <v>0.13</v>
      </c>
    </row>
    <row r="205" spans="1:7">
      <c r="A205" s="3275" t="s">
        <v>304</v>
      </c>
      <c r="B205" s="3264" t="s">
        <v>2913</v>
      </c>
      <c r="C205" s="3265">
        <v>0.13</v>
      </c>
      <c r="D205" s="3265">
        <v>0.13</v>
      </c>
      <c r="E205" s="3265">
        <v>0.13</v>
      </c>
      <c r="F205" s="3265">
        <v>0.13</v>
      </c>
      <c r="G205" s="3266">
        <v>0.13</v>
      </c>
    </row>
    <row r="206" spans="1:7">
      <c r="A206" s="3275" t="s">
        <v>304</v>
      </c>
      <c r="B206" s="3264" t="s">
        <v>2916</v>
      </c>
      <c r="C206" s="3265">
        <v>0.13</v>
      </c>
      <c r="D206" s="3265">
        <v>0.13</v>
      </c>
      <c r="E206" s="3265">
        <v>0.13</v>
      </c>
      <c r="F206" s="3265">
        <v>0.128</v>
      </c>
      <c r="G206" s="3266">
        <v>0.13</v>
      </c>
    </row>
    <row r="207" spans="1:7">
      <c r="A207" s="3275" t="s">
        <v>304</v>
      </c>
      <c r="B207" s="3264" t="s">
        <v>2918</v>
      </c>
      <c r="C207" s="3265">
        <v>0.13</v>
      </c>
      <c r="D207" s="3265">
        <v>0.13</v>
      </c>
      <c r="E207" s="3265">
        <v>0.13</v>
      </c>
      <c r="F207" s="3265">
        <v>0.13</v>
      </c>
      <c r="G207" s="3266">
        <v>0.13</v>
      </c>
    </row>
    <row r="208" spans="1:7">
      <c r="A208" s="3275" t="s">
        <v>304</v>
      </c>
      <c r="B208" s="3264" t="s">
        <v>2921</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2928</v>
      </c>
      <c r="C210" s="3265">
        <v>0.121</v>
      </c>
      <c r="D210" s="3265">
        <v>0.121</v>
      </c>
      <c r="E210" s="3265">
        <v>0.125</v>
      </c>
      <c r="F210" s="3265">
        <v>0.13</v>
      </c>
      <c r="G210" s="3266">
        <v>0.123</v>
      </c>
    </row>
    <row r="211" spans="1:7">
      <c r="A211" s="3275" t="s">
        <v>304</v>
      </c>
      <c r="B211" s="3264" t="s">
        <v>2931</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2943</v>
      </c>
      <c r="C214" s="3265">
        <v>0.128</v>
      </c>
      <c r="D214" s="3265">
        <v>0.128</v>
      </c>
      <c r="E214" s="3265">
        <v>0.13</v>
      </c>
      <c r="F214" s="3265">
        <v>0.13</v>
      </c>
      <c r="G214" s="3266">
        <v>0.13</v>
      </c>
    </row>
    <row r="215" spans="1:7">
      <c r="A215" s="3275" t="s">
        <v>304</v>
      </c>
      <c r="B215" s="3264" t="s">
        <v>2947</v>
      </c>
      <c r="C215" s="3265">
        <v>0.13</v>
      </c>
      <c r="D215" s="3265">
        <v>0.13</v>
      </c>
      <c r="E215" s="3265">
        <v>0.13</v>
      </c>
      <c r="F215" s="3265">
        <v>0.129</v>
      </c>
      <c r="G215" s="3266">
        <v>0.13</v>
      </c>
    </row>
    <row r="216" spans="1:7">
      <c r="A216" s="3275" t="s">
        <v>304</v>
      </c>
      <c r="B216" s="3264" t="s">
        <v>2954</v>
      </c>
      <c r="C216" s="3265">
        <v>0.13</v>
      </c>
      <c r="D216" s="3265">
        <v>0.13</v>
      </c>
      <c r="E216" s="3265">
        <v>0.13</v>
      </c>
      <c r="F216" s="3265">
        <v>0.13</v>
      </c>
      <c r="G216" s="3266">
        <v>0.13</v>
      </c>
    </row>
    <row r="217" spans="1:7">
      <c r="A217" s="3275" t="s">
        <v>304</v>
      </c>
      <c r="B217" s="3264" t="s">
        <v>2961</v>
      </c>
      <c r="C217" s="3265">
        <v>0.129</v>
      </c>
      <c r="D217" s="3265">
        <v>0.129</v>
      </c>
      <c r="E217" s="3265">
        <v>0.13</v>
      </c>
      <c r="F217" s="3265">
        <v>0.13</v>
      </c>
      <c r="G217" s="3266">
        <v>0.13</v>
      </c>
    </row>
    <row r="218" spans="1:7">
      <c r="A218" s="3275" t="s">
        <v>304</v>
      </c>
      <c r="B218" s="3264" t="s">
        <v>2967</v>
      </c>
      <c r="C218" s="3276"/>
      <c r="D218" s="3276"/>
      <c r="E218" s="3276"/>
      <c r="F218" s="3265">
        <v>0.05</v>
      </c>
      <c r="G218" s="3282"/>
    </row>
    <row r="219" spans="1:7">
      <c r="A219" s="3275" t="s">
        <v>304</v>
      </c>
      <c r="B219" s="3264" t="s">
        <v>2974</v>
      </c>
      <c r="C219" s="3276"/>
      <c r="D219" s="3276"/>
      <c r="E219" s="3276"/>
      <c r="F219" s="3265">
        <v>0.05</v>
      </c>
      <c r="G219" s="3282"/>
    </row>
    <row r="220" spans="1:7">
      <c r="A220" s="3275" t="s">
        <v>304</v>
      </c>
      <c r="B220" s="3264" t="s">
        <v>2980</v>
      </c>
      <c r="C220" s="3276"/>
      <c r="D220" s="3276"/>
      <c r="E220" s="3276"/>
      <c r="F220" s="3265">
        <v>0.05</v>
      </c>
      <c r="G220" s="3282"/>
    </row>
    <row r="221" spans="1:7">
      <c r="A221" s="3275" t="s">
        <v>304</v>
      </c>
      <c r="B221" s="3264" t="s">
        <v>2985</v>
      </c>
      <c r="C221" s="3276"/>
      <c r="D221" s="3276"/>
      <c r="E221" s="3276"/>
      <c r="F221" s="3265">
        <v>0.05</v>
      </c>
      <c r="G221" s="3282"/>
    </row>
    <row r="222" spans="1:7">
      <c r="A222" s="3275" t="s">
        <v>304</v>
      </c>
      <c r="B222" s="3264" t="s">
        <v>2989</v>
      </c>
      <c r="C222" s="3276"/>
      <c r="D222" s="3276"/>
      <c r="E222" s="3276"/>
      <c r="F222" s="3265">
        <v>0.05</v>
      </c>
      <c r="G222" s="3282"/>
    </row>
    <row r="223" spans="1:7">
      <c r="A223" s="3275" t="s">
        <v>304</v>
      </c>
      <c r="B223" s="3264" t="s">
        <v>2994</v>
      </c>
      <c r="C223" s="3276"/>
      <c r="D223" s="3276"/>
      <c r="E223" s="3276"/>
      <c r="F223" s="3265">
        <v>0.05</v>
      </c>
      <c r="G223" s="3282"/>
    </row>
    <row r="224" spans="1:7">
      <c r="A224" s="3275" t="s">
        <v>304</v>
      </c>
      <c r="B224" s="3264" t="s">
        <v>2999</v>
      </c>
      <c r="C224" s="3276"/>
      <c r="D224" s="3276"/>
      <c r="E224" s="3276"/>
      <c r="F224" s="3265">
        <v>0.05</v>
      </c>
      <c r="G224" s="3282"/>
    </row>
    <row r="225" spans="1:7">
      <c r="A225" s="3275" t="s">
        <v>304</v>
      </c>
      <c r="B225" s="3264" t="s">
        <v>3004</v>
      </c>
      <c r="C225" s="3276"/>
      <c r="D225" s="3276"/>
      <c r="E225" s="3276"/>
      <c r="F225" s="3265">
        <v>0.05</v>
      </c>
      <c r="G225" s="3282"/>
    </row>
    <row r="226" spans="1:7">
      <c r="A226" s="3275" t="s">
        <v>304</v>
      </c>
      <c r="B226" s="3264" t="s">
        <v>3206</v>
      </c>
      <c r="C226" s="3276"/>
      <c r="D226" s="3276"/>
      <c r="E226" s="3276"/>
      <c r="F226" s="3265">
        <v>0.05</v>
      </c>
      <c r="G226" s="3282"/>
    </row>
    <row r="227" spans="1:7">
      <c r="A227" s="3275" t="s">
        <v>304</v>
      </c>
      <c r="B227" s="3264" t="s">
        <v>3207</v>
      </c>
      <c r="C227" s="3276"/>
      <c r="D227" s="3276"/>
      <c r="E227" s="3276"/>
      <c r="F227" s="3265">
        <v>0.05</v>
      </c>
      <c r="G227" s="3282"/>
    </row>
    <row r="228" spans="1:7">
      <c r="A228" s="3275" t="s">
        <v>304</v>
      </c>
      <c r="B228" s="3264" t="s">
        <v>3208</v>
      </c>
      <c r="C228" s="3276"/>
      <c r="D228" s="3276"/>
      <c r="E228" s="3276"/>
      <c r="F228" s="3265">
        <v>0.05</v>
      </c>
      <c r="G228" s="3282"/>
    </row>
    <row r="229" spans="1:7">
      <c r="A229" s="3275" t="s">
        <v>304</v>
      </c>
      <c r="B229" s="3264" t="s">
        <v>3209</v>
      </c>
      <c r="C229" s="3276"/>
      <c r="D229" s="3276"/>
      <c r="E229" s="3276"/>
      <c r="F229" s="3265">
        <v>0.05</v>
      </c>
      <c r="G229" s="3282"/>
    </row>
    <row r="230" spans="1:7">
      <c r="A230" s="3275" t="s">
        <v>304</v>
      </c>
      <c r="B230" s="3264" t="s">
        <v>3210</v>
      </c>
      <c r="C230" s="3276"/>
      <c r="D230" s="3276"/>
      <c r="E230" s="3276"/>
      <c r="F230" s="3265">
        <v>0.05</v>
      </c>
      <c r="G230" s="3282"/>
    </row>
    <row r="231" spans="1:7">
      <c r="A231" s="3275" t="s">
        <v>304</v>
      </c>
      <c r="B231" s="3264" t="s">
        <v>3211</v>
      </c>
      <c r="C231" s="3276"/>
      <c r="D231" s="3276"/>
      <c r="E231" s="3276"/>
      <c r="F231" s="3265">
        <v>0.05</v>
      </c>
      <c r="G231" s="3282"/>
    </row>
    <row r="232" spans="1:7">
      <c r="A232" s="3275" t="s">
        <v>304</v>
      </c>
      <c r="B232" s="3264" t="s">
        <v>3212</v>
      </c>
      <c r="C232" s="3276"/>
      <c r="D232" s="3276"/>
      <c r="E232" s="3276"/>
      <c r="F232" s="3265">
        <v>0.05</v>
      </c>
      <c r="G232" s="3282"/>
    </row>
    <row r="233" spans="1:7" ht="15" thickBot="1">
      <c r="A233" s="3278" t="s">
        <v>304</v>
      </c>
      <c r="B233" s="3268" t="s">
        <v>3213</v>
      </c>
      <c r="C233" s="3270"/>
      <c r="D233" s="3270"/>
      <c r="E233" s="3270"/>
      <c r="F233" s="3269">
        <v>0.05</v>
      </c>
      <c r="G233" s="3283"/>
    </row>
    <row r="234" spans="1:7">
      <c r="A234" s="3274" t="s">
        <v>305</v>
      </c>
      <c r="B234" s="3260" t="s">
        <v>2862</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2882</v>
      </c>
      <c r="C238" s="3265">
        <v>0.14899999999999999</v>
      </c>
      <c r="D238" s="3265">
        <v>0.14899999999999999</v>
      </c>
      <c r="E238" s="3265">
        <v>0.15</v>
      </c>
      <c r="F238" s="3265">
        <v>0.15</v>
      </c>
      <c r="G238" s="3266">
        <v>0.15</v>
      </c>
    </row>
    <row r="239" spans="1:7">
      <c r="A239" s="3275" t="s">
        <v>305</v>
      </c>
      <c r="B239" s="3264" t="s">
        <v>2886</v>
      </c>
      <c r="C239" s="3265">
        <v>0.15</v>
      </c>
      <c r="D239" s="3265">
        <v>0.15</v>
      </c>
      <c r="E239" s="3265">
        <v>0.15</v>
      </c>
      <c r="F239" s="3265">
        <v>0.15</v>
      </c>
      <c r="G239" s="3266">
        <v>0.15</v>
      </c>
    </row>
    <row r="240" spans="1:7">
      <c r="A240" s="3275" t="s">
        <v>305</v>
      </c>
      <c r="B240" s="3264" t="s">
        <v>2891</v>
      </c>
      <c r="C240" s="3265">
        <v>0.15</v>
      </c>
      <c r="D240" s="3265">
        <v>0.15</v>
      </c>
      <c r="E240" s="3265">
        <v>0.15</v>
      </c>
      <c r="F240" s="3265">
        <v>0.15</v>
      </c>
      <c r="G240" s="3266">
        <v>0.15</v>
      </c>
    </row>
    <row r="241" spans="1:7">
      <c r="A241" s="3275" t="s">
        <v>305</v>
      </c>
      <c r="B241" s="3264" t="s">
        <v>2895</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2901</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2909</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2914</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2922</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2935</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2944</v>
      </c>
      <c r="C258" s="3265">
        <v>0.14299999999999999</v>
      </c>
      <c r="D258" s="3265">
        <v>0.14299999999999999</v>
      </c>
      <c r="E258" s="3265">
        <v>0.15</v>
      </c>
      <c r="F258" s="3265">
        <v>0.14799999999999999</v>
      </c>
      <c r="G258" s="3266">
        <v>0.14599999999999999</v>
      </c>
    </row>
    <row r="259" spans="1:7">
      <c r="A259" s="3275" t="s">
        <v>305</v>
      </c>
      <c r="B259" s="3264" t="s">
        <v>2948</v>
      </c>
      <c r="C259" s="3265">
        <v>0.14399999999999999</v>
      </c>
      <c r="D259" s="3265">
        <v>0.14399999999999999</v>
      </c>
      <c r="E259" s="3265">
        <v>0.14899999999999999</v>
      </c>
      <c r="F259" s="3265">
        <v>0.14699999999999999</v>
      </c>
      <c r="G259" s="3266">
        <v>0.14599999999999999</v>
      </c>
    </row>
    <row r="260" spans="1:7">
      <c r="A260" s="3275" t="s">
        <v>305</v>
      </c>
      <c r="B260" s="3264" t="s">
        <v>2955</v>
      </c>
      <c r="C260" s="3265">
        <v>0.109</v>
      </c>
      <c r="D260" s="3265">
        <v>0.111</v>
      </c>
      <c r="E260" s="3265">
        <v>0.13100000000000001</v>
      </c>
      <c r="F260" s="3265">
        <v>0.126</v>
      </c>
      <c r="G260" s="3266">
        <v>0.11899999999999999</v>
      </c>
    </row>
    <row r="261" spans="1:7">
      <c r="A261" s="3275" t="s">
        <v>305</v>
      </c>
      <c r="B261" s="3264" t="s">
        <v>2962</v>
      </c>
      <c r="C261" s="3265">
        <v>0.1</v>
      </c>
      <c r="D261" s="3265">
        <v>0.1</v>
      </c>
      <c r="E261" s="3265">
        <v>0.11799999999999999</v>
      </c>
      <c r="F261" s="3265">
        <v>0.108</v>
      </c>
      <c r="G261" s="3266">
        <v>0.107</v>
      </c>
    </row>
    <row r="262" spans="1:7">
      <c r="A262" s="3275" t="s">
        <v>305</v>
      </c>
      <c r="B262" s="3264" t="s">
        <v>2968</v>
      </c>
      <c r="C262" s="3265">
        <v>0.1</v>
      </c>
      <c r="D262" s="3265">
        <v>0.1</v>
      </c>
      <c r="E262" s="3265">
        <v>0.1</v>
      </c>
      <c r="F262" s="3265">
        <v>0.14099999999999999</v>
      </c>
      <c r="G262" s="3266">
        <v>0.1</v>
      </c>
    </row>
    <row r="263" spans="1:7">
      <c r="A263" s="3275" t="s">
        <v>305</v>
      </c>
      <c r="B263" s="3264" t="s">
        <v>2975</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2986</v>
      </c>
      <c r="C265" s="3276"/>
      <c r="D265" s="3276"/>
      <c r="E265" s="3276"/>
      <c r="F265" s="3265">
        <v>0.05</v>
      </c>
      <c r="G265" s="3282"/>
    </row>
    <row r="266" spans="1:7">
      <c r="A266" s="3275" t="s">
        <v>305</v>
      </c>
      <c r="B266" s="3264" t="s">
        <v>2990</v>
      </c>
      <c r="C266" s="3276"/>
      <c r="D266" s="3276"/>
      <c r="E266" s="3276"/>
      <c r="F266" s="3265">
        <v>0.05</v>
      </c>
      <c r="G266" s="3282"/>
    </row>
    <row r="267" spans="1:7">
      <c r="A267" s="3275" t="s">
        <v>305</v>
      </c>
      <c r="B267" s="3264" t="s">
        <v>2995</v>
      </c>
      <c r="C267" s="3276"/>
      <c r="D267" s="3276"/>
      <c r="E267" s="3276"/>
      <c r="F267" s="3265">
        <v>0.05</v>
      </c>
      <c r="G267" s="3282"/>
    </row>
    <row r="268" spans="1:7">
      <c r="A268" s="3275" t="s">
        <v>305</v>
      </c>
      <c r="B268" s="3264" t="s">
        <v>3000</v>
      </c>
      <c r="C268" s="3276"/>
      <c r="D268" s="3276"/>
      <c r="E268" s="3276"/>
      <c r="F268" s="3265">
        <v>0.05</v>
      </c>
      <c r="G268" s="3282"/>
    </row>
    <row r="269" spans="1:7">
      <c r="A269" s="3275" t="s">
        <v>305</v>
      </c>
      <c r="B269" s="3264" t="s">
        <v>3005</v>
      </c>
      <c r="C269" s="3276"/>
      <c r="D269" s="3276"/>
      <c r="E269" s="3276"/>
      <c r="F269" s="3265">
        <v>0.05</v>
      </c>
      <c r="G269" s="3282"/>
    </row>
    <row r="270" spans="1:7">
      <c r="A270" s="3275" t="s">
        <v>305</v>
      </c>
      <c r="B270" s="3264" t="s">
        <v>3010</v>
      </c>
      <c r="C270" s="3276"/>
      <c r="D270" s="3276"/>
      <c r="E270" s="3276"/>
      <c r="F270" s="3265">
        <v>0.05</v>
      </c>
      <c r="G270" s="3282"/>
    </row>
    <row r="271" spans="1:7">
      <c r="A271" s="3275" t="s">
        <v>305</v>
      </c>
      <c r="B271" s="3264" t="s">
        <v>3214</v>
      </c>
      <c r="C271" s="3276"/>
      <c r="D271" s="3276"/>
      <c r="E271" s="3276"/>
      <c r="F271" s="3265">
        <v>0.05</v>
      </c>
      <c r="G271" s="3282"/>
    </row>
    <row r="272" spans="1:7">
      <c r="A272" s="3275" t="s">
        <v>305</v>
      </c>
      <c r="B272" s="3264" t="s">
        <v>3215</v>
      </c>
      <c r="C272" s="3276"/>
      <c r="D272" s="3276"/>
      <c r="E272" s="3276"/>
      <c r="F272" s="3265">
        <v>0.05</v>
      </c>
      <c r="G272" s="3282"/>
    </row>
    <row r="273" spans="1:7">
      <c r="A273" s="3275" t="s">
        <v>305</v>
      </c>
      <c r="B273" s="3264" t="s">
        <v>3216</v>
      </c>
      <c r="C273" s="3276"/>
      <c r="D273" s="3276"/>
      <c r="E273" s="3276"/>
      <c r="F273" s="3265">
        <v>0.05</v>
      </c>
      <c r="G273" s="3282"/>
    </row>
    <row r="274" spans="1:7">
      <c r="A274" s="3275" t="s">
        <v>305</v>
      </c>
      <c r="B274" s="3264" t="s">
        <v>3217</v>
      </c>
      <c r="C274" s="3276"/>
      <c r="D274" s="3276"/>
      <c r="E274" s="3276"/>
      <c r="F274" s="3265">
        <v>0.05</v>
      </c>
      <c r="G274" s="3282"/>
    </row>
    <row r="275" spans="1:7">
      <c r="A275" s="3275" t="s">
        <v>305</v>
      </c>
      <c r="B275" s="3264" t="s">
        <v>3218</v>
      </c>
      <c r="C275" s="3276"/>
      <c r="D275" s="3276"/>
      <c r="E275" s="3276"/>
      <c r="F275" s="3265">
        <v>0.05</v>
      </c>
      <c r="G275" s="3282"/>
    </row>
    <row r="276" spans="1:7" ht="15" thickBot="1">
      <c r="A276" s="3278" t="s">
        <v>305</v>
      </c>
      <c r="B276" s="3268" t="s">
        <v>3219</v>
      </c>
      <c r="C276" s="3270"/>
      <c r="D276" s="3270"/>
      <c r="E276" s="3270"/>
      <c r="F276" s="3269">
        <v>0.05</v>
      </c>
      <c r="G276" s="3283"/>
    </row>
    <row r="277" spans="1:7">
      <c r="A277" s="3274" t="s">
        <v>306</v>
      </c>
      <c r="B277" s="3260" t="s">
        <v>2863</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2875</v>
      </c>
      <c r="C279" s="3265">
        <v>0.15</v>
      </c>
      <c r="D279" s="3265">
        <v>0.15</v>
      </c>
      <c r="E279" s="3265">
        <v>0.15</v>
      </c>
      <c r="F279" s="3265">
        <v>0.15</v>
      </c>
      <c r="G279" s="3266">
        <v>0.15</v>
      </c>
    </row>
    <row r="280" spans="1:7">
      <c r="A280" s="3275" t="s">
        <v>306</v>
      </c>
      <c r="B280" s="3264" t="s">
        <v>2879</v>
      </c>
      <c r="C280" s="3265">
        <v>0.15</v>
      </c>
      <c r="D280" s="3265">
        <v>0.15</v>
      </c>
      <c r="E280" s="3265">
        <v>0.15</v>
      </c>
      <c r="F280" s="3265">
        <v>0.15</v>
      </c>
      <c r="G280" s="3266">
        <v>0.15</v>
      </c>
    </row>
    <row r="281" spans="1:7">
      <c r="A281" s="3275" t="s">
        <v>306</v>
      </c>
      <c r="B281" s="3264" t="s">
        <v>2883</v>
      </c>
      <c r="C281" s="3265">
        <v>0.15</v>
      </c>
      <c r="D281" s="3265">
        <v>0.15</v>
      </c>
      <c r="E281" s="3265">
        <v>0.15</v>
      </c>
      <c r="F281" s="3265">
        <v>0.15</v>
      </c>
      <c r="G281" s="3266">
        <v>0.15</v>
      </c>
    </row>
    <row r="282" spans="1:7">
      <c r="A282" s="3275" t="s">
        <v>306</v>
      </c>
      <c r="B282" s="3264" t="s">
        <v>2887</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2902</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2907</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2917</v>
      </c>
      <c r="C293" s="3265">
        <v>0.15</v>
      </c>
      <c r="D293" s="3265">
        <v>0.15</v>
      </c>
      <c r="E293" s="3265">
        <v>0.15</v>
      </c>
      <c r="F293" s="3265">
        <v>0.14499999999999999</v>
      </c>
      <c r="G293" s="3266">
        <v>0.15</v>
      </c>
    </row>
    <row r="294" spans="1:7">
      <c r="A294" s="3275" t="s">
        <v>306</v>
      </c>
      <c r="B294" s="3264" t="s">
        <v>2919</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2936</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2949</v>
      </c>
      <c r="C302" s="3265">
        <v>0.15</v>
      </c>
      <c r="D302" s="3265">
        <v>0.15</v>
      </c>
      <c r="E302" s="3265">
        <v>0.15</v>
      </c>
      <c r="F302" s="3265">
        <v>0.14699999999999999</v>
      </c>
      <c r="G302" s="3266">
        <v>0.15</v>
      </c>
    </row>
    <row r="303" spans="1:7">
      <c r="A303" s="3275" t="s">
        <v>306</v>
      </c>
      <c r="B303" s="3264" t="s">
        <v>2956</v>
      </c>
      <c r="C303" s="3265">
        <v>0.15</v>
      </c>
      <c r="D303" s="3265">
        <v>0.15</v>
      </c>
      <c r="E303" s="3265">
        <v>0.15</v>
      </c>
      <c r="F303" s="3265">
        <v>0.14199999999999999</v>
      </c>
      <c r="G303" s="3266">
        <v>0.15</v>
      </c>
    </row>
    <row r="304" spans="1:7">
      <c r="A304" s="3275" t="s">
        <v>306</v>
      </c>
      <c r="B304" s="3264" t="s">
        <v>2963</v>
      </c>
      <c r="C304" s="3265">
        <v>0.15</v>
      </c>
      <c r="D304" s="3265">
        <v>0.15</v>
      </c>
      <c r="E304" s="3265">
        <v>0.15</v>
      </c>
      <c r="F304" s="3265">
        <v>0.14499999999999999</v>
      </c>
      <c r="G304" s="3266">
        <v>0.15</v>
      </c>
    </row>
    <row r="305" spans="1:7">
      <c r="A305" s="3275" t="s">
        <v>306</v>
      </c>
      <c r="B305" s="3264" t="s">
        <v>2969</v>
      </c>
      <c r="C305" s="3265">
        <v>0.15</v>
      </c>
      <c r="D305" s="3265">
        <v>0.15</v>
      </c>
      <c r="E305" s="3265">
        <v>0.15</v>
      </c>
      <c r="F305" s="3265">
        <v>0.111</v>
      </c>
      <c r="G305" s="3266">
        <v>0.15</v>
      </c>
    </row>
    <row r="306" spans="1:7">
      <c r="A306" s="3275" t="s">
        <v>306</v>
      </c>
      <c r="B306" s="3264" t="s">
        <v>2976</v>
      </c>
      <c r="C306" s="3265">
        <v>0.15</v>
      </c>
      <c r="D306" s="3265">
        <v>0.15</v>
      </c>
      <c r="E306" s="3265">
        <v>0.15</v>
      </c>
      <c r="F306" s="3265">
        <v>0.126</v>
      </c>
      <c r="G306" s="3266">
        <v>0.15</v>
      </c>
    </row>
    <row r="307" spans="1:7">
      <c r="A307" s="3275" t="s">
        <v>306</v>
      </c>
      <c r="B307" s="3264" t="s">
        <v>2981</v>
      </c>
      <c r="C307" s="3265">
        <v>0.15</v>
      </c>
      <c r="D307" s="3265">
        <v>0.15</v>
      </c>
      <c r="E307" s="3265">
        <v>0.15</v>
      </c>
      <c r="F307" s="3265">
        <v>0.12</v>
      </c>
      <c r="G307" s="3266">
        <v>0.15</v>
      </c>
    </row>
    <row r="308" spans="1:7">
      <c r="A308" s="3275" t="s">
        <v>306</v>
      </c>
      <c r="B308" s="3264" t="s">
        <v>2987</v>
      </c>
      <c r="C308" s="3265">
        <v>0.15</v>
      </c>
      <c r="D308" s="3265">
        <v>0.15</v>
      </c>
      <c r="E308" s="3265">
        <v>0.15</v>
      </c>
      <c r="F308" s="3265">
        <v>0.13</v>
      </c>
      <c r="G308" s="3266">
        <v>0.15</v>
      </c>
    </row>
    <row r="309" spans="1:7">
      <c r="A309" s="3275" t="s">
        <v>306</v>
      </c>
      <c r="B309" s="3264" t="s">
        <v>2991</v>
      </c>
      <c r="C309" s="3265">
        <v>0.15</v>
      </c>
      <c r="D309" s="3265">
        <v>0.15</v>
      </c>
      <c r="E309" s="3265">
        <v>0.15</v>
      </c>
      <c r="F309" s="3265">
        <v>0.14099999999999999</v>
      </c>
      <c r="G309" s="3266">
        <v>0.15</v>
      </c>
    </row>
    <row r="310" spans="1:7">
      <c r="A310" s="3275" t="s">
        <v>306</v>
      </c>
      <c r="B310" s="3264" t="s">
        <v>2996</v>
      </c>
      <c r="C310" s="3265">
        <v>0.15</v>
      </c>
      <c r="D310" s="3265">
        <v>0.15</v>
      </c>
      <c r="E310" s="3265">
        <v>0.15</v>
      </c>
      <c r="F310" s="3265">
        <v>0.15</v>
      </c>
      <c r="G310" s="3266">
        <v>0.15</v>
      </c>
    </row>
    <row r="311" spans="1:7">
      <c r="A311" s="3275" t="s">
        <v>306</v>
      </c>
      <c r="B311" s="3264" t="s">
        <v>3001</v>
      </c>
      <c r="C311" s="3265">
        <v>0.13200000000000001</v>
      </c>
      <c r="D311" s="3265">
        <v>0.13300000000000001</v>
      </c>
      <c r="E311" s="3265">
        <v>0.14499999999999999</v>
      </c>
      <c r="F311" s="3265">
        <v>0.14199999999999999</v>
      </c>
      <c r="G311" s="3266">
        <v>0.14000000000000001</v>
      </c>
    </row>
    <row r="312" spans="1:7">
      <c r="A312" s="3275" t="s">
        <v>306</v>
      </c>
      <c r="B312" s="3264" t="s">
        <v>3006</v>
      </c>
      <c r="C312" s="3265">
        <v>0.13800000000000001</v>
      </c>
      <c r="D312" s="3265">
        <v>0.14000000000000001</v>
      </c>
      <c r="E312" s="3265">
        <v>0.14599999999999999</v>
      </c>
      <c r="F312" s="3265">
        <v>0.14899999999999999</v>
      </c>
      <c r="G312" s="3266">
        <v>0.14199999999999999</v>
      </c>
    </row>
    <row r="313" spans="1:7">
      <c r="A313" s="3275" t="s">
        <v>306</v>
      </c>
      <c r="B313" s="3264" t="s">
        <v>3011</v>
      </c>
      <c r="C313" s="3265">
        <v>0.125</v>
      </c>
      <c r="D313" s="3265">
        <v>0.127</v>
      </c>
      <c r="E313" s="3265">
        <v>0.14399999999999999</v>
      </c>
      <c r="F313" s="3265">
        <v>0.115</v>
      </c>
      <c r="G313" s="3266">
        <v>0.13600000000000001</v>
      </c>
    </row>
    <row r="314" spans="1:7">
      <c r="A314" s="3275" t="s">
        <v>306</v>
      </c>
      <c r="B314" s="3264" t="s">
        <v>3220</v>
      </c>
      <c r="C314" s="3281"/>
      <c r="D314" s="3281"/>
      <c r="E314" s="3281"/>
      <c r="F314" s="3265">
        <v>0.05</v>
      </c>
      <c r="G314" s="3282"/>
    </row>
    <row r="315" spans="1:7">
      <c r="A315" s="3275" t="s">
        <v>306</v>
      </c>
      <c r="B315" s="3264" t="s">
        <v>3221</v>
      </c>
      <c r="C315" s="3281"/>
      <c r="D315" s="3281"/>
      <c r="E315" s="3281"/>
      <c r="F315" s="3265">
        <v>0.05</v>
      </c>
      <c r="G315" s="3282"/>
    </row>
    <row r="316" spans="1:7">
      <c r="A316" s="3275" t="s">
        <v>306</v>
      </c>
      <c r="B316" s="3264" t="s">
        <v>3222</v>
      </c>
      <c r="C316" s="3276"/>
      <c r="D316" s="3276"/>
      <c r="E316" s="3276"/>
      <c r="F316" s="3265">
        <v>0.05</v>
      </c>
      <c r="G316" s="3282"/>
    </row>
    <row r="317" spans="1:7">
      <c r="A317" s="3275" t="s">
        <v>306</v>
      </c>
      <c r="B317" s="3264" t="s">
        <v>3223</v>
      </c>
      <c r="C317" s="3276"/>
      <c r="D317" s="3276"/>
      <c r="E317" s="3276"/>
      <c r="F317" s="3265">
        <v>0.05</v>
      </c>
      <c r="G317" s="3282"/>
    </row>
    <row r="318" spans="1:7">
      <c r="A318" s="3275" t="s">
        <v>306</v>
      </c>
      <c r="B318" s="3264" t="s">
        <v>3224</v>
      </c>
      <c r="C318" s="3276"/>
      <c r="D318" s="3276"/>
      <c r="E318" s="3276"/>
      <c r="F318" s="3265">
        <v>0.05</v>
      </c>
      <c r="G318" s="3282"/>
    </row>
    <row r="319" spans="1:7">
      <c r="A319" s="3275" t="s">
        <v>306</v>
      </c>
      <c r="B319" s="3264" t="s">
        <v>3225</v>
      </c>
      <c r="C319" s="3276"/>
      <c r="D319" s="3276"/>
      <c r="E319" s="3276"/>
      <c r="F319" s="3265">
        <v>0.05</v>
      </c>
      <c r="G319" s="3282"/>
    </row>
    <row r="320" spans="1:7">
      <c r="A320" s="3275" t="s">
        <v>306</v>
      </c>
      <c r="B320" s="3264" t="s">
        <v>3226</v>
      </c>
      <c r="C320" s="3276"/>
      <c r="D320" s="3276"/>
      <c r="E320" s="3276"/>
      <c r="F320" s="3265">
        <v>0.05</v>
      </c>
      <c r="G320" s="3282"/>
    </row>
    <row r="321" spans="1:7">
      <c r="A321" s="3275" t="s">
        <v>306</v>
      </c>
      <c r="B321" s="3264" t="s">
        <v>3227</v>
      </c>
      <c r="C321" s="3276"/>
      <c r="D321" s="3276"/>
      <c r="E321" s="3276"/>
      <c r="F321" s="3265">
        <v>0.05</v>
      </c>
      <c r="G321" s="3282"/>
    </row>
    <row r="322" spans="1:7">
      <c r="A322" s="3275" t="s">
        <v>306</v>
      </c>
      <c r="B322" s="3264" t="s">
        <v>3228</v>
      </c>
      <c r="C322" s="3276"/>
      <c r="D322" s="3276"/>
      <c r="E322" s="3276"/>
      <c r="F322" s="3265">
        <v>0.05</v>
      </c>
      <c r="G322" s="3282"/>
    </row>
    <row r="323" spans="1:7">
      <c r="A323" s="3275" t="s">
        <v>306</v>
      </c>
      <c r="B323" s="3264" t="s">
        <v>3229</v>
      </c>
      <c r="C323" s="3276"/>
      <c r="D323" s="3276"/>
      <c r="E323" s="3276"/>
      <c r="F323" s="3265">
        <v>0.05</v>
      </c>
      <c r="G323" s="3282"/>
    </row>
    <row r="324" spans="1:7">
      <c r="A324" s="3275" t="s">
        <v>306</v>
      </c>
      <c r="B324" s="3264" t="s">
        <v>3230</v>
      </c>
      <c r="C324" s="3276"/>
      <c r="D324" s="3276"/>
      <c r="E324" s="3276"/>
      <c r="F324" s="3265">
        <v>0.05</v>
      </c>
      <c r="G324" s="3282"/>
    </row>
    <row r="325" spans="1:7">
      <c r="A325" s="3275" t="s">
        <v>306</v>
      </c>
      <c r="B325" s="3264" t="s">
        <v>3231</v>
      </c>
      <c r="C325" s="3276"/>
      <c r="D325" s="3276"/>
      <c r="E325" s="3276"/>
      <c r="F325" s="3265">
        <v>0.05</v>
      </c>
      <c r="G325" s="3282"/>
    </row>
    <row r="326" spans="1:7" ht="15" thickBot="1">
      <c r="A326" s="3278" t="s">
        <v>306</v>
      </c>
      <c r="B326" s="3268" t="s">
        <v>3232</v>
      </c>
      <c r="C326" s="3270"/>
      <c r="D326" s="3270"/>
      <c r="E326" s="3270"/>
      <c r="F326" s="3269">
        <v>0.05</v>
      </c>
      <c r="G326" s="3283"/>
    </row>
    <row r="327" spans="1:7">
      <c r="A327" s="3274" t="s">
        <v>307</v>
      </c>
      <c r="B327" s="3260" t="s">
        <v>2864</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2876</v>
      </c>
      <c r="C329" s="3265">
        <v>0.15</v>
      </c>
      <c r="D329" s="3265">
        <v>0.15</v>
      </c>
      <c r="E329" s="3265">
        <v>0.15</v>
      </c>
      <c r="F329" s="3265">
        <v>0.15</v>
      </c>
      <c r="G329" s="3266">
        <v>0.15</v>
      </c>
    </row>
    <row r="330" spans="1:7">
      <c r="A330" s="3275" t="s">
        <v>307</v>
      </c>
      <c r="B330" s="3264" t="s">
        <v>2880</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2888</v>
      </c>
      <c r="C332" s="3265">
        <v>0.15</v>
      </c>
      <c r="D332" s="3265">
        <v>0.15</v>
      </c>
      <c r="E332" s="3265">
        <v>0.15</v>
      </c>
      <c r="F332" s="3265">
        <v>0.15</v>
      </c>
      <c r="G332" s="3266">
        <v>0.15</v>
      </c>
    </row>
    <row r="333" spans="1:7">
      <c r="A333" s="3275" t="s">
        <v>307</v>
      </c>
      <c r="B333" s="3264" t="s">
        <v>2892</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2898</v>
      </c>
      <c r="C336" s="3265">
        <v>0.15</v>
      </c>
      <c r="D336" s="3265">
        <v>0.15</v>
      </c>
      <c r="E336" s="3265">
        <v>0.15</v>
      </c>
      <c r="F336" s="3265">
        <v>0.14199999999999999</v>
      </c>
      <c r="G336" s="3266">
        <v>0.15</v>
      </c>
    </row>
    <row r="337" spans="1:7">
      <c r="A337" s="3275" t="s">
        <v>307</v>
      </c>
      <c r="B337" s="3264" t="s">
        <v>2903</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2910</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2915</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2923</v>
      </c>
      <c r="C345" s="3265">
        <v>0.15</v>
      </c>
      <c r="D345" s="3265">
        <v>0.15</v>
      </c>
      <c r="E345" s="3265">
        <v>0.15</v>
      </c>
      <c r="F345" s="3265">
        <v>0.13800000000000001</v>
      </c>
      <c r="G345" s="3266">
        <v>0.15</v>
      </c>
    </row>
    <row r="346" spans="1:7">
      <c r="A346" s="3275" t="s">
        <v>307</v>
      </c>
      <c r="B346" s="3264" t="s">
        <v>2925</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2932</v>
      </c>
      <c r="C348" s="3265">
        <v>0.15</v>
      </c>
      <c r="D348" s="3265">
        <v>0.15</v>
      </c>
      <c r="E348" s="3265">
        <v>0.15</v>
      </c>
      <c r="F348" s="3265">
        <v>0.14399999999999999</v>
      </c>
      <c r="G348" s="3266">
        <v>0.15</v>
      </c>
    </row>
    <row r="349" spans="1:7">
      <c r="A349" s="3275" t="s">
        <v>307</v>
      </c>
      <c r="B349" s="3264" t="s">
        <v>2937</v>
      </c>
      <c r="C349" s="3265">
        <v>0.15</v>
      </c>
      <c r="D349" s="3265">
        <v>0.15</v>
      </c>
      <c r="E349" s="3265">
        <v>0.15</v>
      </c>
      <c r="F349" s="3265">
        <v>0.15</v>
      </c>
      <c r="G349" s="3266">
        <v>0.15</v>
      </c>
    </row>
    <row r="350" spans="1:7">
      <c r="A350" s="3275" t="s">
        <v>307</v>
      </c>
      <c r="B350" s="3264" t="s">
        <v>2940</v>
      </c>
      <c r="C350" s="3265">
        <v>0.15</v>
      </c>
      <c r="D350" s="3265">
        <v>0.15</v>
      </c>
      <c r="E350" s="3265">
        <v>0.15</v>
      </c>
      <c r="F350" s="3265">
        <v>0.14699999999999999</v>
      </c>
      <c r="G350" s="3266">
        <v>0.15</v>
      </c>
    </row>
    <row r="351" spans="1:7">
      <c r="A351" s="3275" t="s">
        <v>307</v>
      </c>
      <c r="B351" s="3264" t="s">
        <v>2945</v>
      </c>
      <c r="C351" s="3265">
        <v>0.15</v>
      </c>
      <c r="D351" s="3265">
        <v>0.15</v>
      </c>
      <c r="E351" s="3265">
        <v>0.15</v>
      </c>
      <c r="F351" s="3265">
        <v>0.13</v>
      </c>
      <c r="G351" s="3266">
        <v>0.15</v>
      </c>
    </row>
    <row r="352" spans="1:7">
      <c r="A352" s="3275" t="s">
        <v>307</v>
      </c>
      <c r="B352" s="3264" t="s">
        <v>2950</v>
      </c>
      <c r="C352" s="3265">
        <v>0.15</v>
      </c>
      <c r="D352" s="3265">
        <v>0.15</v>
      </c>
      <c r="E352" s="3265">
        <v>0.15</v>
      </c>
      <c r="F352" s="3265">
        <v>0.14599999999999999</v>
      </c>
      <c r="G352" s="3266">
        <v>0.15</v>
      </c>
    </row>
    <row r="353" spans="1:7">
      <c r="A353" s="3275" t="s">
        <v>307</v>
      </c>
      <c r="B353" s="3264" t="s">
        <v>2957</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2970</v>
      </c>
      <c r="C355" s="3265">
        <v>0.15</v>
      </c>
      <c r="D355" s="3265">
        <v>0.15</v>
      </c>
      <c r="E355" s="3265">
        <v>0.15</v>
      </c>
      <c r="F355" s="3265">
        <v>0.15</v>
      </c>
      <c r="G355" s="3266">
        <v>0.15</v>
      </c>
    </row>
    <row r="356" spans="1:7">
      <c r="A356" s="3275" t="s">
        <v>307</v>
      </c>
      <c r="B356" s="3264" t="s">
        <v>2977</v>
      </c>
      <c r="C356" s="3265">
        <v>0.15</v>
      </c>
      <c r="D356" s="3265">
        <v>0.15</v>
      </c>
      <c r="E356" s="3265">
        <v>0.15</v>
      </c>
      <c r="F356" s="3265">
        <v>0.15</v>
      </c>
      <c r="G356" s="3266">
        <v>0.15</v>
      </c>
    </row>
    <row r="357" spans="1:7" ht="15" thickBot="1">
      <c r="A357" s="3278" t="s">
        <v>307</v>
      </c>
      <c r="B357" s="3268" t="s">
        <v>2982</v>
      </c>
      <c r="C357" s="3269">
        <v>0.126</v>
      </c>
      <c r="D357" s="3269">
        <v>0.127</v>
      </c>
      <c r="E357" s="3269">
        <v>0.14299999999999999</v>
      </c>
      <c r="F357" s="3269">
        <v>0.125</v>
      </c>
      <c r="G357" s="3271">
        <v>0.129</v>
      </c>
    </row>
    <row r="358" spans="1:7">
      <c r="A358" s="3274" t="s">
        <v>2851</v>
      </c>
      <c r="B358" s="3260" t="s">
        <v>2865</v>
      </c>
      <c r="C358" s="3261">
        <v>0.15</v>
      </c>
      <c r="D358" s="3261">
        <v>0.15</v>
      </c>
      <c r="E358" s="3261">
        <v>0.15</v>
      </c>
      <c r="F358" s="3261">
        <v>0.15</v>
      </c>
      <c r="G358" s="3262">
        <v>0.15</v>
      </c>
    </row>
    <row r="359" spans="1:7">
      <c r="A359" s="3275" t="s">
        <v>2851</v>
      </c>
      <c r="B359" s="3264" t="s">
        <v>2871</v>
      </c>
      <c r="C359" s="3265">
        <v>0.1</v>
      </c>
      <c r="D359" s="3265">
        <v>0.1</v>
      </c>
      <c r="E359" s="3265">
        <v>0.1</v>
      </c>
      <c r="F359" s="3265">
        <v>0.1</v>
      </c>
      <c r="G359" s="3266">
        <v>0.1</v>
      </c>
    </row>
    <row r="360" spans="1:7">
      <c r="A360" s="3275" t="s">
        <v>2851</v>
      </c>
      <c r="B360" s="3264" t="s">
        <v>2877</v>
      </c>
      <c r="C360" s="3265">
        <v>0.15</v>
      </c>
      <c r="D360" s="3265">
        <v>0.15</v>
      </c>
      <c r="E360" s="3265">
        <v>0.15</v>
      </c>
      <c r="F360" s="3265">
        <v>0.14899999999999999</v>
      </c>
      <c r="G360" s="3266">
        <v>0.15</v>
      </c>
    </row>
    <row r="361" spans="1:7">
      <c r="A361" s="3275" t="s">
        <v>2851</v>
      </c>
      <c r="B361" s="3264" t="s">
        <v>153</v>
      </c>
      <c r="C361" s="3265">
        <v>0.15</v>
      </c>
      <c r="D361" s="3265">
        <v>0.15</v>
      </c>
      <c r="E361" s="3265">
        <v>0.15</v>
      </c>
      <c r="F361" s="3265">
        <v>0.115</v>
      </c>
      <c r="G361" s="3266">
        <v>0.15</v>
      </c>
    </row>
    <row r="362" spans="1:7">
      <c r="A362" s="3275" t="s">
        <v>2851</v>
      </c>
      <c r="B362" s="3264" t="s">
        <v>2884</v>
      </c>
      <c r="C362" s="3265">
        <v>0.15</v>
      </c>
      <c r="D362" s="3265">
        <v>0.15</v>
      </c>
      <c r="E362" s="3265">
        <v>0.15</v>
      </c>
      <c r="F362" s="3265">
        <v>0.106</v>
      </c>
      <c r="G362" s="3266">
        <v>0.15</v>
      </c>
    </row>
    <row r="363" spans="1:7">
      <c r="A363" s="3275" t="s">
        <v>2851</v>
      </c>
      <c r="B363" s="3264" t="s">
        <v>2889</v>
      </c>
      <c r="C363" s="3265">
        <v>0.15</v>
      </c>
      <c r="D363" s="3265">
        <v>0.15</v>
      </c>
      <c r="E363" s="3265">
        <v>0.15</v>
      </c>
      <c r="F363" s="3265">
        <v>0.14699999999999999</v>
      </c>
      <c r="G363" s="3266">
        <v>0.15</v>
      </c>
    </row>
    <row r="364" spans="1:7">
      <c r="A364" s="3275" t="s">
        <v>2851</v>
      </c>
      <c r="B364" s="3264" t="s">
        <v>2893</v>
      </c>
      <c r="C364" s="3265">
        <v>0.15</v>
      </c>
      <c r="D364" s="3265">
        <v>0.15</v>
      </c>
      <c r="E364" s="3265">
        <v>0.15</v>
      </c>
      <c r="F364" s="3265">
        <v>0.14799999999999999</v>
      </c>
      <c r="G364" s="3266">
        <v>0.15</v>
      </c>
    </row>
    <row r="365" spans="1:7">
      <c r="A365" s="3275" t="s">
        <v>2851</v>
      </c>
      <c r="B365" s="3264" t="s">
        <v>200</v>
      </c>
      <c r="C365" s="3265">
        <v>0.15</v>
      </c>
      <c r="D365" s="3265">
        <v>0.15</v>
      </c>
      <c r="E365" s="3265">
        <v>0.15</v>
      </c>
      <c r="F365" s="3265">
        <v>0.15</v>
      </c>
      <c r="G365" s="3266">
        <v>0.15</v>
      </c>
    </row>
    <row r="366" spans="1:7">
      <c r="A366" s="3275" t="s">
        <v>2851</v>
      </c>
      <c r="B366" s="3264" t="s">
        <v>2896</v>
      </c>
      <c r="C366" s="3265">
        <v>0.15</v>
      </c>
      <c r="D366" s="3265">
        <v>0.15</v>
      </c>
      <c r="E366" s="3265">
        <v>0.15</v>
      </c>
      <c r="F366" s="3265">
        <v>0.15</v>
      </c>
      <c r="G366" s="3266">
        <v>0.15</v>
      </c>
    </row>
    <row r="367" spans="1:7">
      <c r="A367" s="3275" t="s">
        <v>2851</v>
      </c>
      <c r="B367" s="3264" t="s">
        <v>2899</v>
      </c>
      <c r="C367" s="3265">
        <v>0.15</v>
      </c>
      <c r="D367" s="3265">
        <v>0.15</v>
      </c>
      <c r="E367" s="3265">
        <v>0.15</v>
      </c>
      <c r="F367" s="3265">
        <v>0.14699999999999999</v>
      </c>
      <c r="G367" s="3266">
        <v>0.15</v>
      </c>
    </row>
    <row r="368" spans="1:7">
      <c r="A368" s="3275" t="s">
        <v>2851</v>
      </c>
      <c r="B368" s="3264" t="s">
        <v>2904</v>
      </c>
      <c r="C368" s="3265">
        <v>0.15</v>
      </c>
      <c r="D368" s="3265">
        <v>0.15</v>
      </c>
      <c r="E368" s="3265">
        <v>0.15</v>
      </c>
      <c r="F368" s="3265">
        <v>0.13600000000000001</v>
      </c>
      <c r="G368" s="3266">
        <v>0.15</v>
      </c>
    </row>
    <row r="369" spans="1:7">
      <c r="A369" s="3275" t="s">
        <v>2851</v>
      </c>
      <c r="B369" s="3264" t="s">
        <v>214</v>
      </c>
      <c r="C369" s="3265">
        <v>0.15</v>
      </c>
      <c r="D369" s="3265">
        <v>0.15</v>
      </c>
      <c r="E369" s="3265">
        <v>0.15</v>
      </c>
      <c r="F369" s="3265">
        <v>0.14399999999999999</v>
      </c>
      <c r="G369" s="3266">
        <v>0.15</v>
      </c>
    </row>
    <row r="370" spans="1:7">
      <c r="A370" s="3275" t="s">
        <v>2851</v>
      </c>
      <c r="B370" s="3264" t="s">
        <v>221</v>
      </c>
      <c r="C370" s="3265">
        <v>0.15</v>
      </c>
      <c r="D370" s="3265">
        <v>0.15</v>
      </c>
      <c r="E370" s="3265">
        <v>0.15</v>
      </c>
      <c r="F370" s="3265">
        <v>0.14599999999999999</v>
      </c>
      <c r="G370" s="3266">
        <v>0.15</v>
      </c>
    </row>
    <row r="371" spans="1:7">
      <c r="A371" s="3275" t="s">
        <v>2851</v>
      </c>
      <c r="B371" s="3264" t="s">
        <v>229</v>
      </c>
      <c r="C371" s="3265">
        <v>0.15</v>
      </c>
      <c r="D371" s="3265">
        <v>0.15</v>
      </c>
      <c r="E371" s="3265">
        <v>0.15</v>
      </c>
      <c r="F371" s="3265">
        <v>0.12</v>
      </c>
      <c r="G371" s="3266">
        <v>0.15</v>
      </c>
    </row>
    <row r="372" spans="1:7">
      <c r="A372" s="3275" t="s">
        <v>2851</v>
      </c>
      <c r="B372" s="3264" t="s">
        <v>2912</v>
      </c>
      <c r="C372" s="3265">
        <v>0.15</v>
      </c>
      <c r="D372" s="3265">
        <v>0.15</v>
      </c>
      <c r="E372" s="3265">
        <v>0.15</v>
      </c>
      <c r="F372" s="3265">
        <v>0.14299999999999999</v>
      </c>
      <c r="G372" s="3266">
        <v>0.15</v>
      </c>
    </row>
    <row r="373" spans="1:7">
      <c r="A373" s="3275" t="s">
        <v>2851</v>
      </c>
      <c r="B373" s="3264" t="s">
        <v>258</v>
      </c>
      <c r="C373" s="3265">
        <v>0.15</v>
      </c>
      <c r="D373" s="3265">
        <v>0.15</v>
      </c>
      <c r="E373" s="3265">
        <v>0.15</v>
      </c>
      <c r="F373" s="3265">
        <v>0.14599999999999999</v>
      </c>
      <c r="G373" s="3266">
        <v>0.15</v>
      </c>
    </row>
    <row r="374" spans="1:7">
      <c r="A374" s="3275" t="s">
        <v>2851</v>
      </c>
      <c r="B374" s="3264" t="s">
        <v>266</v>
      </c>
      <c r="C374" s="3265">
        <v>0.15</v>
      </c>
      <c r="D374" s="3265">
        <v>0.15</v>
      </c>
      <c r="E374" s="3265">
        <v>0.15</v>
      </c>
      <c r="F374" s="3265">
        <v>0.14399999999999999</v>
      </c>
      <c r="G374" s="3266">
        <v>0.15</v>
      </c>
    </row>
    <row r="375" spans="1:7">
      <c r="A375" s="3275" t="s">
        <v>2851</v>
      </c>
      <c r="B375" s="3264" t="s">
        <v>2920</v>
      </c>
      <c r="C375" s="3265">
        <v>0.15</v>
      </c>
      <c r="D375" s="3265">
        <v>0.15</v>
      </c>
      <c r="E375" s="3265">
        <v>0.15</v>
      </c>
      <c r="F375" s="3265">
        <v>0.13</v>
      </c>
      <c r="G375" s="3266">
        <v>0.15</v>
      </c>
    </row>
    <row r="376" spans="1:7">
      <c r="A376" s="3275" t="s">
        <v>2851</v>
      </c>
      <c r="B376" s="3264" t="s">
        <v>277</v>
      </c>
      <c r="C376" s="3265">
        <v>0.15</v>
      </c>
      <c r="D376" s="3265">
        <v>0.15</v>
      </c>
      <c r="E376" s="3265">
        <v>0.15</v>
      </c>
      <c r="F376" s="3265">
        <v>0.14199999999999999</v>
      </c>
      <c r="G376" s="3266">
        <v>0.15</v>
      </c>
    </row>
    <row r="377" spans="1:7" ht="15" thickBot="1">
      <c r="A377" s="3278" t="s">
        <v>2851</v>
      </c>
      <c r="B377" s="3268" t="s">
        <v>2926</v>
      </c>
      <c r="C377" s="3269">
        <v>0.15</v>
      </c>
      <c r="D377" s="3269">
        <v>0.15</v>
      </c>
      <c r="E377" s="3269">
        <v>0.15</v>
      </c>
      <c r="F377" s="3269">
        <v>0.14000000000000001</v>
      </c>
      <c r="G377" s="3271">
        <v>0.15</v>
      </c>
    </row>
    <row r="378" spans="1:7">
      <c r="A378" s="3274" t="s">
        <v>2852</v>
      </c>
      <c r="B378" s="3260" t="s">
        <v>2866</v>
      </c>
      <c r="C378" s="3261">
        <v>0.15</v>
      </c>
      <c r="D378" s="3261">
        <v>0.15</v>
      </c>
      <c r="E378" s="3261">
        <v>0.15</v>
      </c>
      <c r="F378" s="3261">
        <v>0.107</v>
      </c>
      <c r="G378" s="3262">
        <v>0.15</v>
      </c>
    </row>
    <row r="379" spans="1:7">
      <c r="A379" s="3275" t="s">
        <v>2852</v>
      </c>
      <c r="B379" s="3264" t="s">
        <v>2872</v>
      </c>
      <c r="C379" s="3265">
        <v>0.15</v>
      </c>
      <c r="D379" s="3265">
        <v>0.15</v>
      </c>
      <c r="E379" s="3265">
        <v>0.15</v>
      </c>
      <c r="F379" s="3265">
        <v>0.115</v>
      </c>
      <c r="G379" s="3266">
        <v>0.14899999999999999</v>
      </c>
    </row>
    <row r="380" spans="1:7">
      <c r="A380" s="3275" t="s">
        <v>2852</v>
      </c>
      <c r="B380" s="3264" t="s">
        <v>2878</v>
      </c>
      <c r="C380" s="3265">
        <v>0.15</v>
      </c>
      <c r="D380" s="3265">
        <v>0.15</v>
      </c>
      <c r="E380" s="3265">
        <v>0.15</v>
      </c>
      <c r="F380" s="3265">
        <v>0.1</v>
      </c>
      <c r="G380" s="3266">
        <v>0.14799999999999999</v>
      </c>
    </row>
    <row r="381" spans="1:7">
      <c r="A381" s="3275" t="s">
        <v>2852</v>
      </c>
      <c r="B381" s="3264" t="s">
        <v>2881</v>
      </c>
      <c r="C381" s="3265">
        <v>0.15</v>
      </c>
      <c r="D381" s="3265">
        <v>0.15</v>
      </c>
      <c r="E381" s="3265">
        <v>0.15</v>
      </c>
      <c r="F381" s="3265">
        <v>0.126</v>
      </c>
      <c r="G381" s="3266">
        <v>0.15</v>
      </c>
    </row>
    <row r="382" spans="1:7">
      <c r="A382" s="3275" t="s">
        <v>2852</v>
      </c>
      <c r="B382" s="3264" t="s">
        <v>2885</v>
      </c>
      <c r="C382" s="3265">
        <v>0.15</v>
      </c>
      <c r="D382" s="3265">
        <v>0.15</v>
      </c>
      <c r="E382" s="3265">
        <v>0.15</v>
      </c>
      <c r="F382" s="3265">
        <v>0.15</v>
      </c>
      <c r="G382" s="3266">
        <v>0.15</v>
      </c>
    </row>
    <row r="383" spans="1:7">
      <c r="A383" s="3275" t="s">
        <v>2852</v>
      </c>
      <c r="B383" s="3264" t="s">
        <v>2890</v>
      </c>
      <c r="C383" s="3265">
        <v>0.15</v>
      </c>
      <c r="D383" s="3265">
        <v>0.15</v>
      </c>
      <c r="E383" s="3265">
        <v>0.15</v>
      </c>
      <c r="F383" s="3265">
        <v>0.14699999999999999</v>
      </c>
      <c r="G383" s="3266">
        <v>0.15</v>
      </c>
    </row>
    <row r="384" spans="1:7" ht="15" thickBot="1">
      <c r="A384" s="3285" t="s">
        <v>2852</v>
      </c>
      <c r="B384" s="3286" t="s">
        <v>2894</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90"/>
  </cols>
  <sheetData>
    <row r="1" spans="1:6">
      <c r="A1" s="3809" t="s">
        <v>3233</v>
      </c>
      <c r="B1" s="3809"/>
      <c r="C1" s="3809"/>
      <c r="D1" s="3809"/>
      <c r="E1" s="3809"/>
      <c r="F1" s="3810"/>
    </row>
    <row r="2" spans="1:6">
      <c r="A2" s="3291" t="s">
        <v>3234</v>
      </c>
      <c r="B2" s="3292"/>
      <c r="C2" s="3292"/>
      <c r="D2" s="3292"/>
      <c r="E2" s="3292"/>
      <c r="F2" s="3292"/>
    </row>
    <row r="3" spans="1:6">
      <c r="A3" s="3291" t="s">
        <v>3235</v>
      </c>
      <c r="B3" s="3292"/>
      <c r="C3" s="3292"/>
      <c r="D3" s="3292"/>
      <c r="E3" s="3292"/>
      <c r="F3" s="3293" t="s">
        <v>3236</v>
      </c>
    </row>
    <row r="4" spans="1:6">
      <c r="A4" s="3294" t="s">
        <v>672</v>
      </c>
      <c r="B4" s="3294" t="s">
        <v>673</v>
      </c>
      <c r="C4" s="3294" t="s">
        <v>21</v>
      </c>
      <c r="D4" s="3294" t="s">
        <v>674</v>
      </c>
      <c r="E4" s="3294" t="s">
        <v>3</v>
      </c>
      <c r="F4" s="3294" t="s">
        <v>3237</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1">
        <f>基准地价修正!G23</f>
        <v>41356</v>
      </c>
      <c r="B1" s="3210" t="s">
        <v>3372</v>
      </c>
      <c r="C1" s="3211"/>
      <c r="D1" s="3211"/>
      <c r="E1" s="3211"/>
      <c r="F1" s="3211"/>
      <c r="G1" s="3211"/>
      <c r="H1" s="3211"/>
      <c r="I1" s="3211"/>
      <c r="J1" s="3165"/>
      <c r="K1" s="3211" t="s">
        <v>454</v>
      </c>
      <c r="L1" s="3211"/>
      <c r="M1" s="3211"/>
      <c r="N1" s="3211"/>
      <c r="O1" s="3211"/>
      <c r="P1" s="3211"/>
      <c r="Q1" s="3165"/>
      <c r="R1" s="3811" t="s">
        <v>456</v>
      </c>
      <c r="S1" s="3812"/>
      <c r="T1" s="3812"/>
      <c r="U1" s="3812"/>
      <c r="V1" s="3812"/>
      <c r="W1" s="3812"/>
      <c r="X1" s="3165"/>
      <c r="Y1" s="3811" t="s">
        <v>457</v>
      </c>
      <c r="Z1" s="3812"/>
      <c r="AA1" s="3812"/>
      <c r="AB1" s="3812"/>
      <c r="AC1" s="3812"/>
      <c r="AD1" s="3812"/>
    </row>
    <row r="2" spans="1:30" s="3143" customFormat="1" ht="15" thickBot="1">
      <c r="B2" s="3144"/>
      <c r="C2" s="3145"/>
      <c r="D2" s="3146" t="s">
        <v>2811</v>
      </c>
      <c r="E2" s="3147" t="s">
        <v>2812</v>
      </c>
      <c r="F2" s="3147" t="s">
        <v>2813</v>
      </c>
      <c r="G2" s="3147" t="s">
        <v>2814</v>
      </c>
      <c r="H2" s="3147" t="s">
        <v>2815</v>
      </c>
      <c r="I2" s="3147" t="s">
        <v>2632</v>
      </c>
      <c r="J2" s="3148"/>
      <c r="K2" s="3146" t="s">
        <v>2811</v>
      </c>
      <c r="L2" s="3147" t="s">
        <v>2812</v>
      </c>
      <c r="M2" s="3147" t="s">
        <v>2813</v>
      </c>
      <c r="N2" s="3147" t="s">
        <v>2814</v>
      </c>
      <c r="O2" s="3147" t="s">
        <v>2816</v>
      </c>
      <c r="P2" s="3147" t="s">
        <v>2632</v>
      </c>
      <c r="Q2" s="3148"/>
      <c r="R2" s="3146" t="s">
        <v>2811</v>
      </c>
      <c r="S2" s="3147" t="s">
        <v>2812</v>
      </c>
      <c r="T2" s="3147" t="s">
        <v>2813</v>
      </c>
      <c r="U2" s="3147" t="s">
        <v>2817</v>
      </c>
      <c r="V2" s="3147" t="s">
        <v>2818</v>
      </c>
      <c r="W2" s="3147" t="s">
        <v>2632</v>
      </c>
      <c r="X2" s="3148"/>
      <c r="Y2" s="3146" t="s">
        <v>2811</v>
      </c>
      <c r="Z2" s="3147" t="s">
        <v>2812</v>
      </c>
      <c r="AA2" s="3147" t="s">
        <v>2813</v>
      </c>
      <c r="AB2" s="3147" t="s">
        <v>2819</v>
      </c>
      <c r="AC2" s="3147" t="s">
        <v>2818</v>
      </c>
      <c r="AD2" s="3147" t="s">
        <v>2632</v>
      </c>
    </row>
    <row r="3" spans="1:30" s="3161" customFormat="1" ht="13.2">
      <c r="A3" s="3149" t="s">
        <v>2820</v>
      </c>
      <c r="B3" s="3150"/>
      <c r="C3" s="3151"/>
      <c r="D3" s="3151">
        <f>ROUND(AVERAGEIF(D4:D19,"&lt;&gt;0"),2)</f>
        <v>0.59</v>
      </c>
      <c r="E3" s="3151">
        <f t="shared" ref="E3:H3" si="0">ROUND(AVERAGEIF(E4:E19,"&lt;&gt;0"),2)</f>
        <v>0.36</v>
      </c>
      <c r="F3" s="3151">
        <f t="shared" si="0"/>
        <v>0.06</v>
      </c>
      <c r="G3" s="3151">
        <f t="shared" si="0"/>
        <v>0.6</v>
      </c>
      <c r="H3" s="3151">
        <f t="shared" si="0"/>
        <v>0.6</v>
      </c>
      <c r="I3" s="3151">
        <f>F3</f>
        <v>0.06</v>
      </c>
      <c r="J3" s="3152"/>
      <c r="K3" s="3153">
        <f>ROUND(AVERAGEIF(K4:K19,"&lt;&gt;0"),4)</f>
        <v>5.8999999999999999E-3</v>
      </c>
      <c r="L3" s="3154">
        <f t="shared" ref="L3:O3" si="1">ROUND(AVERAGEIF(L4:L19,"&lt;&gt;0"),4)</f>
        <v>3.5999999999999999E-3</v>
      </c>
      <c r="M3" s="3154">
        <f t="shared" si="1"/>
        <v>5.9999999999999995E-4</v>
      </c>
      <c r="N3" s="3154">
        <f t="shared" si="1"/>
        <v>6.0000000000000001E-3</v>
      </c>
      <c r="O3" s="3154">
        <f t="shared" si="1"/>
        <v>6.0000000000000001E-3</v>
      </c>
      <c r="P3" s="3154">
        <f>M3</f>
        <v>5.9999999999999995E-4</v>
      </c>
      <c r="Q3" s="3152"/>
      <c r="R3" s="3155">
        <f>ROUND(SUMPRODUCT(PRODUCT(1+K4:K19)),4)</f>
        <v>1.0852999999999999</v>
      </c>
      <c r="S3" s="3156">
        <f t="shared" ref="S3:V3" si="2">ROUND(SUMPRODUCT(PRODUCT(1+L4:L19)),4)</f>
        <v>1.0513999999999999</v>
      </c>
      <c r="T3" s="3156">
        <f t="shared" si="2"/>
        <v>1.0083</v>
      </c>
      <c r="U3" s="3156">
        <f t="shared" si="2"/>
        <v>1.0871999999999999</v>
      </c>
      <c r="V3" s="3156">
        <f t="shared" si="2"/>
        <v>1.0880000000000001</v>
      </c>
      <c r="W3" s="3155">
        <f>T3</f>
        <v>1.0083</v>
      </c>
      <c r="X3" s="3152"/>
      <c r="Y3" s="3157">
        <f>ROUND(AVERAGEIF(Y6:Y19,"&lt;&gt;0"),4)</f>
        <v>8.3999999999999995E-3</v>
      </c>
      <c r="Z3" s="3158">
        <f t="shared" ref="Z3:AC3" si="3">ROUND(AVERAGEIF(Z6:Z19,"&lt;&gt;0"),4)</f>
        <v>3.5000000000000001E-3</v>
      </c>
      <c r="AA3" s="3159">
        <f t="shared" si="3"/>
        <v>8.0000000000000004E-4</v>
      </c>
      <c r="AB3" s="3157">
        <f t="shared" si="3"/>
        <v>9.1000000000000004E-3</v>
      </c>
      <c r="AC3" s="3160">
        <f t="shared" si="3"/>
        <v>6.1000000000000004E-3</v>
      </c>
      <c r="AD3" s="3157">
        <f>AA3</f>
        <v>8.0000000000000004E-4</v>
      </c>
    </row>
    <row r="4" spans="1:30" s="3162" customFormat="1" ht="13.2">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3.2">
      <c r="A5" s="2205" t="s">
        <v>3378</v>
      </c>
      <c r="B5" s="3177">
        <v>2024</v>
      </c>
      <c r="C5" s="3178">
        <v>3</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M5</f>
        <v>0</v>
      </c>
      <c r="Q5" s="3181"/>
      <c r="R5" s="3183">
        <f>ROUND(IF(项目基本情况!$B$8="出让",SUMPRODUCT(PRODUCT(1+K5:$K$19)),SUMPRODUCT(PRODUCT(1+K5:$K$18))),4)</f>
        <v>1.0748</v>
      </c>
      <c r="S5" s="3183">
        <f>ROUND(IF(项目基本情况!$B$8="出让",SUMPRODUCT(PRODUCT(1+L5:$L$19)),SUMPRODUCT(PRODUCT(1+L5:$L$18))),4)</f>
        <v>1.0498000000000001</v>
      </c>
      <c r="T5" s="3183">
        <f>ROUND(IF(项目基本情况!$B$8="出让",SUMPRODUCT(PRODUCT(1+M5:$M$19)),SUMPRODUCT(PRODUCT(1+M5:$M$18))),4)</f>
        <v>1.0107999999999999</v>
      </c>
      <c r="U5" s="3183">
        <f>ROUND(IF(项目基本情况!$B$8="出让",SUMPRODUCT(PRODUCT(1+N5:$N$19)),SUMPRODUCT(PRODUCT(1+N5:$N$18))),4)</f>
        <v>1.0752999999999999</v>
      </c>
      <c r="V5" s="3183">
        <f>ROUND(IF(项目基本情况!$B$8="出让",SUMPRODUCT(PRODUCT(1+O5:$O$19)),SUMPRODUCT(PRODUCT(1+O5:$O$18))),4)</f>
        <v>1.0841000000000001</v>
      </c>
      <c r="W5" s="3183">
        <f>T5</f>
        <v>1.0107999999999999</v>
      </c>
      <c r="X5" s="3181"/>
      <c r="Y5" s="3184">
        <f>IF(D5=0,0,ROUND(AVERAGE(D5:D18)/100,4))</f>
        <v>0</v>
      </c>
      <c r="Z5" s="3184">
        <f t="shared" ref="Z5" si="10">IF(E5=0,0,ROUND(AVERAGE(E5:E18)/100,4))</f>
        <v>0</v>
      </c>
      <c r="AA5" s="3184">
        <f t="shared" ref="AA5" si="11">IF(F5=0,0,ROUND(AVERAGE(F5:F18)/100,4))</f>
        <v>0</v>
      </c>
      <c r="AB5" s="3184">
        <f t="shared" ref="AB5" si="12">IF(G5=0,0,ROUND(AVERAGE(G5:G18)/100,4))</f>
        <v>0</v>
      </c>
      <c r="AC5" s="3184">
        <f t="shared" ref="AC5" si="13">IF(H5=0,0,ROUND(AVERAGE(H5:H18)/100,4))</f>
        <v>0</v>
      </c>
      <c r="AD5" s="3184">
        <f t="shared" ref="AD5" si="14">AA5</f>
        <v>0</v>
      </c>
    </row>
    <row r="6" spans="1:30" s="3195" customFormat="1" ht="13.2">
      <c r="A6" s="3186" t="s">
        <v>3379</v>
      </c>
      <c r="B6" s="3187">
        <v>2024</v>
      </c>
      <c r="C6" s="3188">
        <v>2</v>
      </c>
      <c r="D6" s="3189">
        <v>-0.59</v>
      </c>
      <c r="E6" s="3189">
        <v>-0.21</v>
      </c>
      <c r="F6" s="3189">
        <v>-1.38</v>
      </c>
      <c r="G6" s="3189">
        <v>-1.24</v>
      </c>
      <c r="H6" s="3190">
        <v>0.34</v>
      </c>
      <c r="I6" s="3191">
        <f t="shared" ref="I6:I19" si="15">F6</f>
        <v>-1.38</v>
      </c>
      <c r="J6" s="3192"/>
      <c r="K6" s="3193">
        <f t="shared" ref="K6:O19" si="16">D6/100</f>
        <v>-5.8999999999999999E-3</v>
      </c>
      <c r="L6" s="3194">
        <f t="shared" si="16"/>
        <v>-2.0999999999999999E-3</v>
      </c>
      <c r="M6" s="3194">
        <f t="shared" si="16"/>
        <v>-1.38E-2</v>
      </c>
      <c r="N6" s="3194">
        <f t="shared" si="16"/>
        <v>-1.24E-2</v>
      </c>
      <c r="O6" s="3194">
        <f t="shared" si="16"/>
        <v>3.4000000000000002E-3</v>
      </c>
      <c r="P6" s="3194">
        <f>M6</f>
        <v>-1.38E-2</v>
      </c>
      <c r="Q6" s="3192"/>
      <c r="R6" s="3192">
        <f>ROUND(IF(项目基本情况!$B$8="出让",SUMPRODUCT(PRODUCT(1+K6:$K$19)),SUMPRODUCT(PRODUCT(1+K6:$K$18))),4)</f>
        <v>1.0748</v>
      </c>
      <c r="S6" s="3192">
        <f>ROUND(IF(项目基本情况!$B$8="出让",SUMPRODUCT(PRODUCT(1+L6:$L$19)),SUMPRODUCT(PRODUCT(1+L6:$L$18))),4)</f>
        <v>1.0498000000000001</v>
      </c>
      <c r="T6" s="3192">
        <f>ROUND(IF(项目基本情况!$B$8="出让",SUMPRODUCT(PRODUCT(1+M6:$M$19)),SUMPRODUCT(PRODUCT(1+M6:$M$18))),4)</f>
        <v>1.0107999999999999</v>
      </c>
      <c r="U6" s="3192">
        <f>ROUND(IF(项目基本情况!$B$8="出让",SUMPRODUCT(PRODUCT(1+N6:$N$19)),SUMPRODUCT(PRODUCT(1+N6:$N$18))),4)</f>
        <v>1.0752999999999999</v>
      </c>
      <c r="V6" s="3192">
        <f>ROUND(IF(项目基本情况!$B$8="出让",SUMPRODUCT(PRODUCT(1+O6:$O$19)),SUMPRODUCT(PRODUCT(1+O6:$O$18))),4)</f>
        <v>1.0841000000000001</v>
      </c>
      <c r="W6" s="3192">
        <f>T6</f>
        <v>1.0107999999999999</v>
      </c>
      <c r="X6" s="3192"/>
      <c r="Y6" s="3194">
        <f>IF(D6=0,0,ROUND(AVERAGE(D6:D19)/100,4))</f>
        <v>5.8999999999999999E-3</v>
      </c>
      <c r="Z6" s="3194">
        <f t="shared" ref="Z6:AC6" si="17">IF(E6=0,0,ROUND(AVERAGE(E6:E19)/100,4))</f>
        <v>3.5999999999999999E-3</v>
      </c>
      <c r="AA6" s="3194">
        <f t="shared" si="17"/>
        <v>5.9999999999999995E-4</v>
      </c>
      <c r="AB6" s="3194">
        <f t="shared" si="17"/>
        <v>6.0000000000000001E-3</v>
      </c>
      <c r="AC6" s="3194">
        <f t="shared" si="17"/>
        <v>6.0000000000000001E-3</v>
      </c>
      <c r="AD6" s="3194">
        <f t="shared" ref="AD6:AD18" si="18">AA6</f>
        <v>5.9999999999999995E-4</v>
      </c>
    </row>
    <row r="7" spans="1:30" s="3185" customFormat="1" ht="13.2">
      <c r="A7" s="3176" t="s">
        <v>3381</v>
      </c>
      <c r="B7" s="3177">
        <v>2024</v>
      </c>
      <c r="C7" s="3178">
        <v>1</v>
      </c>
      <c r="D7" s="3179">
        <v>0.08</v>
      </c>
      <c r="E7" s="3179">
        <v>0.46</v>
      </c>
      <c r="F7" s="3179">
        <v>-0.16</v>
      </c>
      <c r="G7" s="3179">
        <v>0.26</v>
      </c>
      <c r="H7" s="3196">
        <v>0.59</v>
      </c>
      <c r="I7" s="3180">
        <v>0</v>
      </c>
      <c r="J7" s="3181"/>
      <c r="K7" s="3182">
        <f t="shared" ref="K7" si="19">D7/100</f>
        <v>8.0000000000000004E-4</v>
      </c>
      <c r="L7" s="3172">
        <f t="shared" ref="L7" si="20">E7/100</f>
        <v>4.5999999999999999E-3</v>
      </c>
      <c r="M7" s="3172">
        <f t="shared" ref="M7" si="21">F7/100</f>
        <v>-1.6000000000000001E-3</v>
      </c>
      <c r="N7" s="3172">
        <f t="shared" ref="N7" si="22">G7/100</f>
        <v>2.5999999999999999E-3</v>
      </c>
      <c r="O7" s="3172">
        <f t="shared" ref="O7" si="23">H7/100</f>
        <v>5.8999999999999999E-3</v>
      </c>
      <c r="P7" s="3172">
        <f t="shared" ref="P7" si="24">M7</f>
        <v>-1.6000000000000001E-3</v>
      </c>
      <c r="Q7" s="3181"/>
      <c r="R7" s="3183">
        <f>ROUND(IF(项目基本情况!$B$8="出让",SUMPRODUCT(PRODUCT(1+K7:$K$19)),SUMPRODUCT(PRODUCT(1+K7:$K$18))),4)</f>
        <v>1.0811999999999999</v>
      </c>
      <c r="S7" s="3183">
        <f>ROUND(IF(项目基本情况!$B$8="出让",SUMPRODUCT(PRODUCT(1+L7:$L$19)),SUMPRODUCT(PRODUCT(1+L7:$L$18))),4)</f>
        <v>1.052</v>
      </c>
      <c r="T7" s="3183">
        <f>ROUND(IF(项目基本情况!$B$8="出让",SUMPRODUCT(PRODUCT(1+M7:$M$19)),SUMPRODUCT(PRODUCT(1+M7:$M$18))),4)</f>
        <v>1.0249999999999999</v>
      </c>
      <c r="U7" s="3183">
        <f>ROUND(IF(项目基本情况!$B$8="出让",SUMPRODUCT(PRODUCT(1+N7:$N$19)),SUMPRODUCT(PRODUCT(1+N7:$N$18))),4)</f>
        <v>1.0888</v>
      </c>
      <c r="V7" s="3183">
        <f>ROUND(IF(项目基本情况!$B$8="出让",SUMPRODUCT(PRODUCT(1+O7:$O$19)),SUMPRODUCT(PRODUCT(1+O7:$O$18))),4)</f>
        <v>1.0804</v>
      </c>
      <c r="W7" s="3183">
        <f t="shared" ref="W7" si="25">T7</f>
        <v>1.0249999999999999</v>
      </c>
      <c r="X7" s="3181"/>
      <c r="Y7" s="3184"/>
      <c r="Z7" s="3184"/>
      <c r="AA7" s="3184"/>
      <c r="AB7" s="3184"/>
      <c r="AC7" s="3184"/>
      <c r="AD7" s="3184"/>
    </row>
    <row r="8" spans="1:30" s="3185" customFormat="1" ht="13.2">
      <c r="A8" s="3176" t="s">
        <v>3376</v>
      </c>
      <c r="B8" s="3177">
        <v>2023</v>
      </c>
      <c r="C8" s="3178">
        <v>4</v>
      </c>
      <c r="D8" s="3179">
        <v>0.19</v>
      </c>
      <c r="E8" s="3179">
        <v>0.24</v>
      </c>
      <c r="F8" s="3179">
        <v>-0.16</v>
      </c>
      <c r="G8" s="3179">
        <v>0.17</v>
      </c>
      <c r="H8" s="3196">
        <v>0.61</v>
      </c>
      <c r="I8" s="3180">
        <f>F8</f>
        <v>-0.16</v>
      </c>
      <c r="J8" s="3181"/>
      <c r="K8" s="3182">
        <f t="shared" si="16"/>
        <v>1.9E-3</v>
      </c>
      <c r="L8" s="3172">
        <f t="shared" si="16"/>
        <v>2.3999999999999998E-3</v>
      </c>
      <c r="M8" s="3172">
        <f t="shared" si="16"/>
        <v>-1.6000000000000001E-3</v>
      </c>
      <c r="N8" s="3172">
        <f t="shared" si="16"/>
        <v>1.7000000000000001E-3</v>
      </c>
      <c r="O8" s="3172">
        <f t="shared" si="16"/>
        <v>6.0999999999999995E-3</v>
      </c>
      <c r="P8" s="3172">
        <f t="shared" ref="P8" si="26">M8</f>
        <v>-1.6000000000000001E-3</v>
      </c>
      <c r="Q8" s="3181"/>
      <c r="R8" s="3183">
        <f>ROUND(IF(项目基本情况!$B$8="出让",SUMPRODUCT(PRODUCT(1+K8:$K$19)),SUMPRODUCT(PRODUCT(1+K8:$K$18))),4)</f>
        <v>1.0804</v>
      </c>
      <c r="S8" s="3183">
        <f>ROUND(IF(项目基本情况!$B$8="出让",SUMPRODUCT(PRODUCT(1+L8:$L$19)),SUMPRODUCT(PRODUCT(1+L8:$L$18))),4)</f>
        <v>1.0471999999999999</v>
      </c>
      <c r="T8" s="3183">
        <f>ROUND(IF(项目基本情况!$B$8="出让",SUMPRODUCT(PRODUCT(1+M8:$M$19)),SUMPRODUCT(PRODUCT(1+M8:$M$18))),4)</f>
        <v>1.0266</v>
      </c>
      <c r="U8" s="3183">
        <f>ROUND(IF(项目基本情况!$B$8="出让",SUMPRODUCT(PRODUCT(1+N8:$N$19)),SUMPRODUCT(PRODUCT(1+N8:$N$18))),4)</f>
        <v>1.0859000000000001</v>
      </c>
      <c r="V8" s="3183">
        <f>ROUND(IF(项目基本情况!$B$8="出让",SUMPRODUCT(PRODUCT(1+O8:$O$19)),SUMPRODUCT(PRODUCT(1+O8:$O$18))),4)</f>
        <v>1.0741000000000001</v>
      </c>
      <c r="W8" s="3183">
        <f t="shared" ref="W8" si="27">T8</f>
        <v>1.0266</v>
      </c>
      <c r="X8" s="3181"/>
      <c r="Y8" s="3184"/>
      <c r="Z8" s="3184"/>
      <c r="AA8" s="3184"/>
      <c r="AB8" s="3184"/>
      <c r="AC8" s="3184"/>
      <c r="AD8" s="3184"/>
    </row>
    <row r="9" spans="1:30" s="3185" customFormat="1" ht="13.2">
      <c r="A9" s="3176" t="s">
        <v>3375</v>
      </c>
      <c r="B9" s="3177">
        <v>2023</v>
      </c>
      <c r="C9" s="3178">
        <v>3</v>
      </c>
      <c r="D9" s="3179">
        <v>0.25</v>
      </c>
      <c r="E9" s="3179">
        <v>0.5</v>
      </c>
      <c r="F9" s="3179">
        <v>0.31</v>
      </c>
      <c r="G9" s="3179">
        <v>0.21</v>
      </c>
      <c r="H9" s="3196">
        <v>0.43</v>
      </c>
      <c r="I9" s="3180">
        <f t="shared" si="15"/>
        <v>0.31</v>
      </c>
      <c r="J9" s="3181"/>
      <c r="K9" s="3182">
        <f t="shared" ref="K9:K11" si="28">D9/100</f>
        <v>2.5000000000000001E-3</v>
      </c>
      <c r="L9" s="3172">
        <f t="shared" ref="L9:L11" si="29">E9/100</f>
        <v>5.0000000000000001E-3</v>
      </c>
      <c r="M9" s="3172">
        <f t="shared" ref="M9:M11" si="30">F9/100</f>
        <v>3.0999999999999999E-3</v>
      </c>
      <c r="N9" s="3172">
        <f t="shared" ref="N9:N11" si="31">G9/100</f>
        <v>2.0999999999999999E-3</v>
      </c>
      <c r="O9" s="3172">
        <f t="shared" ref="O9:O11" si="32">H9/100</f>
        <v>4.3E-3</v>
      </c>
      <c r="P9" s="3172">
        <f t="shared" ref="P9:P11" si="33">M9</f>
        <v>3.0999999999999999E-3</v>
      </c>
      <c r="Q9" s="3181"/>
      <c r="R9" s="3183">
        <f>ROUND(IF(项目基本情况!$B$8="出让",SUMPRODUCT(PRODUCT(1+K9:$K$19)),SUMPRODUCT(PRODUCT(1+K9:$K$18))),4)</f>
        <v>1.0783</v>
      </c>
      <c r="S9" s="3183">
        <f>ROUND(IF(项目基本情况!$B$8="出让",SUMPRODUCT(PRODUCT(1+L9:$L$19)),SUMPRODUCT(PRODUCT(1+L9:$L$18))),4)</f>
        <v>1.0447</v>
      </c>
      <c r="T9" s="3183">
        <f>ROUND(IF(项目基本情况!$B$8="出让",SUMPRODUCT(PRODUCT(1+M9:$M$19)),SUMPRODUCT(PRODUCT(1+M9:$M$18))),4)</f>
        <v>1.0282</v>
      </c>
      <c r="U9" s="3183">
        <f>ROUND(IF(项目基本情况!$B$8="出让",SUMPRODUCT(PRODUCT(1+N9:$N$19)),SUMPRODUCT(PRODUCT(1+N9:$N$18))),4)</f>
        <v>1.0841000000000001</v>
      </c>
      <c r="V9" s="3183">
        <f>ROUND(IF(项目基本情况!$B$8="出让",SUMPRODUCT(PRODUCT(1+O9:$O$19)),SUMPRODUCT(PRODUCT(1+O9:$O$18))),4)</f>
        <v>1.0674999999999999</v>
      </c>
      <c r="W9" s="3183">
        <f t="shared" ref="W9:W10" si="34">T9</f>
        <v>1.0282</v>
      </c>
      <c r="X9" s="3181"/>
      <c r="Y9" s="3184"/>
      <c r="Z9" s="3184"/>
      <c r="AA9" s="3184"/>
      <c r="AB9" s="3184"/>
      <c r="AC9" s="3184"/>
      <c r="AD9" s="3184"/>
    </row>
    <row r="10" spans="1:30" s="3185" customFormat="1" ht="13.2">
      <c r="A10" s="3176" t="s">
        <v>3371</v>
      </c>
      <c r="B10" s="3177">
        <v>2023</v>
      </c>
      <c r="C10" s="3178">
        <v>2</v>
      </c>
      <c r="D10" s="3179">
        <v>0.91</v>
      </c>
      <c r="E10" s="3179">
        <v>0.66</v>
      </c>
      <c r="F10" s="3179">
        <v>0.47</v>
      </c>
      <c r="G10" s="3179">
        <v>0.96</v>
      </c>
      <c r="H10" s="3196">
        <v>0.71</v>
      </c>
      <c r="I10" s="3180">
        <f t="shared" si="15"/>
        <v>0.47</v>
      </c>
      <c r="J10" s="3181"/>
      <c r="K10" s="3182">
        <f t="shared" si="28"/>
        <v>9.1000000000000004E-3</v>
      </c>
      <c r="L10" s="3172">
        <f t="shared" si="29"/>
        <v>6.6E-3</v>
      </c>
      <c r="M10" s="3172">
        <f t="shared" si="30"/>
        <v>4.6999999999999993E-3</v>
      </c>
      <c r="N10" s="3172">
        <f t="shared" si="31"/>
        <v>9.5999999999999992E-3</v>
      </c>
      <c r="O10" s="3172">
        <f t="shared" si="32"/>
        <v>7.0999999999999995E-3</v>
      </c>
      <c r="P10" s="3172">
        <f t="shared" si="33"/>
        <v>4.6999999999999993E-3</v>
      </c>
      <c r="Q10" s="3181"/>
      <c r="R10" s="3183">
        <f>ROUND(IF(项目基本情况!$B$8="出让",SUMPRODUCT(PRODUCT(1+K10:$K$19)),SUMPRODUCT(PRODUCT(1+K10:$K$18))),4)</f>
        <v>1.0755999999999999</v>
      </c>
      <c r="S10" s="3183">
        <f>ROUND(IF(项目基本情况!$B$8="出让",SUMPRODUCT(PRODUCT(1+L10:$L$19)),SUMPRODUCT(PRODUCT(1+L10:$L$18))),4)</f>
        <v>1.0395000000000001</v>
      </c>
      <c r="T10" s="3183">
        <f>ROUND(IF(项目基本情况!$B$8="出让",SUMPRODUCT(PRODUCT(1+M10:$M$19)),SUMPRODUCT(PRODUCT(1+M10:$M$18))),4)</f>
        <v>1.0250999999999999</v>
      </c>
      <c r="U10" s="3183">
        <f>ROUND(IF(项目基本情况!$B$8="出让",SUMPRODUCT(PRODUCT(1+N10:$N$19)),SUMPRODUCT(PRODUCT(1+N10:$N$18))),4)</f>
        <v>1.0818000000000001</v>
      </c>
      <c r="V10" s="3183">
        <f>ROUND(IF(项目基本情况!$B$8="出让",SUMPRODUCT(PRODUCT(1+O10:$O$19)),SUMPRODUCT(PRODUCT(1+O10:$O$18))),4)</f>
        <v>1.0629999999999999</v>
      </c>
      <c r="W10" s="3183">
        <f t="shared" si="34"/>
        <v>1.0250999999999999</v>
      </c>
      <c r="X10" s="3181"/>
      <c r="Y10" s="3184"/>
      <c r="Z10" s="3184"/>
      <c r="AA10" s="3184"/>
      <c r="AB10" s="3184"/>
      <c r="AC10" s="3184"/>
      <c r="AD10" s="3184"/>
    </row>
    <row r="11" spans="1:30" s="3185" customFormat="1" ht="13.2">
      <c r="A11" s="3176" t="s">
        <v>3370</v>
      </c>
      <c r="B11" s="3177">
        <v>2023</v>
      </c>
      <c r="C11" s="3178">
        <v>1</v>
      </c>
      <c r="D11" s="3179">
        <v>0.89</v>
      </c>
      <c r="E11" s="3179">
        <v>0.74</v>
      </c>
      <c r="F11" s="3179">
        <v>0.56999999999999995</v>
      </c>
      <c r="G11" s="3179">
        <v>0.92</v>
      </c>
      <c r="H11" s="3196">
        <v>0.5</v>
      </c>
      <c r="I11" s="3180">
        <f t="shared" si="15"/>
        <v>0.56999999999999995</v>
      </c>
      <c r="J11" s="3181"/>
      <c r="K11" s="3182">
        <f t="shared" si="28"/>
        <v>8.8999999999999999E-3</v>
      </c>
      <c r="L11" s="3172">
        <f t="shared" si="29"/>
        <v>7.4000000000000003E-3</v>
      </c>
      <c r="M11" s="3172">
        <f t="shared" si="30"/>
        <v>5.6999999999999993E-3</v>
      </c>
      <c r="N11" s="3172">
        <f t="shared" si="31"/>
        <v>9.1999999999999998E-3</v>
      </c>
      <c r="O11" s="3172">
        <f t="shared" si="32"/>
        <v>5.0000000000000001E-3</v>
      </c>
      <c r="P11" s="3172">
        <f t="shared" si="33"/>
        <v>5.6999999999999993E-3</v>
      </c>
      <c r="Q11" s="3181"/>
      <c r="R11" s="3183">
        <f>ROUND(IF(项目基本情况!$B$8="出让",SUMPRODUCT(PRODUCT(1+K11:$K$19)),SUMPRODUCT(PRODUCT(1+K11:$K$18))),4)</f>
        <v>1.0659000000000001</v>
      </c>
      <c r="S11" s="3183">
        <f>ROUND(IF(项目基本情况!$B$8="出让",SUMPRODUCT(PRODUCT(1+L11:$L$19)),SUMPRODUCT(PRODUCT(1+L11:$L$18))),4)</f>
        <v>1.0326</v>
      </c>
      <c r="T11" s="3183">
        <f>ROUND(IF(项目基本情况!$B$8="出让",SUMPRODUCT(PRODUCT(1+M11:$M$19)),SUMPRODUCT(PRODUCT(1+M11:$M$18))),4)</f>
        <v>1.0203</v>
      </c>
      <c r="U11" s="3183">
        <f>ROUND(IF(项目基本情况!$B$8="出让",SUMPRODUCT(PRODUCT(1+N11:$N$19)),SUMPRODUCT(PRODUCT(1+N11:$N$18))),4)</f>
        <v>1.0714999999999999</v>
      </c>
      <c r="V11" s="3183">
        <f>ROUND(IF(项目基本情况!$B$8="出让",SUMPRODUCT(PRODUCT(1+O11:$O$19)),SUMPRODUCT(PRODUCT(1+O11:$O$18))),4)</f>
        <v>1.0555000000000001</v>
      </c>
      <c r="W11" s="3183">
        <f t="shared" ref="W11:W18" si="35">T11</f>
        <v>1.0203</v>
      </c>
      <c r="X11" s="3181"/>
      <c r="Y11" s="3184"/>
      <c r="Z11" s="3184"/>
      <c r="AA11" s="3184"/>
      <c r="AB11" s="3184"/>
      <c r="AC11" s="3184"/>
      <c r="AD11" s="3184"/>
    </row>
    <row r="12" spans="1:30" s="3185" customFormat="1" ht="13.2">
      <c r="A12" s="3176" t="s">
        <v>3369</v>
      </c>
      <c r="B12" s="3177">
        <v>2022</v>
      </c>
      <c r="C12" s="3178">
        <v>4</v>
      </c>
      <c r="D12" s="3179">
        <v>0.62</v>
      </c>
      <c r="E12" s="3179">
        <v>0.2</v>
      </c>
      <c r="F12" s="3179">
        <v>0.11</v>
      </c>
      <c r="G12" s="3179">
        <v>0.69</v>
      </c>
      <c r="H12" s="3196">
        <v>0.53</v>
      </c>
      <c r="I12" s="3180">
        <f t="shared" si="15"/>
        <v>0.11</v>
      </c>
      <c r="J12" s="3181"/>
      <c r="K12" s="3182">
        <f t="shared" si="16"/>
        <v>6.1999999999999998E-3</v>
      </c>
      <c r="L12" s="3172">
        <f t="shared" si="16"/>
        <v>2E-3</v>
      </c>
      <c r="M12" s="3172">
        <f t="shared" si="16"/>
        <v>1.1000000000000001E-3</v>
      </c>
      <c r="N12" s="3172">
        <f t="shared" si="16"/>
        <v>6.8999999999999999E-3</v>
      </c>
      <c r="O12" s="3172">
        <f t="shared" si="16"/>
        <v>5.3E-3</v>
      </c>
      <c r="P12" s="3172">
        <f t="shared" ref="P12:P19" si="36">M12</f>
        <v>1.1000000000000001E-3</v>
      </c>
      <c r="Q12" s="3181"/>
      <c r="R12" s="3183">
        <f>ROUND(IF(项目基本情况!$B$8="出让",SUMPRODUCT(PRODUCT(1+K12:$K$19)),SUMPRODUCT(PRODUCT(1+K12:$K$18))),4)</f>
        <v>1.0565</v>
      </c>
      <c r="S12" s="3183">
        <f>ROUND(IF(项目基本情况!$B$8="出让",SUMPRODUCT(PRODUCT(1+L12:$L$19)),SUMPRODUCT(PRODUCT(1+L12:$L$18))),4)</f>
        <v>1.0250999999999999</v>
      </c>
      <c r="T12" s="3183">
        <f>ROUND(IF(项目基本情况!$B$8="出让",SUMPRODUCT(PRODUCT(1+M12:$M$19)),SUMPRODUCT(PRODUCT(1+M12:$M$18))),4)</f>
        <v>1.0145</v>
      </c>
      <c r="U12" s="3183">
        <f>ROUND(IF(项目基本情况!$B$8="出让",SUMPRODUCT(PRODUCT(1+N12:$N$19)),SUMPRODUCT(PRODUCT(1+N12:$N$18))),4)</f>
        <v>1.0618000000000001</v>
      </c>
      <c r="V12" s="3183">
        <f>ROUND(IF(项目基本情况!$B$8="出让",SUMPRODUCT(PRODUCT(1+O12:$O$19)),SUMPRODUCT(PRODUCT(1+O12:$O$18))),4)</f>
        <v>1.0502</v>
      </c>
      <c r="W12" s="3183">
        <f t="shared" si="35"/>
        <v>1.0145</v>
      </c>
      <c r="X12" s="3181"/>
      <c r="Y12" s="3184">
        <f>IF(D12=0,0,ROUND(AVERAGE(D12:D20)/100,4))</f>
        <v>8.0999999999999996E-3</v>
      </c>
      <c r="Z12" s="3184">
        <f t="shared" ref="Z12:AC12" si="37">IF(E12=0,0,ROUND(AVERAGE(E12:E19)/100,4))</f>
        <v>3.3E-3</v>
      </c>
      <c r="AA12" s="3184">
        <f t="shared" si="37"/>
        <v>1.5E-3</v>
      </c>
      <c r="AB12" s="3184">
        <f t="shared" si="37"/>
        <v>8.8999999999999999E-3</v>
      </c>
      <c r="AC12" s="3184">
        <f t="shared" si="37"/>
        <v>6.6E-3</v>
      </c>
      <c r="AD12" s="3184">
        <f t="shared" si="18"/>
        <v>1.5E-3</v>
      </c>
    </row>
    <row r="13" spans="1:30" s="3185" customFormat="1" ht="13.2">
      <c r="A13" s="3176" t="s">
        <v>3365</v>
      </c>
      <c r="B13" s="3177">
        <v>2022</v>
      </c>
      <c r="C13" s="3178">
        <v>3</v>
      </c>
      <c r="D13" s="3179">
        <v>0.66</v>
      </c>
      <c r="E13" s="3179">
        <v>0.32</v>
      </c>
      <c r="F13" s="3179">
        <v>0.23</v>
      </c>
      <c r="G13" s="3179">
        <v>0.72</v>
      </c>
      <c r="H13" s="3196">
        <v>0.63</v>
      </c>
      <c r="I13" s="3180">
        <f t="shared" si="15"/>
        <v>0.23</v>
      </c>
      <c r="J13" s="3181"/>
      <c r="K13" s="3182">
        <f t="shared" si="16"/>
        <v>6.6E-3</v>
      </c>
      <c r="L13" s="3172">
        <f t="shared" si="16"/>
        <v>3.2000000000000002E-3</v>
      </c>
      <c r="M13" s="3172">
        <f t="shared" si="16"/>
        <v>2.3E-3</v>
      </c>
      <c r="N13" s="3172">
        <f t="shared" si="16"/>
        <v>7.1999999999999998E-3</v>
      </c>
      <c r="O13" s="3172">
        <f t="shared" si="16"/>
        <v>6.3E-3</v>
      </c>
      <c r="P13" s="3172">
        <f t="shared" si="36"/>
        <v>2.3E-3</v>
      </c>
      <c r="Q13" s="3181"/>
      <c r="R13" s="3183">
        <f>ROUND(IF(项目基本情况!$B$8="出让",SUMPRODUCT(PRODUCT(1+K13:$K$19)),SUMPRODUCT(PRODUCT(1+K13:$K$18))),4)</f>
        <v>1.05</v>
      </c>
      <c r="S13" s="3183">
        <f>ROUND(IF(项目基本情况!$B$8="出让",SUMPRODUCT(PRODUCT(1+L13:$L$19)),SUMPRODUCT(PRODUCT(1+L13:$L$18))),4)</f>
        <v>1.0229999999999999</v>
      </c>
      <c r="T13" s="3183">
        <f>ROUND(IF(项目基本情况!$B$8="出让",SUMPRODUCT(PRODUCT(1+M13:$M$19)),SUMPRODUCT(PRODUCT(1+M13:$M$18))),4)</f>
        <v>1.0134000000000001</v>
      </c>
      <c r="U13" s="3183">
        <f>ROUND(IF(项目基本情况!$B$8="出让",SUMPRODUCT(PRODUCT(1+N13:$N$19)),SUMPRODUCT(PRODUCT(1+N13:$N$18))),4)</f>
        <v>1.0545</v>
      </c>
      <c r="V13" s="3183">
        <f>ROUND(IF(项目基本情况!$B$8="出让",SUMPRODUCT(PRODUCT(1+O13:$O$19)),SUMPRODUCT(PRODUCT(1+O13:$O$18))),4)</f>
        <v>1.0447</v>
      </c>
      <c r="W13" s="3183">
        <f t="shared" si="35"/>
        <v>1.0134000000000001</v>
      </c>
      <c r="X13" s="3181"/>
      <c r="Y13" s="3184">
        <f>IF(D13=0,0,ROUND(AVERAGE(D13:D19)/100,4))</f>
        <v>8.3999999999999995E-3</v>
      </c>
      <c r="Z13" s="3184">
        <f t="shared" ref="Z13:AC13" si="38">IF(E13=0,0,ROUND(AVERAGE(E13:E19)/100,4))</f>
        <v>3.5000000000000001E-3</v>
      </c>
      <c r="AA13" s="3184">
        <f t="shared" si="38"/>
        <v>1.5E-3</v>
      </c>
      <c r="AB13" s="3184">
        <f t="shared" si="38"/>
        <v>9.1999999999999998E-3</v>
      </c>
      <c r="AC13" s="3184">
        <f t="shared" si="38"/>
        <v>6.7999999999999996E-3</v>
      </c>
      <c r="AD13" s="3184">
        <f t="shared" si="18"/>
        <v>1.5E-3</v>
      </c>
    </row>
    <row r="14" spans="1:30" s="3185" customFormat="1" ht="13.2">
      <c r="A14" s="3176" t="s">
        <v>3356</v>
      </c>
      <c r="B14" s="3177">
        <v>2022</v>
      </c>
      <c r="C14" s="3178">
        <v>2</v>
      </c>
      <c r="D14" s="3179">
        <v>0.93</v>
      </c>
      <c r="E14" s="3179">
        <v>0.15</v>
      </c>
      <c r="F14" s="3179">
        <v>0.01</v>
      </c>
      <c r="G14" s="3179">
        <v>1.05</v>
      </c>
      <c r="H14" s="3196">
        <v>1.08</v>
      </c>
      <c r="I14" s="3180">
        <f t="shared" si="15"/>
        <v>0.01</v>
      </c>
      <c r="J14" s="3181"/>
      <c r="K14" s="3182">
        <f t="shared" si="16"/>
        <v>9.300000000000001E-3</v>
      </c>
      <c r="L14" s="3172">
        <f t="shared" si="16"/>
        <v>1.5E-3</v>
      </c>
      <c r="M14" s="3172">
        <f t="shared" si="16"/>
        <v>1E-4</v>
      </c>
      <c r="N14" s="3172">
        <f t="shared" si="16"/>
        <v>1.0500000000000001E-2</v>
      </c>
      <c r="O14" s="3172">
        <f t="shared" si="16"/>
        <v>1.0800000000000001E-2</v>
      </c>
      <c r="P14" s="3172">
        <f t="shared" si="36"/>
        <v>1E-4</v>
      </c>
      <c r="Q14" s="3181"/>
      <c r="R14" s="3183">
        <f>ROUND(IF(项目基本情况!$B$8="出让",SUMPRODUCT(PRODUCT(1+K14:$K$19)),SUMPRODUCT(PRODUCT(1+K14:$K$18))),4)</f>
        <v>1.0430999999999999</v>
      </c>
      <c r="S14" s="3183">
        <f>ROUND(IF(项目基本情况!$B$8="出让",SUMPRODUCT(PRODUCT(1+L14:$L$19)),SUMPRODUCT(PRODUCT(1+L14:$L$18))),4)</f>
        <v>1.0197000000000001</v>
      </c>
      <c r="T14" s="3183">
        <f>ROUND(IF(项目基本情况!$B$8="出让",SUMPRODUCT(PRODUCT(1+M14:$M$19)),SUMPRODUCT(PRODUCT(1+M14:$M$18))),4)</f>
        <v>1.0109999999999999</v>
      </c>
      <c r="U14" s="3183">
        <f>ROUND(IF(项目基本情况!$B$8="出让",SUMPRODUCT(PRODUCT(1+N14:$N$19)),SUMPRODUCT(PRODUCT(1+N14:$N$18))),4)</f>
        <v>1.0468999999999999</v>
      </c>
      <c r="V14" s="3183">
        <f>ROUND(IF(项目基本情况!$B$8="出让",SUMPRODUCT(PRODUCT(1+O14:$O$19)),SUMPRODUCT(PRODUCT(1+O14:$O$18))),4)</f>
        <v>1.0382</v>
      </c>
      <c r="W14" s="3183">
        <f t="shared" si="35"/>
        <v>1.0109999999999999</v>
      </c>
      <c r="X14" s="3181"/>
      <c r="Y14" s="3184">
        <f>IF(D14=0,0,ROUND(AVERAGE(D14:D19)/100,4))</f>
        <v>8.6999999999999994E-3</v>
      </c>
      <c r="Z14" s="3184">
        <f t="shared" ref="Z14:AC14" si="39">IF(E14=0,0,ROUND(AVERAGE(E14:E19)/100,4))</f>
        <v>3.5000000000000001E-3</v>
      </c>
      <c r="AA14" s="3184">
        <f t="shared" si="39"/>
        <v>1.4E-3</v>
      </c>
      <c r="AB14" s="3184">
        <f t="shared" si="39"/>
        <v>9.4999999999999998E-3</v>
      </c>
      <c r="AC14" s="3184">
        <f t="shared" si="39"/>
        <v>6.8999999999999999E-3</v>
      </c>
      <c r="AD14" s="3184">
        <f t="shared" si="18"/>
        <v>1.4E-3</v>
      </c>
    </row>
    <row r="15" spans="1:30" s="3185" customFormat="1" ht="13.2">
      <c r="A15" s="3176" t="s">
        <v>2821</v>
      </c>
      <c r="B15" s="3177">
        <v>2022</v>
      </c>
      <c r="C15" s="3178">
        <v>1</v>
      </c>
      <c r="D15" s="3179">
        <v>0.89</v>
      </c>
      <c r="E15" s="3179">
        <v>0.44</v>
      </c>
      <c r="F15" s="3179">
        <v>0.37</v>
      </c>
      <c r="G15" s="3179">
        <v>0.96</v>
      </c>
      <c r="H15" s="3196">
        <v>0.64</v>
      </c>
      <c r="I15" s="3180">
        <f t="shared" si="15"/>
        <v>0.37</v>
      </c>
      <c r="J15" s="3181"/>
      <c r="K15" s="3182">
        <f t="shared" si="16"/>
        <v>8.8999999999999999E-3</v>
      </c>
      <c r="L15" s="3172">
        <f t="shared" si="16"/>
        <v>4.4000000000000003E-3</v>
      </c>
      <c r="M15" s="3172">
        <f t="shared" si="16"/>
        <v>3.7000000000000002E-3</v>
      </c>
      <c r="N15" s="3172">
        <f t="shared" si="16"/>
        <v>9.5999999999999992E-3</v>
      </c>
      <c r="O15" s="3172">
        <f t="shared" si="16"/>
        <v>6.4000000000000003E-3</v>
      </c>
      <c r="P15" s="3172">
        <f t="shared" si="36"/>
        <v>3.7000000000000002E-3</v>
      </c>
      <c r="Q15" s="3181"/>
      <c r="R15" s="3183">
        <f>ROUND(IF(项目基本情况!$B$8="出让",SUMPRODUCT(PRODUCT(1+K15:$K$19)),SUMPRODUCT(PRODUCT(1+K15:$K$18))),4)</f>
        <v>1.0335000000000001</v>
      </c>
      <c r="S15" s="3183">
        <f>ROUND(IF(项目基本情况!$B$8="出让",SUMPRODUCT(PRODUCT(1+L15:$L$19)),SUMPRODUCT(PRODUCT(1+L15:$L$18))),4)</f>
        <v>1.0182</v>
      </c>
      <c r="T15" s="3183">
        <f>ROUND(IF(项目基本情况!$B$8="出让",SUMPRODUCT(PRODUCT(1+M15:$M$19)),SUMPRODUCT(PRODUCT(1+M15:$M$18))),4)</f>
        <v>1.0108999999999999</v>
      </c>
      <c r="U15" s="3183">
        <f>ROUND(IF(项目基本情况!$B$8="出让",SUMPRODUCT(PRODUCT(1+N15:$N$19)),SUMPRODUCT(PRODUCT(1+N15:$N$18))),4)</f>
        <v>1.0361</v>
      </c>
      <c r="V15" s="3183">
        <f>ROUND(IF(项目基本情况!$B$8="出让",SUMPRODUCT(PRODUCT(1+O15:$O$19)),SUMPRODUCT(PRODUCT(1+O15:$O$18))),4)</f>
        <v>1.0270999999999999</v>
      </c>
      <c r="W15" s="3183">
        <f t="shared" si="35"/>
        <v>1.0108999999999999</v>
      </c>
      <c r="X15" s="3181"/>
      <c r="Y15" s="3184">
        <f>IF(D15=0,0,ROUND(AVERAGE(D15:D19)/100,4))</f>
        <v>8.6E-3</v>
      </c>
      <c r="Z15" s="3184">
        <f t="shared" ref="Z15:AC15" si="40">IF(E15=0,0,ROUND(AVERAGE(E15:E19)/100,4))</f>
        <v>3.8999999999999998E-3</v>
      </c>
      <c r="AA15" s="3184">
        <f t="shared" si="40"/>
        <v>1.6999999999999999E-3</v>
      </c>
      <c r="AB15" s="3184">
        <f t="shared" si="40"/>
        <v>9.2999999999999992E-3</v>
      </c>
      <c r="AC15" s="3184">
        <f t="shared" si="40"/>
        <v>6.1000000000000004E-3</v>
      </c>
      <c r="AD15" s="3184">
        <f t="shared" si="18"/>
        <v>1.6999999999999999E-3</v>
      </c>
    </row>
    <row r="16" spans="1:30" s="3185" customFormat="1" ht="13.2">
      <c r="A16" s="3176" t="s">
        <v>2822</v>
      </c>
      <c r="B16" s="3177">
        <v>2021</v>
      </c>
      <c r="C16" s="3178">
        <v>4</v>
      </c>
      <c r="D16" s="3179">
        <v>1.03</v>
      </c>
      <c r="E16" s="3179">
        <v>0.24</v>
      </c>
      <c r="F16" s="3179">
        <v>7.0000000000000007E-2</v>
      </c>
      <c r="G16" s="3179">
        <v>1.17</v>
      </c>
      <c r="H16" s="3196">
        <v>0.55000000000000004</v>
      </c>
      <c r="I16" s="3180">
        <f t="shared" si="15"/>
        <v>7.0000000000000007E-2</v>
      </c>
      <c r="J16" s="3181"/>
      <c r="K16" s="3182">
        <f t="shared" si="16"/>
        <v>1.03E-2</v>
      </c>
      <c r="L16" s="3172">
        <f t="shared" si="16"/>
        <v>2.3999999999999998E-3</v>
      </c>
      <c r="M16" s="3172">
        <f t="shared" si="16"/>
        <v>7.000000000000001E-4</v>
      </c>
      <c r="N16" s="3172">
        <f t="shared" si="16"/>
        <v>1.1699999999999999E-2</v>
      </c>
      <c r="O16" s="3172">
        <f t="shared" si="16"/>
        <v>5.5000000000000005E-3</v>
      </c>
      <c r="P16" s="3172">
        <f t="shared" si="36"/>
        <v>7.000000000000001E-4</v>
      </c>
      <c r="Q16" s="3181"/>
      <c r="R16" s="3183">
        <f>ROUND(IF(项目基本情况!$B$8="出让",SUMPRODUCT(PRODUCT(1+K16:$K$19)),SUMPRODUCT(PRODUCT(1+K16:$K$18))),4)</f>
        <v>1.0244</v>
      </c>
      <c r="S16" s="3183">
        <f>ROUND(IF(项目基本情况!$B$8="出让",SUMPRODUCT(PRODUCT(1+L16:$L$19)),SUMPRODUCT(PRODUCT(1+L16:$L$18))),4)</f>
        <v>1.0138</v>
      </c>
      <c r="T16" s="3183">
        <f>ROUND(IF(项目基本情况!$B$8="出让",SUMPRODUCT(PRODUCT(1+M16:$M$19)),SUMPRODUCT(PRODUCT(1+M16:$M$18))),4)</f>
        <v>1.0072000000000001</v>
      </c>
      <c r="U16" s="3183">
        <f>ROUND(IF(项目基本情况!$B$8="出让",SUMPRODUCT(PRODUCT(1+N16:$N$19)),SUMPRODUCT(PRODUCT(1+N16:$N$18))),4)</f>
        <v>1.0262</v>
      </c>
      <c r="V16" s="3183">
        <f>ROUND(IF(项目基本情况!$B$8="出让",SUMPRODUCT(PRODUCT(1+O16:$O$19)),SUMPRODUCT(PRODUCT(1+O16:$O$18))),4)</f>
        <v>1.0205</v>
      </c>
      <c r="W16" s="3183">
        <f t="shared" si="35"/>
        <v>1.0072000000000001</v>
      </c>
      <c r="X16" s="3181"/>
      <c r="Y16" s="3184">
        <f>IF(D16=0,0,ROUND(AVERAGE(D16:D19)/100,4))</f>
        <v>8.5000000000000006E-3</v>
      </c>
      <c r="Z16" s="3184">
        <f t="shared" ref="Z16:AC16" si="41">IF(E16=0,0,ROUND(AVERAGE(E16:E19)/100,4))</f>
        <v>3.8E-3</v>
      </c>
      <c r="AA16" s="3184">
        <f t="shared" si="41"/>
        <v>1.1999999999999999E-3</v>
      </c>
      <c r="AB16" s="3184">
        <f t="shared" si="41"/>
        <v>9.2999999999999992E-3</v>
      </c>
      <c r="AC16" s="3184">
        <f t="shared" si="41"/>
        <v>6.0000000000000001E-3</v>
      </c>
      <c r="AD16" s="3184">
        <f t="shared" si="18"/>
        <v>1.1999999999999999E-3</v>
      </c>
    </row>
    <row r="17" spans="1:30" s="3185" customFormat="1" ht="13.2">
      <c r="A17" s="3176" t="s">
        <v>2823</v>
      </c>
      <c r="B17" s="3177">
        <v>2021</v>
      </c>
      <c r="C17" s="3178">
        <v>3</v>
      </c>
      <c r="D17" s="3179">
        <v>0.47</v>
      </c>
      <c r="E17" s="3179">
        <v>0.41</v>
      </c>
      <c r="F17" s="3179">
        <v>0.24</v>
      </c>
      <c r="G17" s="3179">
        <v>0.48</v>
      </c>
      <c r="H17" s="3196">
        <v>0.48</v>
      </c>
      <c r="I17" s="3180">
        <f t="shared" si="15"/>
        <v>0.24</v>
      </c>
      <c r="J17" s="3181"/>
      <c r="K17" s="3182">
        <f t="shared" si="16"/>
        <v>4.6999999999999993E-3</v>
      </c>
      <c r="L17" s="3172">
        <f t="shared" si="16"/>
        <v>4.0999999999999995E-3</v>
      </c>
      <c r="M17" s="3172">
        <f t="shared" si="16"/>
        <v>2.3999999999999998E-3</v>
      </c>
      <c r="N17" s="3172">
        <f t="shared" si="16"/>
        <v>4.7999999999999996E-3</v>
      </c>
      <c r="O17" s="3172">
        <f t="shared" si="16"/>
        <v>4.7999999999999996E-3</v>
      </c>
      <c r="P17" s="3172">
        <f t="shared" si="36"/>
        <v>2.3999999999999998E-3</v>
      </c>
      <c r="Q17" s="3181"/>
      <c r="R17" s="3183">
        <f>ROUND(IF(项目基本情况!$B$8="出让",SUMPRODUCT(PRODUCT(1+K17:$K$19)),SUMPRODUCT(PRODUCT(1+K17:$K$18))),4)</f>
        <v>1.0139</v>
      </c>
      <c r="S17" s="3183">
        <f>ROUND(IF(项目基本情况!$B$8="出让",SUMPRODUCT(PRODUCT(1+L17:$L$19)),SUMPRODUCT(PRODUCT(1+L17:$L$18))),4)</f>
        <v>1.0113000000000001</v>
      </c>
      <c r="T17" s="3183">
        <f>ROUND(IF(项目基本情况!$B$8="出让",SUMPRODUCT(PRODUCT(1+M17:$M$19)),SUMPRODUCT(PRODUCT(1+M17:$M$18))),4)</f>
        <v>1.0065</v>
      </c>
      <c r="U17" s="3183">
        <f>ROUND(IF(项目基本情况!$B$8="出让",SUMPRODUCT(PRODUCT(1+N17:$N$19)),SUMPRODUCT(PRODUCT(1+N17:$N$18))),4)</f>
        <v>1.0143</v>
      </c>
      <c r="V17" s="3183">
        <f>ROUND(IF(项目基本情况!$B$8="出让",SUMPRODUCT(PRODUCT(1+O17:$O$19)),SUMPRODUCT(PRODUCT(1+O17:$O$18))),4)</f>
        <v>1.0148999999999999</v>
      </c>
      <c r="W17" s="3183">
        <f t="shared" si="35"/>
        <v>1.0065</v>
      </c>
      <c r="X17" s="3181"/>
      <c r="Y17" s="3184">
        <f>IF(D17=0,0,ROUND(AVERAGE(D17:D19)/100,4))</f>
        <v>7.9000000000000008E-3</v>
      </c>
      <c r="Z17" s="3184">
        <f>IF(E17=0,0,ROUND(AVERAGE(E17:E19)/100,4))</f>
        <v>4.3E-3</v>
      </c>
      <c r="AA17" s="3184">
        <f>IF(F17=0,0,ROUND(AVERAGE(F17:F19)/100,4))</f>
        <v>1.2999999999999999E-3</v>
      </c>
      <c r="AB17" s="3184">
        <f>IF(G17=0,0,ROUND(AVERAGE(G17:G19)/100,4))</f>
        <v>8.5000000000000006E-3</v>
      </c>
      <c r="AC17" s="3184">
        <f>IF(H17=0,0,ROUND(AVERAGE(H17:H19)/100,4))</f>
        <v>6.1999999999999998E-3</v>
      </c>
      <c r="AD17" s="3184">
        <f t="shared" si="18"/>
        <v>1.2999999999999999E-3</v>
      </c>
    </row>
    <row r="18" spans="1:30" s="3185" customFormat="1" ht="13.2">
      <c r="A18" s="3176" t="s">
        <v>2824</v>
      </c>
      <c r="B18" s="3177">
        <v>2021</v>
      </c>
      <c r="C18" s="3178">
        <v>2</v>
      </c>
      <c r="D18" s="3179">
        <v>0.92</v>
      </c>
      <c r="E18" s="3179">
        <v>0.72</v>
      </c>
      <c r="F18" s="3179">
        <v>0.41</v>
      </c>
      <c r="G18" s="3179">
        <v>0.95</v>
      </c>
      <c r="H18" s="3196">
        <v>1.01</v>
      </c>
      <c r="I18" s="3180">
        <f t="shared" si="15"/>
        <v>0.41</v>
      </c>
      <c r="J18" s="3181"/>
      <c r="K18" s="3182">
        <f t="shared" si="16"/>
        <v>9.1999999999999998E-3</v>
      </c>
      <c r="L18" s="3172">
        <f t="shared" si="16"/>
        <v>7.1999999999999998E-3</v>
      </c>
      <c r="M18" s="3172">
        <f t="shared" si="16"/>
        <v>4.0999999999999995E-3</v>
      </c>
      <c r="N18" s="3172">
        <f t="shared" si="16"/>
        <v>9.4999999999999998E-3</v>
      </c>
      <c r="O18" s="3172">
        <f t="shared" si="16"/>
        <v>1.01E-2</v>
      </c>
      <c r="P18" s="3172">
        <f t="shared" si="36"/>
        <v>4.0999999999999995E-3</v>
      </c>
      <c r="Q18" s="3181"/>
      <c r="R18" s="3183">
        <f>ROUND(IF(项目基本情况!$B$8="出让",SUMPRODUCT(PRODUCT(1+K18:$K$19)),SUMPRODUCT(PRODUCT(1+K18:$K$18))),4)</f>
        <v>1.0092000000000001</v>
      </c>
      <c r="S18" s="3183">
        <f>ROUND(IF(项目基本情况!$B$8="出让",SUMPRODUCT(PRODUCT(1+L18:$L$19)),SUMPRODUCT(PRODUCT(1+L18:$L$18))),4)</f>
        <v>1.0072000000000001</v>
      </c>
      <c r="T18" s="3183">
        <f>ROUND(IF(项目基本情况!$B$8="出让",SUMPRODUCT(PRODUCT(1+M18:$M$19)),SUMPRODUCT(PRODUCT(1+M18:$M$18))),4)</f>
        <v>1.0041</v>
      </c>
      <c r="U18" s="3183">
        <f>ROUND(IF(项目基本情况!$B$8="出让",SUMPRODUCT(PRODUCT(1+N18:$N$19)),SUMPRODUCT(PRODUCT(1+N18:$N$18))),4)</f>
        <v>1.0095000000000001</v>
      </c>
      <c r="V18" s="3183">
        <f>ROUND(IF(项目基本情况!$B$8="出让",SUMPRODUCT(PRODUCT(1+O18:$O$19)),SUMPRODUCT(PRODUCT(1+O18:$O$18))),4)</f>
        <v>1.0101</v>
      </c>
      <c r="W18" s="3183">
        <f t="shared" si="35"/>
        <v>1.0041</v>
      </c>
      <c r="X18" s="3181"/>
      <c r="Y18" s="3184">
        <f>IF(D18=0,0,ROUND(AVERAGE(D18:D19)/100,4))</f>
        <v>9.4999999999999998E-3</v>
      </c>
      <c r="Z18" s="3184">
        <f>IF(E18=0,0,ROUND(AVERAGE(E18:E19)/100,4))</f>
        <v>4.4000000000000003E-3</v>
      </c>
      <c r="AA18" s="3184">
        <f>IF(F18=0,0,ROUND(AVERAGE(F18:F19)/100,4))</f>
        <v>8.0000000000000004E-4</v>
      </c>
      <c r="AB18" s="3184">
        <f>IF(G18=0,0,ROUND(AVERAGE(G18:G19)/100,4))</f>
        <v>1.03E-2</v>
      </c>
      <c r="AC18" s="3184">
        <f>IF(H18=0,0,ROUND(AVERAGE(H18:H19)/100,4))</f>
        <v>6.8999999999999999E-3</v>
      </c>
      <c r="AD18" s="3184">
        <f t="shared" si="18"/>
        <v>8.0000000000000004E-4</v>
      </c>
    </row>
    <row r="19" spans="1:30" s="3207" customFormat="1" ht="13.8" thickBot="1">
      <c r="A19" s="3197" t="s">
        <v>2825</v>
      </c>
      <c r="B19" s="3198">
        <v>2021</v>
      </c>
      <c r="C19" s="3199">
        <v>1</v>
      </c>
      <c r="D19" s="3200">
        <v>0.97</v>
      </c>
      <c r="E19" s="3200">
        <v>0.16</v>
      </c>
      <c r="F19" s="3200">
        <v>-0.25</v>
      </c>
      <c r="G19" s="3200">
        <v>1.1100000000000001</v>
      </c>
      <c r="H19" s="3201">
        <v>0.36</v>
      </c>
      <c r="I19" s="3202">
        <f t="shared" si="15"/>
        <v>-0.25</v>
      </c>
      <c r="J19" s="3203"/>
      <c r="K19" s="3204">
        <f t="shared" si="16"/>
        <v>9.7000000000000003E-3</v>
      </c>
      <c r="L19" s="3205">
        <f t="shared" si="16"/>
        <v>1.6000000000000001E-3</v>
      </c>
      <c r="M19" s="3205">
        <f>F19/100</f>
        <v>-2.5000000000000001E-3</v>
      </c>
      <c r="N19" s="3205">
        <f t="shared" si="16"/>
        <v>1.11E-2</v>
      </c>
      <c r="O19" s="3205">
        <f t="shared" si="16"/>
        <v>3.5999999999999999E-3</v>
      </c>
      <c r="P19" s="3205">
        <f t="shared" si="36"/>
        <v>-2.5000000000000001E-3</v>
      </c>
      <c r="Q19" s="3203"/>
      <c r="R19" s="3206">
        <v>1</v>
      </c>
      <c r="S19" s="3206">
        <v>1</v>
      </c>
      <c r="T19" s="3206">
        <v>1</v>
      </c>
      <c r="U19" s="3206">
        <v>1</v>
      </c>
      <c r="V19" s="3206">
        <v>1</v>
      </c>
      <c r="W19" s="3206">
        <f t="shared" ref="W19" si="42">T19</f>
        <v>1</v>
      </c>
      <c r="X19" s="3203"/>
      <c r="Y19" s="3205">
        <f>IF(D19=0,0,ROUND(AVERAGE(D19:D19)/100,4))</f>
        <v>9.7000000000000003E-3</v>
      </c>
      <c r="Z19" s="3205">
        <f>IF(E19=0,0,ROUND(AVERAGE(E19:E19)/100,4))</f>
        <v>1.6000000000000001E-3</v>
      </c>
      <c r="AA19" s="3205">
        <f>IF(F19=0,0,ROUND(AVERAGE(F19:F19)/100,4))</f>
        <v>-2.5000000000000001E-3</v>
      </c>
      <c r="AB19" s="3205">
        <f>IF(G19=0,0,ROUND(AVERAGE(G19:G19)/100,4))</f>
        <v>1.11E-2</v>
      </c>
      <c r="AC19" s="3205">
        <f>IF(H19=0,0,ROUND(AVERAGE(H19:H19)/100,4))</f>
        <v>3.5999999999999999E-3</v>
      </c>
      <c r="AD19" s="3205">
        <f>AA19</f>
        <v>-2.5000000000000001E-3</v>
      </c>
    </row>
    <row r="20" spans="1:30" s="3009" customFormat="1" ht="15" thickTop="1"/>
    <row r="21" spans="1:30" s="3009" customFormat="1">
      <c r="A21" s="3448" t="s">
        <v>3367</v>
      </c>
    </row>
    <row r="22" spans="1:30" s="3009" customFormat="1">
      <c r="I22" s="3208" t="s">
        <v>2826</v>
      </c>
    </row>
    <row r="23" spans="1:30" s="3009" customFormat="1"/>
    <row r="24" spans="1:30" s="3209" customFormat="1" ht="13.2">
      <c r="B24" s="3210" t="s">
        <v>3373</v>
      </c>
      <c r="C24" s="3211"/>
      <c r="D24" s="3211"/>
      <c r="E24" s="3211"/>
      <c r="F24" s="3211"/>
      <c r="G24" s="3211"/>
      <c r="H24" s="3211"/>
      <c r="I24" s="3211"/>
      <c r="J24" s="3165"/>
      <c r="K24" s="3211" t="s">
        <v>2827</v>
      </c>
      <c r="L24" s="3211"/>
      <c r="M24" s="3211"/>
      <c r="N24" s="3211"/>
      <c r="O24" s="3211"/>
      <c r="P24" s="3211"/>
      <c r="Q24" s="3165"/>
      <c r="R24" s="3811" t="s">
        <v>2828</v>
      </c>
      <c r="S24" s="3812"/>
      <c r="T24" s="3812"/>
      <c r="U24" s="3812"/>
      <c r="V24" s="3812"/>
      <c r="W24" s="3812"/>
      <c r="X24" s="3165"/>
      <c r="Y24" s="3811" t="s">
        <v>2829</v>
      </c>
      <c r="Z24" s="3812"/>
      <c r="AA24" s="3812"/>
      <c r="AB24" s="3812"/>
      <c r="AC24" s="3812"/>
      <c r="AD24" s="3812"/>
    </row>
    <row r="25" spans="1:30" s="3143" customFormat="1" ht="15" thickBot="1">
      <c r="B25" s="3144"/>
      <c r="C25" s="3145"/>
      <c r="D25" s="3146" t="s">
        <v>2830</v>
      </c>
      <c r="E25" s="3147" t="s">
        <v>2831</v>
      </c>
      <c r="F25" s="3147" t="s">
        <v>2832</v>
      </c>
      <c r="G25" s="3147" t="s">
        <v>2833</v>
      </c>
      <c r="H25" s="3147"/>
      <c r="I25" s="3147" t="s">
        <v>2834</v>
      </c>
      <c r="J25" s="3148"/>
      <c r="K25" s="3146" t="s">
        <v>2830</v>
      </c>
      <c r="L25" s="3147" t="s">
        <v>2831</v>
      </c>
      <c r="M25" s="3147" t="s">
        <v>2832</v>
      </c>
      <c r="N25" s="3147" t="s">
        <v>2833</v>
      </c>
      <c r="O25" s="3147"/>
      <c r="P25" s="3147" t="s">
        <v>2834</v>
      </c>
      <c r="Q25" s="3148"/>
      <c r="R25" s="3146" t="s">
        <v>2830</v>
      </c>
      <c r="S25" s="3147" t="s">
        <v>2831</v>
      </c>
      <c r="T25" s="3147" t="s">
        <v>2832</v>
      </c>
      <c r="U25" s="3147" t="s">
        <v>2833</v>
      </c>
      <c r="V25" s="3147"/>
      <c r="W25" s="3147" t="s">
        <v>2834</v>
      </c>
      <c r="X25" s="3148"/>
      <c r="Y25" s="3146" t="s">
        <v>2830</v>
      </c>
      <c r="Z25" s="3147" t="s">
        <v>2831</v>
      </c>
      <c r="AA25" s="3147" t="s">
        <v>2832</v>
      </c>
      <c r="AB25" s="3147" t="s">
        <v>2833</v>
      </c>
      <c r="AC25" s="3147"/>
      <c r="AD25" s="3147" t="s">
        <v>2834</v>
      </c>
    </row>
    <row r="26" spans="1:30" s="3161" customFormat="1" ht="13.2">
      <c r="A26" s="3149" t="s">
        <v>2835</v>
      </c>
      <c r="B26" s="3150"/>
      <c r="C26" s="3151"/>
      <c r="D26" s="3151"/>
      <c r="E26" s="3151">
        <f t="shared" ref="E26:G26" si="43">ROUND(AVERAGEIF(E27:E42,"&lt;&gt;0"),2)</f>
        <v>0.33</v>
      </c>
      <c r="F26" s="3151">
        <f t="shared" si="43"/>
        <v>0.24</v>
      </c>
      <c r="G26" s="3151">
        <f t="shared" si="43"/>
        <v>0.62</v>
      </c>
      <c r="H26" s="3151"/>
      <c r="I26" s="3151">
        <f>F26</f>
        <v>0.24</v>
      </c>
      <c r="J26" s="3152"/>
      <c r="K26" s="3153"/>
      <c r="L26" s="3154">
        <f t="shared" ref="L26:N26" si="44">ROUND(AVERAGEIF(L27:L42,"&lt;&gt;0"),4)</f>
        <v>3.3E-3</v>
      </c>
      <c r="M26" s="3154">
        <f t="shared" si="44"/>
        <v>2.3999999999999998E-3</v>
      </c>
      <c r="N26" s="3154">
        <f t="shared" si="44"/>
        <v>6.1999999999999998E-3</v>
      </c>
      <c r="O26" s="3154"/>
      <c r="P26" s="3154">
        <f>M26</f>
        <v>2.3999999999999998E-3</v>
      </c>
      <c r="Q26" s="3152"/>
      <c r="R26" s="3155"/>
      <c r="S26" s="3156">
        <f>ROUND(SUMPRODUCT(PRODUCT(1+L27:L42)),4)</f>
        <v>1.0468999999999999</v>
      </c>
      <c r="T26" s="3156">
        <f t="shared" ref="T26:U26" si="45">ROUND(SUMPRODUCT(PRODUCT(1+M27:M42)),4)</f>
        <v>1.0347</v>
      </c>
      <c r="U26" s="3156">
        <f t="shared" si="45"/>
        <v>1.0895999999999999</v>
      </c>
      <c r="V26" s="3156"/>
      <c r="W26" s="3155">
        <f>T26</f>
        <v>1.0347</v>
      </c>
      <c r="X26" s="3152"/>
      <c r="Y26" s="3157"/>
      <c r="Z26" s="3158">
        <f t="shared" ref="Z26:AB26" si="46">ROUND(AVERAGEIF(Z27:Z42,"&lt;&gt;0"),4)</f>
        <v>4.1999999999999997E-3</v>
      </c>
      <c r="AA26" s="3159">
        <f t="shared" si="46"/>
        <v>3.3999999999999998E-3</v>
      </c>
      <c r="AB26" s="3157">
        <f t="shared" si="46"/>
        <v>8.6E-3</v>
      </c>
      <c r="AC26" s="3160"/>
      <c r="AD26" s="3157">
        <f>AA26</f>
        <v>3.3999999999999998E-3</v>
      </c>
    </row>
    <row r="27" spans="1:30" s="3162" customFormat="1" ht="13.2">
      <c r="B27" s="3163"/>
      <c r="C27" s="3164"/>
      <c r="D27" s="3164"/>
      <c r="E27" s="3164"/>
      <c r="F27" s="3164"/>
      <c r="G27" s="3164"/>
      <c r="H27" s="3164"/>
      <c r="I27" s="3164"/>
      <c r="J27" s="3165"/>
      <c r="K27" s="3166"/>
      <c r="L27" s="3167"/>
      <c r="M27" s="3167"/>
      <c r="N27" s="3167"/>
      <c r="O27" s="3167"/>
      <c r="P27" s="3167"/>
      <c r="Q27" s="3165"/>
      <c r="R27" s="3168"/>
      <c r="S27" s="3169"/>
      <c r="T27" s="3170"/>
      <c r="U27" s="3168"/>
      <c r="V27" s="3171"/>
      <c r="W27" s="3168"/>
      <c r="X27" s="3165"/>
      <c r="Y27" s="3172"/>
      <c r="Z27" s="3173"/>
      <c r="AA27" s="3174"/>
      <c r="AB27" s="3172"/>
      <c r="AC27" s="3175"/>
      <c r="AD27" s="3172"/>
    </row>
    <row r="28" spans="1:30" s="3185" customFormat="1" ht="13.2">
      <c r="A28" s="2205" t="s">
        <v>3378</v>
      </c>
      <c r="B28" s="3177">
        <v>2024</v>
      </c>
      <c r="C28" s="3178">
        <v>3</v>
      </c>
      <c r="D28" s="3179"/>
      <c r="E28" s="3179">
        <v>0</v>
      </c>
      <c r="F28" s="3179">
        <v>0</v>
      </c>
      <c r="G28" s="3179">
        <v>0</v>
      </c>
      <c r="H28" s="3179"/>
      <c r="I28" s="3180">
        <f t="shared" ref="I28" si="47">F28</f>
        <v>0</v>
      </c>
      <c r="J28" s="3181"/>
      <c r="K28" s="3182"/>
      <c r="L28" s="3172">
        <f t="shared" ref="L28" si="48">E28/100</f>
        <v>0</v>
      </c>
      <c r="M28" s="3172">
        <f t="shared" ref="M28" si="49">F28/100</f>
        <v>0</v>
      </c>
      <c r="N28" s="3172">
        <f t="shared" ref="N28" si="50">G28/100</f>
        <v>0</v>
      </c>
      <c r="O28" s="3172"/>
      <c r="P28" s="3172">
        <f>M28</f>
        <v>0</v>
      </c>
      <c r="Q28" s="3181"/>
      <c r="R28" s="3183"/>
      <c r="S28" s="3183">
        <f>ROUND(IF(项目基本情况!$B$8="出让",SUMPRODUCT(PRODUCT(1+L28:L$42)),SUMPRODUCT(PRODUCT(1+L28:L$41))),4)</f>
        <v>1.0432999999999999</v>
      </c>
      <c r="T28" s="3183">
        <f>ROUND(IF(项目基本情况!$B$8="出让",SUMPRODUCT(PRODUCT(1+M28:M$42)),SUMPRODUCT(PRODUCT(1+M28:M$41))),4)</f>
        <v>1.0298</v>
      </c>
      <c r="U28" s="3183">
        <f>ROUND(IF(项目基本情况!$B$8="出让",SUMPRODUCT(PRODUCT(1+N28:N$42)),SUMPRODUCT(PRODUCT(1+N28:N$41))),4)</f>
        <v>1.079</v>
      </c>
      <c r="V28" s="3183"/>
      <c r="W28" s="3183">
        <f>T28</f>
        <v>1.0298</v>
      </c>
      <c r="X28" s="3181"/>
      <c r="Y28" s="3184"/>
      <c r="Z28" s="3212">
        <f t="shared" ref="Z28:AB29" si="51">IF(E28=0,0,ROUND(AVERAGE(E28:E41)/100,4))</f>
        <v>0</v>
      </c>
      <c r="AA28" s="3212">
        <f t="shared" si="51"/>
        <v>0</v>
      </c>
      <c r="AB28" s="3212">
        <f t="shared" si="51"/>
        <v>0</v>
      </c>
      <c r="AC28" s="3213"/>
      <c r="AD28" s="3184">
        <f>IF(I28=0,0,ROUND(AVERAGE(I28:I41)/100,4))</f>
        <v>0</v>
      </c>
    </row>
    <row r="29" spans="1:30" s="3195" customFormat="1" ht="13.2">
      <c r="A29" s="3186" t="s">
        <v>3379</v>
      </c>
      <c r="B29" s="3187">
        <v>2024</v>
      </c>
      <c r="C29" s="3188">
        <v>2</v>
      </c>
      <c r="D29" s="3189"/>
      <c r="E29" s="3189">
        <v>-0.31</v>
      </c>
      <c r="F29" s="3189">
        <v>-0.39</v>
      </c>
      <c r="G29" s="3189">
        <v>1.23</v>
      </c>
      <c r="H29" s="3190"/>
      <c r="I29" s="3191">
        <f t="shared" ref="I29:I42" si="52">F29</f>
        <v>-0.39</v>
      </c>
      <c r="J29" s="3192"/>
      <c r="K29" s="3193"/>
      <c r="L29" s="3194">
        <f t="shared" ref="L29:N42" si="53">E29/100</f>
        <v>-3.0999999999999999E-3</v>
      </c>
      <c r="M29" s="3194">
        <f t="shared" si="53"/>
        <v>-3.9000000000000003E-3</v>
      </c>
      <c r="N29" s="3194">
        <f t="shared" si="53"/>
        <v>1.23E-2</v>
      </c>
      <c r="O29" s="3194"/>
      <c r="P29" s="3194">
        <f>M29</f>
        <v>-3.9000000000000003E-3</v>
      </c>
      <c r="Q29" s="3192"/>
      <c r="R29" s="3192"/>
      <c r="S29" s="3192">
        <f>ROUND(IF(项目基本情况!$B$8="出让",SUMPRODUCT(PRODUCT(1+L29:L$42)),SUMPRODUCT(PRODUCT(1+L29:L$41))),4)</f>
        <v>1.0432999999999999</v>
      </c>
      <c r="T29" s="3192">
        <f>ROUND(IF(项目基本情况!$B$8="出让",SUMPRODUCT(PRODUCT(1+M29:M$42)),SUMPRODUCT(PRODUCT(1+M29:M$41))),4)</f>
        <v>1.0298</v>
      </c>
      <c r="U29" s="3192">
        <f>ROUND(IF(项目基本情况!$B$8="出让",SUMPRODUCT(PRODUCT(1+N29:N$42)),SUMPRODUCT(PRODUCT(1+N29:N$41))),4)</f>
        <v>1.079</v>
      </c>
      <c r="V29" s="3192"/>
      <c r="W29" s="3192">
        <f>T29</f>
        <v>1.0298</v>
      </c>
      <c r="X29" s="3192"/>
      <c r="Y29" s="3194"/>
      <c r="Z29" s="3215">
        <f t="shared" si="51"/>
        <v>3.3E-3</v>
      </c>
      <c r="AA29" s="3216">
        <f t="shared" si="51"/>
        <v>2.3999999999999998E-3</v>
      </c>
      <c r="AB29" s="3194">
        <f t="shared" si="51"/>
        <v>6.1999999999999998E-3</v>
      </c>
      <c r="AC29" s="3217"/>
      <c r="AD29" s="3194">
        <f>IF(I29=0,0,ROUND(AVERAGE(I29:I42)/100,4))</f>
        <v>2.3999999999999998E-3</v>
      </c>
    </row>
    <row r="30" spans="1:30" s="3185" customFormat="1" ht="13.2">
      <c r="A30" s="3176" t="s">
        <v>3380</v>
      </c>
      <c r="B30" s="3177">
        <v>2024</v>
      </c>
      <c r="C30" s="3178">
        <v>1</v>
      </c>
      <c r="D30" s="3179"/>
      <c r="E30" s="3179">
        <v>0.25</v>
      </c>
      <c r="F30" s="3179">
        <v>0.4</v>
      </c>
      <c r="G30" s="3179">
        <v>-0.63</v>
      </c>
      <c r="H30" s="3196"/>
      <c r="I30" s="3180">
        <f t="shared" ref="I30:I31" si="54">F30</f>
        <v>0.4</v>
      </c>
      <c r="J30" s="3181"/>
      <c r="K30" s="3182"/>
      <c r="L30" s="3172">
        <f t="shared" ref="L30" si="55">E30/100</f>
        <v>2.5000000000000001E-3</v>
      </c>
      <c r="M30" s="3172">
        <f t="shared" ref="M30" si="56">F30/100</f>
        <v>4.0000000000000001E-3</v>
      </c>
      <c r="N30" s="3172">
        <f t="shared" ref="N30" si="57">G30/100</f>
        <v>-6.3E-3</v>
      </c>
      <c r="O30" s="3172"/>
      <c r="P30" s="3172">
        <f t="shared" ref="P30" si="58">M30</f>
        <v>4.0000000000000001E-3</v>
      </c>
      <c r="Q30" s="3181"/>
      <c r="R30" s="3183"/>
      <c r="S30" s="3183">
        <f>ROUND(IF(项目基本情况!$B$8="出让",SUMPRODUCT(PRODUCT(1+L30:L$42)),SUMPRODUCT(PRODUCT(1+L30:L$41))),4)</f>
        <v>1.0465</v>
      </c>
      <c r="T30" s="3183">
        <f>ROUND(IF(项目基本情况!$B$8="出让",SUMPRODUCT(PRODUCT(1+M30:M$42)),SUMPRODUCT(PRODUCT(1+M30:M$41))),4)</f>
        <v>1.0338000000000001</v>
      </c>
      <c r="U30" s="3183">
        <f>ROUND(IF(项目基本情况!$B$8="出让",SUMPRODUCT(PRODUCT(1+N30:N$42)),SUMPRODUCT(PRODUCT(1+N30:N$41))),4)</f>
        <v>1.0659000000000001</v>
      </c>
      <c r="V30" s="3183"/>
      <c r="W30" s="3183">
        <f t="shared" ref="W30" si="59">T30</f>
        <v>1.0338000000000001</v>
      </c>
      <c r="X30" s="3181"/>
      <c r="Y30" s="3184"/>
      <c r="Z30" s="3212"/>
      <c r="AA30" s="3214"/>
      <c r="AB30" s="3184"/>
      <c r="AC30" s="3213"/>
      <c r="AD30" s="3184"/>
    </row>
    <row r="31" spans="1:30" s="3185" customFormat="1" ht="13.2">
      <c r="A31" s="3176" t="s">
        <v>3377</v>
      </c>
      <c r="B31" s="3177">
        <v>2023</v>
      </c>
      <c r="C31" s="3178">
        <v>4</v>
      </c>
      <c r="D31" s="3179"/>
      <c r="E31" s="3179">
        <v>7.0000000000000007E-2</v>
      </c>
      <c r="F31" s="3179">
        <v>0.09</v>
      </c>
      <c r="G31" s="3179">
        <v>0.03</v>
      </c>
      <c r="H31" s="3196"/>
      <c r="I31" s="3180">
        <f t="shared" si="54"/>
        <v>0.09</v>
      </c>
      <c r="J31" s="3181"/>
      <c r="K31" s="3182"/>
      <c r="L31" s="3172">
        <f t="shared" si="53"/>
        <v>7.000000000000001E-4</v>
      </c>
      <c r="M31" s="3172">
        <f t="shared" si="53"/>
        <v>8.9999999999999998E-4</v>
      </c>
      <c r="N31" s="3172">
        <f t="shared" si="53"/>
        <v>2.9999999999999997E-4</v>
      </c>
      <c r="O31" s="3172"/>
      <c r="P31" s="3172">
        <f t="shared" ref="P31" si="60">M31</f>
        <v>8.9999999999999998E-4</v>
      </c>
      <c r="Q31" s="3181"/>
      <c r="R31" s="3183"/>
      <c r="S31" s="3183">
        <f>ROUND(IF(项目基本情况!$B$8="出让",SUMPRODUCT(PRODUCT(1+L31:L$42)),SUMPRODUCT(PRODUCT(1+L31:L$41))),4)</f>
        <v>1.0439000000000001</v>
      </c>
      <c r="T31" s="3183">
        <f>ROUND(IF(项目基本情况!$B$8="出让",SUMPRODUCT(PRODUCT(1+M31:M$42)),SUMPRODUCT(PRODUCT(1+M31:M$41))),4)</f>
        <v>1.0297000000000001</v>
      </c>
      <c r="U31" s="3183">
        <f>ROUND(IF(项目基本情况!$B$8="出让",SUMPRODUCT(PRODUCT(1+N31:N$42)),SUMPRODUCT(PRODUCT(1+N31:N$41))),4)</f>
        <v>1.0727</v>
      </c>
      <c r="V31" s="3183"/>
      <c r="W31" s="3183">
        <f t="shared" ref="W31" si="61">T31</f>
        <v>1.0297000000000001</v>
      </c>
      <c r="X31" s="3181"/>
      <c r="Y31" s="3184"/>
      <c r="Z31" s="3212"/>
      <c r="AA31" s="3214"/>
      <c r="AB31" s="3184"/>
      <c r="AC31" s="3213"/>
      <c r="AD31" s="3184"/>
    </row>
    <row r="32" spans="1:30" s="3185" customFormat="1" ht="13.2">
      <c r="A32" s="3176" t="s">
        <v>3375</v>
      </c>
      <c r="B32" s="3177">
        <v>2023</v>
      </c>
      <c r="C32" s="3178">
        <v>3</v>
      </c>
      <c r="D32" s="3179"/>
      <c r="E32" s="3179">
        <v>0.35</v>
      </c>
      <c r="F32" s="3179">
        <v>0.17</v>
      </c>
      <c r="G32" s="3179">
        <v>0.52</v>
      </c>
      <c r="H32" s="3196"/>
      <c r="I32" s="3180">
        <f t="shared" si="52"/>
        <v>0.17</v>
      </c>
      <c r="J32" s="3181"/>
      <c r="K32" s="3182"/>
      <c r="L32" s="3172">
        <f t="shared" ref="L32:L34" si="62">E32/100</f>
        <v>3.4999999999999996E-3</v>
      </c>
      <c r="M32" s="3172">
        <f t="shared" ref="M32:M34" si="63">F32/100</f>
        <v>1.7000000000000001E-3</v>
      </c>
      <c r="N32" s="3172">
        <f t="shared" ref="N32:N34" si="64">G32/100</f>
        <v>5.1999999999999998E-3</v>
      </c>
      <c r="O32" s="3172"/>
      <c r="P32" s="3172">
        <f t="shared" ref="P32:P34" si="65">M32</f>
        <v>1.7000000000000001E-3</v>
      </c>
      <c r="Q32" s="3181"/>
      <c r="R32" s="3183"/>
      <c r="S32" s="3183">
        <f>ROUND(IF(项目基本情况!$B$8="出让",SUMPRODUCT(PRODUCT(1+L32:L$42)),SUMPRODUCT(PRODUCT(1+L32:L$41))),4)</f>
        <v>1.0431999999999999</v>
      </c>
      <c r="T32" s="3183">
        <f>ROUND(IF(项目基本情况!$B$8="出让",SUMPRODUCT(PRODUCT(1+M32:M$42)),SUMPRODUCT(PRODUCT(1+M32:M$41))),4)</f>
        <v>1.0286999999999999</v>
      </c>
      <c r="U32" s="3183">
        <f>ROUND(IF(项目基本情况!$B$8="出让",SUMPRODUCT(PRODUCT(1+N32:N$42)),SUMPRODUCT(PRODUCT(1+N32:N$41))),4)</f>
        <v>1.0723</v>
      </c>
      <c r="V32" s="3183"/>
      <c r="W32" s="3183">
        <f t="shared" ref="W32:W34" si="66">T32</f>
        <v>1.0286999999999999</v>
      </c>
      <c r="X32" s="3181"/>
      <c r="Y32" s="3184"/>
      <c r="Z32" s="3212"/>
      <c r="AA32" s="3214"/>
      <c r="AB32" s="3184"/>
      <c r="AC32" s="3213"/>
      <c r="AD32" s="3184"/>
    </row>
    <row r="33" spans="1:30" s="3185" customFormat="1" ht="13.2">
      <c r="A33" s="3176" t="s">
        <v>3374</v>
      </c>
      <c r="B33" s="3177">
        <v>2023</v>
      </c>
      <c r="C33" s="3178">
        <v>2</v>
      </c>
      <c r="D33" s="3179"/>
      <c r="E33" s="3179">
        <v>0.5</v>
      </c>
      <c r="F33" s="3179">
        <v>0.45</v>
      </c>
      <c r="G33" s="3179">
        <v>0.89</v>
      </c>
      <c r="H33" s="3196"/>
      <c r="I33" s="3180">
        <f t="shared" si="52"/>
        <v>0.45</v>
      </c>
      <c r="J33" s="3181"/>
      <c r="K33" s="3182"/>
      <c r="L33" s="3172">
        <f t="shared" si="62"/>
        <v>5.0000000000000001E-3</v>
      </c>
      <c r="M33" s="3172">
        <f t="shared" si="63"/>
        <v>4.5000000000000005E-3</v>
      </c>
      <c r="N33" s="3172">
        <f t="shared" si="64"/>
        <v>8.8999999999999999E-3</v>
      </c>
      <c r="O33" s="3172"/>
      <c r="P33" s="3172">
        <f t="shared" si="65"/>
        <v>4.5000000000000005E-3</v>
      </c>
      <c r="Q33" s="3181"/>
      <c r="R33" s="3183"/>
      <c r="S33" s="3183">
        <f>ROUND(IF(项目基本情况!$B$8="出让",SUMPRODUCT(PRODUCT(1+L33:L$42)),SUMPRODUCT(PRODUCT(1+L33:L$41))),4)</f>
        <v>1.0396000000000001</v>
      </c>
      <c r="T33" s="3183">
        <f>ROUND(IF(项目基本情况!$B$8="出让",SUMPRODUCT(PRODUCT(1+M33:M$42)),SUMPRODUCT(PRODUCT(1+M33:M$41))),4)</f>
        <v>1.0269999999999999</v>
      </c>
      <c r="U33" s="3183">
        <f>ROUND(IF(项目基本情况!$B$8="出让",SUMPRODUCT(PRODUCT(1+N33:N$42)),SUMPRODUCT(PRODUCT(1+N33:N$41))),4)</f>
        <v>1.0668</v>
      </c>
      <c r="V33" s="3183"/>
      <c r="W33" s="3183">
        <f t="shared" si="66"/>
        <v>1.0269999999999999</v>
      </c>
      <c r="X33" s="3181"/>
      <c r="Y33" s="3184"/>
      <c r="Z33" s="3212"/>
      <c r="AA33" s="3214"/>
      <c r="AB33" s="3184"/>
      <c r="AC33" s="3213"/>
      <c r="AD33" s="3184"/>
    </row>
    <row r="34" spans="1:30" s="3185" customFormat="1" ht="13.2">
      <c r="A34" s="3176" t="s">
        <v>3370</v>
      </c>
      <c r="B34" s="3177">
        <v>2023</v>
      </c>
      <c r="C34" s="3178">
        <v>1</v>
      </c>
      <c r="D34" s="3179"/>
      <c r="E34" s="3179">
        <v>0.55000000000000004</v>
      </c>
      <c r="F34" s="3179">
        <v>0.59</v>
      </c>
      <c r="G34" s="3179">
        <v>0.64</v>
      </c>
      <c r="H34" s="3196"/>
      <c r="I34" s="3180">
        <f t="shared" si="52"/>
        <v>0.59</v>
      </c>
      <c r="J34" s="3181"/>
      <c r="K34" s="3182"/>
      <c r="L34" s="3172">
        <f t="shared" si="62"/>
        <v>5.5000000000000005E-3</v>
      </c>
      <c r="M34" s="3172">
        <f t="shared" si="63"/>
        <v>5.8999999999999999E-3</v>
      </c>
      <c r="N34" s="3172">
        <f t="shared" si="64"/>
        <v>6.4000000000000003E-3</v>
      </c>
      <c r="O34" s="3172"/>
      <c r="P34" s="3172">
        <f t="shared" si="65"/>
        <v>5.8999999999999999E-3</v>
      </c>
      <c r="Q34" s="3181"/>
      <c r="R34" s="3183"/>
      <c r="S34" s="3183">
        <f>ROUND(IF(项目基本情况!$B$8="出让",SUMPRODUCT(PRODUCT(1+L34:L$42)),SUMPRODUCT(PRODUCT(1+L34:L$41))),4)</f>
        <v>1.0344</v>
      </c>
      <c r="T34" s="3183">
        <f>ROUND(IF(项目基本情况!$B$8="出让",SUMPRODUCT(PRODUCT(1+M34:M$42)),SUMPRODUCT(PRODUCT(1+M34:M$41))),4)</f>
        <v>1.0224</v>
      </c>
      <c r="U34" s="3183">
        <f>ROUND(IF(项目基本情况!$B$8="出让",SUMPRODUCT(PRODUCT(1+N34:N$42)),SUMPRODUCT(PRODUCT(1+N34:N$41))),4)</f>
        <v>1.0573999999999999</v>
      </c>
      <c r="V34" s="3183"/>
      <c r="W34" s="3183">
        <f t="shared" si="66"/>
        <v>1.0224</v>
      </c>
      <c r="X34" s="3181"/>
      <c r="Y34" s="3184"/>
      <c r="Z34" s="3212"/>
      <c r="AA34" s="3214"/>
      <c r="AB34" s="3184"/>
      <c r="AC34" s="3213"/>
      <c r="AD34" s="3184"/>
    </row>
    <row r="35" spans="1:30" s="3185" customFormat="1" ht="13.2">
      <c r="A35" s="3176" t="s">
        <v>3369</v>
      </c>
      <c r="B35" s="3177">
        <v>2022</v>
      </c>
      <c r="C35" s="3178">
        <v>4</v>
      </c>
      <c r="D35" s="3179"/>
      <c r="E35" s="3179">
        <v>0.45</v>
      </c>
      <c r="F35" s="3179">
        <v>0.2</v>
      </c>
      <c r="G35" s="3179">
        <v>0.38</v>
      </c>
      <c r="H35" s="3196"/>
      <c r="I35" s="3180">
        <f t="shared" si="52"/>
        <v>0.2</v>
      </c>
      <c r="J35" s="3181"/>
      <c r="K35" s="3182"/>
      <c r="L35" s="3172">
        <f t="shared" si="53"/>
        <v>4.5000000000000005E-3</v>
      </c>
      <c r="M35" s="3172">
        <f t="shared" si="53"/>
        <v>2E-3</v>
      </c>
      <c r="N35" s="3172">
        <f t="shared" si="53"/>
        <v>3.8E-3</v>
      </c>
      <c r="O35" s="3172"/>
      <c r="P35" s="3172">
        <f t="shared" ref="P35:P42" si="67">M35</f>
        <v>2E-3</v>
      </c>
      <c r="Q35" s="3181"/>
      <c r="R35" s="3183"/>
      <c r="S35" s="3183">
        <f>ROUND(IF(项目基本情况!$B$8="出让",SUMPRODUCT(PRODUCT(1+L35:L$42)),SUMPRODUCT(PRODUCT(1+L35:L$41))),4)</f>
        <v>1.0286999999999999</v>
      </c>
      <c r="T35" s="3183">
        <f>ROUND(IF(项目基本情况!$B$8="出让",SUMPRODUCT(PRODUCT(1+M35:M$42)),SUMPRODUCT(PRODUCT(1+M35:M$41))),4)</f>
        <v>1.0164</v>
      </c>
      <c r="U35" s="3183">
        <f>ROUND(IF(项目基本情况!$B$8="出让",SUMPRODUCT(PRODUCT(1+N35:N$42)),SUMPRODUCT(PRODUCT(1+N35:N$41))),4)</f>
        <v>1.0506</v>
      </c>
      <c r="V35" s="3183"/>
      <c r="W35" s="3183">
        <f t="shared" ref="W35:W42" si="68">T35</f>
        <v>1.0164</v>
      </c>
      <c r="X35" s="3181"/>
      <c r="Y35" s="3184"/>
      <c r="Z35" s="3212">
        <f t="shared" ref="Z35:AD42" si="69">IF(E35=0,0,ROUND(AVERAGE(E35:E43)/100,4))</f>
        <v>4.0000000000000001E-3</v>
      </c>
      <c r="AA35" s="3214">
        <f t="shared" si="69"/>
        <v>2.5999999999999999E-3</v>
      </c>
      <c r="AB35" s="3184">
        <f t="shared" si="69"/>
        <v>7.4000000000000003E-3</v>
      </c>
      <c r="AC35" s="3213"/>
      <c r="AD35" s="3184">
        <f t="shared" si="69"/>
        <v>2.5999999999999999E-3</v>
      </c>
    </row>
    <row r="36" spans="1:30" s="3185" customFormat="1" ht="13.2">
      <c r="A36" s="3176" t="s">
        <v>3366</v>
      </c>
      <c r="B36" s="3177">
        <v>2022</v>
      </c>
      <c r="C36" s="3178">
        <v>3</v>
      </c>
      <c r="D36" s="3179"/>
      <c r="E36" s="3179">
        <v>0.3</v>
      </c>
      <c r="F36" s="3179">
        <v>0.28999999999999998</v>
      </c>
      <c r="G36" s="3179">
        <v>0.83</v>
      </c>
      <c r="H36" s="3196"/>
      <c r="I36" s="3180">
        <f t="shared" si="52"/>
        <v>0.28999999999999998</v>
      </c>
      <c r="J36" s="3181"/>
      <c r="K36" s="3182"/>
      <c r="L36" s="3172">
        <f t="shared" si="53"/>
        <v>3.0000000000000001E-3</v>
      </c>
      <c r="M36" s="3172">
        <f t="shared" si="53"/>
        <v>2.8999999999999998E-3</v>
      </c>
      <c r="N36" s="3172">
        <f t="shared" si="53"/>
        <v>8.3000000000000001E-3</v>
      </c>
      <c r="O36" s="3172"/>
      <c r="P36" s="3172">
        <f t="shared" si="67"/>
        <v>2.8999999999999998E-3</v>
      </c>
      <c r="Q36" s="3181"/>
      <c r="R36" s="3183"/>
      <c r="S36" s="3183">
        <f>ROUND(IF(项目基本情况!$B$8="出让",SUMPRODUCT(PRODUCT(1+L36:L$42)),SUMPRODUCT(PRODUCT(1+L36:L$41))),4)</f>
        <v>1.0241</v>
      </c>
      <c r="T36" s="3183">
        <f>ROUND(IF(项目基本情况!$B$8="出让",SUMPRODUCT(PRODUCT(1+M36:M$42)),SUMPRODUCT(PRODUCT(1+M36:M$41))),4)</f>
        <v>1.0144</v>
      </c>
      <c r="U36" s="3183">
        <f>ROUND(IF(项目基本情况!$B$8="出让",SUMPRODUCT(PRODUCT(1+N36:N$42)),SUMPRODUCT(PRODUCT(1+N36:N$41))),4)</f>
        <v>1.0467</v>
      </c>
      <c r="V36" s="3183"/>
      <c r="W36" s="3183">
        <f t="shared" si="68"/>
        <v>1.0144</v>
      </c>
      <c r="X36" s="3181"/>
      <c r="Y36" s="3184"/>
      <c r="Z36" s="3212">
        <f t="shared" si="69"/>
        <v>3.8999999999999998E-3</v>
      </c>
      <c r="AA36" s="3214">
        <f t="shared" si="69"/>
        <v>2.7000000000000001E-3</v>
      </c>
      <c r="AB36" s="3184">
        <f t="shared" si="69"/>
        <v>7.9000000000000008E-3</v>
      </c>
      <c r="AC36" s="3213"/>
      <c r="AD36" s="3184">
        <f t="shared" si="69"/>
        <v>2.7000000000000001E-3</v>
      </c>
    </row>
    <row r="37" spans="1:30" s="3185" customFormat="1" ht="13.2">
      <c r="A37" s="3176" t="s">
        <v>3356</v>
      </c>
      <c r="B37" s="3177">
        <v>2022</v>
      </c>
      <c r="C37" s="3178">
        <v>2</v>
      </c>
      <c r="D37" s="3179"/>
      <c r="E37" s="3179">
        <v>-0.11</v>
      </c>
      <c r="F37" s="3179">
        <v>-0.13</v>
      </c>
      <c r="G37" s="3179">
        <v>0.53</v>
      </c>
      <c r="H37" s="3196"/>
      <c r="I37" s="3180">
        <f t="shared" si="52"/>
        <v>-0.13</v>
      </c>
      <c r="J37" s="3181"/>
      <c r="K37" s="3182"/>
      <c r="L37" s="3172">
        <f t="shared" si="53"/>
        <v>-1.1000000000000001E-3</v>
      </c>
      <c r="M37" s="3172">
        <f t="shared" si="53"/>
        <v>-1.2999999999999999E-3</v>
      </c>
      <c r="N37" s="3172">
        <f t="shared" si="53"/>
        <v>5.3E-3</v>
      </c>
      <c r="O37" s="3172"/>
      <c r="P37" s="3172">
        <f t="shared" si="67"/>
        <v>-1.2999999999999999E-3</v>
      </c>
      <c r="Q37" s="3181"/>
      <c r="R37" s="3183"/>
      <c r="S37" s="3183">
        <f>ROUND(IF(项目基本情况!$B$8="出让",SUMPRODUCT(PRODUCT(1+L37:L$42)),SUMPRODUCT(PRODUCT(1+L37:L$41))),4)</f>
        <v>1.0210999999999999</v>
      </c>
      <c r="T37" s="3183">
        <f>ROUND(IF(项目基本情况!$B$8="出让",SUMPRODUCT(PRODUCT(1+M37:M$42)),SUMPRODUCT(PRODUCT(1+M37:M$41))),4)</f>
        <v>1.0114000000000001</v>
      </c>
      <c r="U37" s="3183">
        <f>ROUND(IF(项目基本情况!$B$8="出让",SUMPRODUCT(PRODUCT(1+N37:N$42)),SUMPRODUCT(PRODUCT(1+N37:N$41))),4)</f>
        <v>1.0381</v>
      </c>
      <c r="V37" s="3183"/>
      <c r="W37" s="3183">
        <f t="shared" si="68"/>
        <v>1.0114000000000001</v>
      </c>
      <c r="X37" s="3181"/>
      <c r="Y37" s="3184"/>
      <c r="Z37" s="3212">
        <f t="shared" si="69"/>
        <v>4.1000000000000003E-3</v>
      </c>
      <c r="AA37" s="3214">
        <f t="shared" si="69"/>
        <v>2.7000000000000001E-3</v>
      </c>
      <c r="AB37" s="3184">
        <f t="shared" si="69"/>
        <v>7.9000000000000008E-3</v>
      </c>
      <c r="AC37" s="3213"/>
      <c r="AD37" s="3184">
        <f t="shared" si="69"/>
        <v>2.7000000000000001E-3</v>
      </c>
    </row>
    <row r="38" spans="1:30" s="3185" customFormat="1" ht="13.2">
      <c r="A38" s="3176" t="s">
        <v>2836</v>
      </c>
      <c r="B38" s="3177">
        <v>2022</v>
      </c>
      <c r="C38" s="3178">
        <v>1</v>
      </c>
      <c r="D38" s="3179"/>
      <c r="E38" s="3179">
        <v>0.6</v>
      </c>
      <c r="F38" s="3179">
        <v>0.45</v>
      </c>
      <c r="G38" s="3179">
        <v>0.53</v>
      </c>
      <c r="H38" s="3196"/>
      <c r="I38" s="3180">
        <f t="shared" si="52"/>
        <v>0.45</v>
      </c>
      <c r="J38" s="3181"/>
      <c r="K38" s="3182"/>
      <c r="L38" s="3172">
        <f t="shared" si="53"/>
        <v>6.0000000000000001E-3</v>
      </c>
      <c r="M38" s="3172">
        <f t="shared" si="53"/>
        <v>4.5000000000000005E-3</v>
      </c>
      <c r="N38" s="3172">
        <f t="shared" si="53"/>
        <v>5.3E-3</v>
      </c>
      <c r="O38" s="3172"/>
      <c r="P38" s="3172">
        <f t="shared" si="67"/>
        <v>4.5000000000000005E-3</v>
      </c>
      <c r="Q38" s="3181"/>
      <c r="R38" s="3183"/>
      <c r="S38" s="3183">
        <f>ROUND(IF(项目基本情况!$B$8="出让",SUMPRODUCT(PRODUCT(1+L38:L$42)),SUMPRODUCT(PRODUCT(1+L38:L$41))),4)</f>
        <v>1.0222</v>
      </c>
      <c r="T38" s="3183">
        <f>ROUND(IF(项目基本情况!$B$8="出让",SUMPRODUCT(PRODUCT(1+M38:M$42)),SUMPRODUCT(PRODUCT(1+M38:M$41))),4)</f>
        <v>1.0127999999999999</v>
      </c>
      <c r="U38" s="3183">
        <f>ROUND(IF(项目基本情况!$B$8="出让",SUMPRODUCT(PRODUCT(1+N38:N$42)),SUMPRODUCT(PRODUCT(1+N38:N$41))),4)</f>
        <v>1.0326</v>
      </c>
      <c r="V38" s="3183"/>
      <c r="W38" s="3183">
        <f t="shared" si="68"/>
        <v>1.0127999999999999</v>
      </c>
      <c r="X38" s="3181"/>
      <c r="Y38" s="3184"/>
      <c r="Z38" s="3212">
        <f t="shared" si="69"/>
        <v>5.1000000000000004E-3</v>
      </c>
      <c r="AA38" s="3214">
        <f t="shared" si="69"/>
        <v>3.5000000000000001E-3</v>
      </c>
      <c r="AB38" s="3184">
        <f t="shared" si="69"/>
        <v>8.3999999999999995E-3</v>
      </c>
      <c r="AC38" s="3213"/>
      <c r="AD38" s="3184">
        <f t="shared" si="69"/>
        <v>3.5000000000000001E-3</v>
      </c>
    </row>
    <row r="39" spans="1:30" s="3185" customFormat="1" ht="13.2">
      <c r="A39" s="3176" t="s">
        <v>2837</v>
      </c>
      <c r="B39" s="3177">
        <v>2021</v>
      </c>
      <c r="C39" s="3178">
        <v>4</v>
      </c>
      <c r="D39" s="3179"/>
      <c r="E39" s="3179">
        <v>0.57999999999999996</v>
      </c>
      <c r="F39" s="3179">
        <v>0.08</v>
      </c>
      <c r="G39" s="3179">
        <v>0.68</v>
      </c>
      <c r="H39" s="3196"/>
      <c r="I39" s="3180">
        <f t="shared" si="52"/>
        <v>0.08</v>
      </c>
      <c r="J39" s="3181"/>
      <c r="K39" s="3182"/>
      <c r="L39" s="3172">
        <f t="shared" si="53"/>
        <v>5.7999999999999996E-3</v>
      </c>
      <c r="M39" s="3172">
        <f t="shared" si="53"/>
        <v>8.0000000000000004E-4</v>
      </c>
      <c r="N39" s="3172">
        <f t="shared" si="53"/>
        <v>6.8000000000000005E-3</v>
      </c>
      <c r="O39" s="3172"/>
      <c r="P39" s="3172">
        <f t="shared" si="67"/>
        <v>8.0000000000000004E-4</v>
      </c>
      <c r="Q39" s="3181"/>
      <c r="R39" s="3183"/>
      <c r="S39" s="3183">
        <f>ROUND(IF(项目基本情况!$B$8="出让",SUMPRODUCT(PRODUCT(1+L39:L$42)),SUMPRODUCT(PRODUCT(1+L39:L$41))),4)</f>
        <v>1.0161</v>
      </c>
      <c r="T39" s="3183">
        <f>ROUND(IF(项目基本情况!$B$8="出让",SUMPRODUCT(PRODUCT(1+M39:M$42)),SUMPRODUCT(PRODUCT(1+M39:M$41))),4)</f>
        <v>1.0082</v>
      </c>
      <c r="U39" s="3183">
        <f>ROUND(IF(项目基本情况!$B$8="出让",SUMPRODUCT(PRODUCT(1+N39:N$42)),SUMPRODUCT(PRODUCT(1+N39:N$41))),4)</f>
        <v>1.0270999999999999</v>
      </c>
      <c r="V39" s="3183"/>
      <c r="W39" s="3183">
        <f t="shared" si="68"/>
        <v>1.0082</v>
      </c>
      <c r="X39" s="3181"/>
      <c r="Y39" s="3184"/>
      <c r="Z39" s="3212">
        <f t="shared" si="69"/>
        <v>4.8999999999999998E-3</v>
      </c>
      <c r="AA39" s="3214">
        <f t="shared" si="69"/>
        <v>3.3E-3</v>
      </c>
      <c r="AB39" s="3184">
        <f t="shared" si="69"/>
        <v>9.1999999999999998E-3</v>
      </c>
      <c r="AC39" s="3213"/>
      <c r="AD39" s="3184">
        <f t="shared" si="69"/>
        <v>3.3E-3</v>
      </c>
    </row>
    <row r="40" spans="1:30" s="3185" customFormat="1" ht="13.2">
      <c r="A40" s="3176" t="s">
        <v>2838</v>
      </c>
      <c r="B40" s="3177">
        <v>2021</v>
      </c>
      <c r="C40" s="3178">
        <v>3</v>
      </c>
      <c r="D40" s="3179"/>
      <c r="E40" s="3179">
        <v>0.47</v>
      </c>
      <c r="F40" s="3179">
        <v>0.28000000000000003</v>
      </c>
      <c r="G40" s="3179">
        <v>0.91</v>
      </c>
      <c r="H40" s="3196"/>
      <c r="I40" s="3180">
        <f t="shared" si="52"/>
        <v>0.28000000000000003</v>
      </c>
      <c r="J40" s="3181"/>
      <c r="K40" s="3182"/>
      <c r="L40" s="3172">
        <f t="shared" si="53"/>
        <v>4.6999999999999993E-3</v>
      </c>
      <c r="M40" s="3172">
        <f t="shared" si="53"/>
        <v>2.8000000000000004E-3</v>
      </c>
      <c r="N40" s="3172">
        <f t="shared" si="53"/>
        <v>9.1000000000000004E-3</v>
      </c>
      <c r="O40" s="3172"/>
      <c r="P40" s="3172">
        <f t="shared" si="67"/>
        <v>2.8000000000000004E-3</v>
      </c>
      <c r="Q40" s="3181"/>
      <c r="R40" s="3183"/>
      <c r="S40" s="3183">
        <f>ROUND(IF(项目基本情况!$B$8="出让",SUMPRODUCT(PRODUCT(1+L40:L$42)),SUMPRODUCT(PRODUCT(1+L40:L$41))),4)</f>
        <v>1.0102</v>
      </c>
      <c r="T40" s="3183">
        <f>ROUND(IF(项目基本情况!$B$8="出让",SUMPRODUCT(PRODUCT(1+M40:M$42)),SUMPRODUCT(PRODUCT(1+M40:M$41))),4)</f>
        <v>1.0074000000000001</v>
      </c>
      <c r="U40" s="3183">
        <f>ROUND(IF(项目基本情况!$B$8="出让",SUMPRODUCT(PRODUCT(1+N40:N$42)),SUMPRODUCT(PRODUCT(1+N40:N$41))),4)</f>
        <v>1.0202</v>
      </c>
      <c r="V40" s="3183"/>
      <c r="W40" s="3183">
        <f t="shared" si="68"/>
        <v>1.0074000000000001</v>
      </c>
      <c r="X40" s="3181"/>
      <c r="Y40" s="3184"/>
      <c r="Z40" s="3212">
        <f t="shared" si="69"/>
        <v>4.5999999999999999E-3</v>
      </c>
      <c r="AA40" s="3214">
        <f t="shared" si="69"/>
        <v>4.1000000000000003E-3</v>
      </c>
      <c r="AB40" s="3184">
        <f t="shared" si="69"/>
        <v>0.01</v>
      </c>
      <c r="AC40" s="3213"/>
      <c r="AD40" s="3184">
        <f t="shared" si="69"/>
        <v>4.1000000000000003E-3</v>
      </c>
    </row>
    <row r="41" spans="1:30" s="3185" customFormat="1" ht="13.2">
      <c r="A41" s="3176" t="s">
        <v>2839</v>
      </c>
      <c r="B41" s="3177">
        <v>2021</v>
      </c>
      <c r="C41" s="3178">
        <v>2</v>
      </c>
      <c r="D41" s="3179"/>
      <c r="E41" s="3179">
        <v>0.55000000000000004</v>
      </c>
      <c r="F41" s="3179">
        <v>0.46</v>
      </c>
      <c r="G41" s="3179">
        <v>1.1000000000000001</v>
      </c>
      <c r="H41" s="3196"/>
      <c r="I41" s="3180">
        <f t="shared" si="52"/>
        <v>0.46</v>
      </c>
      <c r="J41" s="3181"/>
      <c r="K41" s="3182"/>
      <c r="L41" s="3172">
        <f t="shared" si="53"/>
        <v>5.5000000000000005E-3</v>
      </c>
      <c r="M41" s="3172">
        <f t="shared" si="53"/>
        <v>4.5999999999999999E-3</v>
      </c>
      <c r="N41" s="3172">
        <f t="shared" si="53"/>
        <v>1.1000000000000001E-2</v>
      </c>
      <c r="O41" s="3172"/>
      <c r="P41" s="3172">
        <f t="shared" si="67"/>
        <v>4.5999999999999999E-3</v>
      </c>
      <c r="Q41" s="3181"/>
      <c r="R41" s="3183"/>
      <c r="S41" s="3183">
        <f>ROUND(IF(项目基本情况!$B$8="出让",SUMPRODUCT(PRODUCT(1+L41:L$42)),SUMPRODUCT(PRODUCT(1+L41:L$41))),4)</f>
        <v>1.0055000000000001</v>
      </c>
      <c r="T41" s="3183">
        <f>ROUND(IF(项目基本情况!$B$8="出让",SUMPRODUCT(PRODUCT(1+M41:M$42)),SUMPRODUCT(PRODUCT(1+M41:M$41))),4)</f>
        <v>1.0045999999999999</v>
      </c>
      <c r="U41" s="3183">
        <f>ROUND(IF(项目基本情况!$B$8="出让",SUMPRODUCT(PRODUCT(1+N41:N$42)),SUMPRODUCT(PRODUCT(1+N41:N$41))),4)</f>
        <v>1.0109999999999999</v>
      </c>
      <c r="V41" s="3183"/>
      <c r="W41" s="3183">
        <f t="shared" si="68"/>
        <v>1.0045999999999999</v>
      </c>
      <c r="X41" s="3181"/>
      <c r="Y41" s="3184"/>
      <c r="Z41" s="3212">
        <f t="shared" si="69"/>
        <v>4.4999999999999997E-3</v>
      </c>
      <c r="AA41" s="3214">
        <f t="shared" si="69"/>
        <v>4.7000000000000002E-3</v>
      </c>
      <c r="AB41" s="3184">
        <f t="shared" si="69"/>
        <v>1.04E-2</v>
      </c>
      <c r="AC41" s="3213"/>
      <c r="AD41" s="3184">
        <f t="shared" si="69"/>
        <v>4.7000000000000002E-3</v>
      </c>
    </row>
    <row r="42" spans="1:30" s="3207" customFormat="1" ht="13.8" thickBot="1">
      <c r="A42" s="3197" t="s">
        <v>2825</v>
      </c>
      <c r="B42" s="3198">
        <v>2021</v>
      </c>
      <c r="C42" s="3199">
        <v>1</v>
      </c>
      <c r="D42" s="3200"/>
      <c r="E42" s="3200">
        <v>0.35</v>
      </c>
      <c r="F42" s="3200">
        <v>0.48</v>
      </c>
      <c r="G42" s="3200">
        <v>0.98</v>
      </c>
      <c r="H42" s="3201"/>
      <c r="I42" s="3202">
        <f t="shared" si="52"/>
        <v>0.48</v>
      </c>
      <c r="J42" s="3203"/>
      <c r="K42" s="3204"/>
      <c r="L42" s="3205">
        <f t="shared" si="53"/>
        <v>3.4999999999999996E-3</v>
      </c>
      <c r="M42" s="3205">
        <f>F42/100</f>
        <v>4.7999999999999996E-3</v>
      </c>
      <c r="N42" s="3205">
        <f t="shared" si="53"/>
        <v>9.7999999999999997E-3</v>
      </c>
      <c r="O42" s="3205"/>
      <c r="P42" s="3205">
        <f t="shared" si="67"/>
        <v>4.7999999999999996E-3</v>
      </c>
      <c r="Q42" s="3203"/>
      <c r="R42" s="3206"/>
      <c r="S42" s="3206">
        <v>1</v>
      </c>
      <c r="T42" s="3206">
        <v>1</v>
      </c>
      <c r="U42" s="3206">
        <v>1</v>
      </c>
      <c r="V42" s="3206"/>
      <c r="W42" s="3206">
        <f t="shared" si="68"/>
        <v>1</v>
      </c>
      <c r="X42" s="3203"/>
      <c r="Y42" s="3205"/>
      <c r="Z42" s="3218">
        <f t="shared" si="69"/>
        <v>3.5000000000000001E-3</v>
      </c>
      <c r="AA42" s="3219">
        <f t="shared" si="69"/>
        <v>4.7999999999999996E-3</v>
      </c>
      <c r="AB42" s="3205">
        <f t="shared" si="69"/>
        <v>9.7999999999999997E-3</v>
      </c>
      <c r="AC42" s="3220"/>
      <c r="AD42" s="3205">
        <f t="shared" si="69"/>
        <v>4.7999999999999996E-3</v>
      </c>
    </row>
    <row r="43" spans="1:30" ht="15" thickTop="1"/>
    <row r="44" spans="1:30">
      <c r="A44" s="3448"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18" t="s">
        <v>452</v>
      </c>
      <c r="C1" s="3818"/>
      <c r="D1" s="3818"/>
      <c r="E1" s="3818"/>
      <c r="F1" s="3818"/>
      <c r="G1" s="3817" t="s">
        <v>453</v>
      </c>
      <c r="H1" s="3817"/>
      <c r="I1" s="3817"/>
      <c r="J1" s="3817"/>
      <c r="K1" s="3817"/>
      <c r="L1" s="3817"/>
      <c r="N1" s="3817" t="s">
        <v>454</v>
      </c>
      <c r="O1" s="3817"/>
      <c r="P1" s="3817"/>
      <c r="Q1" s="3817"/>
      <c r="S1" s="3817" t="s">
        <v>455</v>
      </c>
      <c r="T1" s="3817"/>
      <c r="U1" s="3817"/>
      <c r="V1" s="3817"/>
      <c r="X1" s="3816" t="s">
        <v>456</v>
      </c>
      <c r="Y1" s="3817"/>
      <c r="Z1" s="3817"/>
      <c r="AA1" s="3817"/>
      <c r="AB1" s="3817"/>
      <c r="AD1" s="3816" t="s">
        <v>457</v>
      </c>
      <c r="AE1" s="3817"/>
      <c r="AF1" s="3817"/>
      <c r="AG1" s="3817"/>
      <c r="AH1" s="3817"/>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4">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5">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4">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5">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topLeftCell="A10" workbookViewId="0">
      <selection activeCell="F26" sqref="F26"/>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41356</v>
      </c>
      <c r="D1" s="1302" t="s">
        <v>603</v>
      </c>
      <c r="E1" s="1297">
        <f>'数据-取费表'!B22</f>
        <v>2</v>
      </c>
      <c r="F1" s="1302" t="s">
        <v>604</v>
      </c>
      <c r="G1" s="1298">
        <f ca="1">INDIRECT("d"&amp;$K$1)/100</f>
        <v>6.1500000000000006E-2</v>
      </c>
      <c r="H1" s="1302" t="s">
        <v>634</v>
      </c>
      <c r="I1" s="1298">
        <f ca="1">F4/100</f>
        <v>0.03</v>
      </c>
      <c r="J1" s="1303">
        <f>IF(C1&gt;C13,0,MATCH(C1,C$13:C$113,-1))+IF(SUMIF(C13:C113,C1,D13:D113)=0,13,12)</f>
        <v>32</v>
      </c>
      <c r="K1" s="1303">
        <f>MATCH(E1,C3:C7,1)+IF(SUMIF(C3:C7,E1,D3:D7)=0,2,1)</f>
        <v>5</v>
      </c>
      <c r="L1" s="1303">
        <f>IF(C1&gt;M13,0,MATCH(C1,M$13:M$100,-1))+IF(SUMIF(M13:M100,C1,N13:N100)=0,13,12)</f>
        <v>19</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5.6</v>
      </c>
      <c r="E3" s="1246">
        <v>0.5</v>
      </c>
      <c r="F3" s="1247">
        <f ca="1">INDIRECT("p"&amp;$L$1)</f>
        <v>2.8</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6</v>
      </c>
      <c r="E4" s="1252">
        <v>1</v>
      </c>
      <c r="F4" s="1253">
        <f ca="1">INDIRECT("q"&amp;$L$1)</f>
        <v>3</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6.15</v>
      </c>
      <c r="E5" s="1252">
        <v>2</v>
      </c>
      <c r="F5" s="1253">
        <f ca="1">INDIRECT("r"&amp;$L$1)</f>
        <v>3.75</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6.4</v>
      </c>
      <c r="E6" s="1252">
        <v>3</v>
      </c>
      <c r="F6" s="1253">
        <f ca="1">INDIRECT("s"&amp;$L$1)</f>
        <v>4.25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6.55</v>
      </c>
      <c r="E7" s="1257">
        <v>5</v>
      </c>
      <c r="F7" s="1258">
        <f ca="1">INDIRECT("t"&amp;$L$1)</f>
        <v>4.75</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1">
        <v>45495</v>
      </c>
      <c r="D13" s="2822">
        <v>3.35</v>
      </c>
      <c r="E13" s="2822">
        <f>D13</f>
        <v>3.35</v>
      </c>
      <c r="F13" s="2822">
        <f>D13</f>
        <v>3.35</v>
      </c>
      <c r="G13" s="2822">
        <f>D13</f>
        <v>3.35</v>
      </c>
      <c r="H13" s="2822">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6"/>
      <c r="C14" s="2818">
        <v>45342</v>
      </c>
      <c r="D14" s="2817">
        <v>3.45</v>
      </c>
      <c r="E14" s="2817">
        <f>D14</f>
        <v>3.45</v>
      </c>
      <c r="F14" s="2817">
        <f>D14</f>
        <v>3.45</v>
      </c>
      <c r="G14" s="2817">
        <f>D14</f>
        <v>3.45</v>
      </c>
      <c r="H14" s="2817">
        <v>3.95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6"/>
      <c r="C15" s="2818">
        <v>45159</v>
      </c>
      <c r="D15" s="2817">
        <v>3.45</v>
      </c>
      <c r="E15" s="2817">
        <f>D15</f>
        <v>3.45</v>
      </c>
      <c r="F15" s="2817">
        <f>D15</f>
        <v>3.45</v>
      </c>
      <c r="G15" s="2817">
        <f>D15</f>
        <v>3.45</v>
      </c>
      <c r="H15" s="2817">
        <v>4.2</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6"/>
      <c r="C16" s="2818">
        <v>45097</v>
      </c>
      <c r="D16" s="2817">
        <v>3.55</v>
      </c>
      <c r="E16" s="2817">
        <f>D16</f>
        <v>3.55</v>
      </c>
      <c r="F16" s="2817">
        <f>D16</f>
        <v>3.55</v>
      </c>
      <c r="G16" s="2817">
        <f>D16</f>
        <v>3.55</v>
      </c>
      <c r="H16" s="2817">
        <v>4.2</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6"/>
      <c r="C17" s="2818">
        <v>44795</v>
      </c>
      <c r="D17" s="2817">
        <v>3.65</v>
      </c>
      <c r="E17" s="2817">
        <v>3.65</v>
      </c>
      <c r="F17" s="2817">
        <v>3.65</v>
      </c>
      <c r="G17" s="2817">
        <v>3.65</v>
      </c>
      <c r="H17" s="2817">
        <v>4.3</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6"/>
      <c r="C18" s="2818">
        <v>44701</v>
      </c>
      <c r="D18" s="2817">
        <v>3.7</v>
      </c>
      <c r="E18" s="2817">
        <f>D18</f>
        <v>3.7</v>
      </c>
      <c r="F18" s="2817">
        <f>D18</f>
        <v>3.7</v>
      </c>
      <c r="G18" s="2817">
        <f>D18</f>
        <v>3.7</v>
      </c>
      <c r="H18" s="2817">
        <v>4.45</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5.6">
      <c r="A19" s="1284"/>
      <c r="B19" s="2816"/>
      <c r="C19" s="2818">
        <v>44581</v>
      </c>
      <c r="D19" s="2817">
        <v>3.7</v>
      </c>
      <c r="E19" s="2817">
        <f>D19</f>
        <v>3.7</v>
      </c>
      <c r="F19" s="2817">
        <f>D19</f>
        <v>3.7</v>
      </c>
      <c r="G19" s="2817">
        <f>D19</f>
        <v>3.7</v>
      </c>
      <c r="H19" s="2817">
        <v>4.5999999999999996</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7"/>
      <c r="C20" s="2818">
        <v>44550</v>
      </c>
      <c r="D20" s="2817">
        <v>3.8</v>
      </c>
      <c r="E20" s="2817">
        <f>D20</f>
        <v>3.8</v>
      </c>
      <c r="F20" s="2817">
        <f>D20</f>
        <v>3.8</v>
      </c>
      <c r="G20" s="2817">
        <f>D20</f>
        <v>3.8</v>
      </c>
      <c r="H20" s="2817">
        <v>4.6500000000000004</v>
      </c>
      <c r="I20" s="2817"/>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7"/>
      <c r="C21" s="2818">
        <v>43941</v>
      </c>
      <c r="D21" s="2817">
        <v>3.85</v>
      </c>
      <c r="E21" s="2817">
        <v>3.85</v>
      </c>
      <c r="F21" s="2817">
        <v>3.85</v>
      </c>
      <c r="G21" s="2817">
        <v>3.85</v>
      </c>
      <c r="H21" s="2817">
        <v>4.6500000000000004</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7"/>
      <c r="C22" s="2818">
        <v>43881</v>
      </c>
      <c r="D22" s="2817">
        <v>4.05</v>
      </c>
      <c r="E22" s="2817">
        <v>4.05</v>
      </c>
      <c r="F22" s="2817">
        <v>4.05</v>
      </c>
      <c r="G22" s="2817">
        <v>4.05</v>
      </c>
      <c r="H22" s="2817">
        <v>4.75</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3"/>
      <c r="B23" s="2817"/>
      <c r="C23" s="2818">
        <v>43789</v>
      </c>
      <c r="D23" s="2817">
        <v>4.1500000000000004</v>
      </c>
      <c r="E23" s="2817">
        <v>4.1500000000000004</v>
      </c>
      <c r="F23" s="2817">
        <v>4.1500000000000004</v>
      </c>
      <c r="G23" s="2817">
        <v>4.1500000000000004</v>
      </c>
      <c r="H23" s="2817">
        <v>4.8</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43728</v>
      </c>
      <c r="D24" s="2817">
        <v>4.2</v>
      </c>
      <c r="E24" s="2817">
        <v>4.2</v>
      </c>
      <c r="F24" s="2817">
        <v>4.2</v>
      </c>
      <c r="G24" s="2817">
        <v>4.2</v>
      </c>
      <c r="H24" s="2817">
        <v>4.8499999999999996</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6" t="s">
        <v>2311</v>
      </c>
      <c r="C25" s="2819">
        <v>43697</v>
      </c>
      <c r="D25" s="2820">
        <v>4.25</v>
      </c>
      <c r="E25" s="2820">
        <v>4.25</v>
      </c>
      <c r="F25" s="2820">
        <v>4.25</v>
      </c>
      <c r="G25" s="2820">
        <v>4.25</v>
      </c>
      <c r="H25" s="2820">
        <v>4.8499999999999996</v>
      </c>
      <c r="I25" s="2820"/>
      <c r="J25" s="2820"/>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4"/>
      <c r="C26" s="2825">
        <v>42301</v>
      </c>
      <c r="D26" s="2826">
        <v>4.3499999999999996</v>
      </c>
      <c r="E26" s="2826">
        <v>4.3499999999999996</v>
      </c>
      <c r="F26" s="2826">
        <v>4.75</v>
      </c>
      <c r="G26" s="2826">
        <v>4.75</v>
      </c>
      <c r="H26" s="2826">
        <v>4.9000000000000004</v>
      </c>
      <c r="I26" s="2826"/>
      <c r="J26" s="2826"/>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9" t="str">
        <f>IF(项目基本情况!B9="房地产市场价值","估价结果一览表","结果表-2")</f>
        <v>估价结果一览表</v>
      </c>
      <c r="B1" s="3499"/>
      <c r="C1" s="3499"/>
      <c r="D1" s="3499"/>
      <c r="E1" s="3499"/>
      <c r="F1" s="3499"/>
      <c r="G1" s="3499"/>
      <c r="H1" s="3499"/>
      <c r="I1" s="3499"/>
    </row>
    <row r="2" spans="1:9" ht="30" customHeight="1" thickTop="1">
      <c r="A2" s="3500" t="s">
        <v>928</v>
      </c>
      <c r="B2" s="3500" t="s">
        <v>929</v>
      </c>
      <c r="C2" s="3500" t="s">
        <v>930</v>
      </c>
      <c r="D2" s="3500" t="str">
        <f>结果表!D116</f>
        <v>出让国有建设用地使用权价值</v>
      </c>
      <c r="E2" s="3500"/>
      <c r="F2" s="3500" t="str">
        <f>结果表!F116</f>
        <v>在建建筑物价值</v>
      </c>
      <c r="G2" s="3500"/>
      <c r="H2" s="3500" t="str">
        <f>IF(项目基本情况!B9="房地产市场价值","房地产市场价值","房地产价值")</f>
        <v>房地产市场价值</v>
      </c>
      <c r="I2" s="3500"/>
    </row>
    <row r="3" spans="1:9" ht="15.6">
      <c r="A3" s="3495"/>
      <c r="B3" s="3495"/>
      <c r="C3" s="3495"/>
      <c r="D3" s="854" t="s">
        <v>925</v>
      </c>
      <c r="E3" s="854" t="s">
        <v>931</v>
      </c>
      <c r="F3" s="854" t="s">
        <v>925</v>
      </c>
      <c r="G3" s="854" t="s">
        <v>926</v>
      </c>
      <c r="H3" s="854" t="s">
        <v>925</v>
      </c>
      <c r="I3" s="854" t="s">
        <v>926</v>
      </c>
    </row>
    <row r="4" spans="1:9" ht="15">
      <c r="A4" s="1505" t="str">
        <f>项目基本情况!S2</f>
        <v>北京市房地产</v>
      </c>
      <c r="B4" s="854">
        <f>项目基本情况!C17</f>
        <v>275.64999999999998</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5" t="s">
        <v>927</v>
      </c>
      <c r="B5" s="3495"/>
      <c r="C5" s="3495"/>
      <c r="D5" s="3495" t="e">
        <f ca="1">结果表!D119</f>
        <v>#REF!</v>
      </c>
      <c r="E5" s="3495"/>
      <c r="F5" s="3495" t="e">
        <f ca="1">结果表!F119</f>
        <v>#REF!</v>
      </c>
      <c r="G5" s="3495"/>
      <c r="H5" s="3495" t="e">
        <f ca="1">结果表!H119</f>
        <v>#REF!</v>
      </c>
      <c r="I5" s="3495"/>
    </row>
    <row r="6" spans="1:9" ht="15.6">
      <c r="A6" s="3494" t="str">
        <f>结果表!A120</f>
        <v/>
      </c>
      <c r="B6" s="3494"/>
      <c r="C6" s="3494"/>
      <c r="D6" s="3494">
        <f>结果表!D120</f>
        <v>0</v>
      </c>
      <c r="E6" s="3494"/>
      <c r="F6" s="3494"/>
      <c r="G6" s="3494"/>
      <c r="H6" s="3494"/>
      <c r="I6" s="3494"/>
    </row>
    <row r="7" spans="1:9" ht="15">
      <c r="A7" s="3495" t="s">
        <v>927</v>
      </c>
      <c r="B7" s="3495"/>
      <c r="C7" s="3495"/>
      <c r="D7" s="3496" t="str">
        <f>结果表!D121</f>
        <v>零元整</v>
      </c>
      <c r="E7" s="3497"/>
      <c r="F7" s="3497"/>
      <c r="G7" s="3497"/>
      <c r="H7" s="3497"/>
      <c r="I7" s="3498"/>
    </row>
    <row r="8" spans="1:9" ht="15.6">
      <c r="A8" s="3494" t="str">
        <f>结果表!A122</f>
        <v/>
      </c>
      <c r="B8" s="3494"/>
      <c r="C8" s="3494"/>
      <c r="D8" s="3494" t="e">
        <f ca="1">结果表!D122</f>
        <v>#REF!</v>
      </c>
      <c r="E8" s="3494"/>
      <c r="F8" s="3494"/>
      <c r="G8" s="3494"/>
      <c r="H8" s="3494"/>
      <c r="I8" s="3494"/>
    </row>
    <row r="9" spans="1:9" ht="15">
      <c r="A9" s="3495" t="s">
        <v>927</v>
      </c>
      <c r="B9" s="3495"/>
      <c r="C9" s="3495"/>
      <c r="D9" s="3495" t="e">
        <f ca="1">结果表!D123</f>
        <v>#REF!</v>
      </c>
      <c r="E9" s="3495"/>
      <c r="F9" s="3495"/>
      <c r="G9" s="3495"/>
      <c r="H9" s="3495"/>
      <c r="I9" s="3495"/>
    </row>
    <row r="10" spans="1:9" ht="15.6">
      <c r="A10" s="3494" t="str">
        <f>结果表!A124</f>
        <v/>
      </c>
      <c r="B10" s="3494"/>
      <c r="C10" s="3494"/>
      <c r="D10" s="3494" t="str">
        <f>结果表!D124</f>
        <v>——</v>
      </c>
      <c r="E10" s="3494"/>
      <c r="F10" s="3494"/>
      <c r="G10" s="3494"/>
      <c r="H10" s="3494"/>
      <c r="I10" s="3494"/>
    </row>
    <row r="11" spans="1:9" ht="15">
      <c r="A11" s="3495" t="s">
        <v>927</v>
      </c>
      <c r="B11" s="3495"/>
      <c r="C11" s="3495"/>
      <c r="D11" s="3495" t="e">
        <f>结果表!D125</f>
        <v>#VALUE!</v>
      </c>
      <c r="E11" s="3495"/>
      <c r="F11" s="3495"/>
      <c r="G11" s="3495"/>
      <c r="H11" s="3495"/>
      <c r="I11" s="3495"/>
    </row>
    <row r="12" spans="1:9" ht="15.6">
      <c r="A12" s="3494" t="str">
        <f>结果表!A126</f>
        <v/>
      </c>
      <c r="B12" s="3494"/>
      <c r="C12" s="3494"/>
      <c r="D12" s="3494" t="str">
        <f>结果表!D126</f>
        <v>——</v>
      </c>
      <c r="E12" s="3494"/>
      <c r="F12" s="3494"/>
      <c r="G12" s="3494"/>
      <c r="H12" s="3494"/>
      <c r="I12" s="3494"/>
    </row>
    <row r="13" spans="1:9" ht="15.6" thickBot="1">
      <c r="A13" s="3492" t="s">
        <v>927</v>
      </c>
      <c r="B13" s="3492"/>
      <c r="C13" s="3492"/>
      <c r="D13" s="3492" t="e">
        <f>结果表!D127</f>
        <v>#VALUE!</v>
      </c>
      <c r="E13" s="3492"/>
      <c r="F13" s="3492"/>
      <c r="G13" s="3492"/>
      <c r="H13" s="3492"/>
      <c r="I13" s="3492"/>
    </row>
    <row r="14" spans="1:9" ht="14.4" thickTop="1">
      <c r="A14" s="3493" t="s">
        <v>932</v>
      </c>
      <c r="B14" s="3493"/>
      <c r="C14" s="3493"/>
      <c r="D14" s="3493"/>
      <c r="E14" s="3493"/>
      <c r="F14" s="3493"/>
      <c r="G14" s="3493"/>
      <c r="H14" s="3493"/>
      <c r="I14" s="3493"/>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7" t="s">
        <v>949</v>
      </c>
      <c r="B1" s="3507"/>
      <c r="C1" s="3507"/>
      <c r="D1" s="3507"/>
    </row>
    <row r="2" spans="1:4" ht="17.399999999999999">
      <c r="A2" s="3508" t="s">
        <v>933</v>
      </c>
      <c r="B2" s="3508"/>
      <c r="C2" s="3508"/>
      <c r="D2" s="3508"/>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508" t="s">
        <v>939</v>
      </c>
      <c r="B6" s="3508"/>
      <c r="C6" s="3508"/>
      <c r="D6" s="3508"/>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9" t="s">
        <v>942</v>
      </c>
      <c r="B11" s="3501"/>
      <c r="C11" s="3501"/>
      <c r="D11" s="3501"/>
    </row>
    <row r="12" spans="1:4" ht="15.6">
      <c r="A12" s="35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6"/>
      <c r="C12" s="3506"/>
      <c r="D12" s="3506"/>
    </row>
    <row r="13" spans="1:4" ht="30" customHeight="1">
      <c r="A13" s="3501" t="str">
        <f>IF(项目基本情况!B8="抵押","3.抵押双方在办理抵押登记手续时，应使用本公司出具的正式《房地产评估报告》，特提醒报告使用者注意。","——")</f>
        <v>——</v>
      </c>
      <c r="B13" s="3506"/>
      <c r="C13" s="3506"/>
      <c r="D13" s="3506"/>
    </row>
    <row r="14" spans="1:4" ht="15.75" customHeight="1">
      <c r="A14" s="3501" t="str">
        <f>IF(项目基本情况!B8="抵押","4.本次评估估价师所知悉的法定优先受偿款情况说明如下：","——")</f>
        <v>——</v>
      </c>
      <c r="B14" s="3506"/>
      <c r="C14" s="3506"/>
      <c r="D14" s="3506"/>
    </row>
    <row r="15" spans="1:4" ht="42" customHeight="1">
      <c r="A15" s="3501" t="str">
        <f>IF(项目基本情况!B8="抵押","（1）"&amp;CONCATENATE(项目基本情况!L20,项目基本情况!L21,项目基本情况!L22),"——")</f>
        <v>——</v>
      </c>
      <c r="B15" s="3501"/>
      <c r="C15" s="3501"/>
      <c r="D15" s="3501"/>
    </row>
    <row r="16" spans="1:4" ht="30" customHeight="1">
      <c r="A16" s="3503" t="s">
        <v>943</v>
      </c>
      <c r="B16" s="3503"/>
      <c r="C16" s="3503"/>
      <c r="D16" s="3503"/>
    </row>
    <row r="17" spans="1:4" ht="144" customHeight="1">
      <c r="A17" s="3503" t="s">
        <v>944</v>
      </c>
      <c r="B17" s="3503"/>
      <c r="C17" s="3503"/>
      <c r="D17" s="3503"/>
    </row>
    <row r="18" spans="1:4" ht="15.75" customHeight="1">
      <c r="A18" s="3501" t="str">
        <f>IF(项目基本情况!B8="抵押",结果表!K120,"——")</f>
        <v>——</v>
      </c>
      <c r="B18" s="3501"/>
      <c r="C18" s="3501"/>
      <c r="D18" s="3501"/>
    </row>
    <row r="19" spans="1:4" ht="46.5" customHeight="1">
      <c r="A19" s="35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1"/>
      <c r="C19" s="3501"/>
      <c r="D19" s="3501"/>
    </row>
    <row r="20" spans="1:4" ht="57.75" customHeight="1">
      <c r="A20" s="35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1"/>
      <c r="C20" s="3501"/>
      <c r="D20" s="3501"/>
    </row>
    <row r="21" spans="1:4" ht="57.75" customHeight="1">
      <c r="A21" s="350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4"/>
      <c r="C21" s="3504"/>
      <c r="D21" s="3504"/>
    </row>
    <row r="22" spans="1:4" ht="18.75" customHeight="1">
      <c r="A22" s="3505" t="s">
        <v>945</v>
      </c>
      <c r="B22" s="3505"/>
      <c r="C22" s="3505"/>
      <c r="D22" s="3505"/>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02">
        <v>42551</v>
      </c>
      <c r="D31" s="350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5" t="s">
        <v>956</v>
      </c>
      <c r="B15" s="3510" t="s">
        <v>109</v>
      </c>
      <c r="C15" s="3511"/>
    </row>
    <row r="16" spans="1:7" ht="14.4">
      <c r="A16" s="3516"/>
      <c r="B16" s="3510" t="s">
        <v>42</v>
      </c>
      <c r="C16" s="3511"/>
    </row>
    <row r="17" spans="1:3" ht="14.4">
      <c r="A17" s="3516"/>
      <c r="B17" s="3513" t="s">
        <v>957</v>
      </c>
      <c r="C17" s="1532" t="s">
        <v>956</v>
      </c>
    </row>
    <row r="18" spans="1:3" ht="14.4">
      <c r="A18" s="3516"/>
      <c r="B18" s="3513"/>
      <c r="C18" s="1532" t="s">
        <v>958</v>
      </c>
    </row>
    <row r="19" spans="1:3" ht="14.4">
      <c r="A19" s="3516"/>
      <c r="B19" s="3513"/>
      <c r="C19" s="1532" t="s">
        <v>959</v>
      </c>
    </row>
    <row r="20" spans="1:3" ht="14.4">
      <c r="A20" s="3517"/>
      <c r="B20" s="3512" t="s">
        <v>960</v>
      </c>
      <c r="C20" s="3511"/>
    </row>
    <row r="21" spans="1:3" ht="14.4">
      <c r="A21" s="1533" t="s">
        <v>961</v>
      </c>
      <c r="B21" s="1534"/>
      <c r="C21" s="1535"/>
    </row>
    <row r="22" spans="1:3" ht="14.4">
      <c r="A22" s="3514" t="s">
        <v>962</v>
      </c>
      <c r="B22" s="3512" t="s">
        <v>963</v>
      </c>
      <c r="C22" s="3511"/>
    </row>
    <row r="23" spans="1:3" ht="14.4">
      <c r="A23" s="3514"/>
      <c r="B23" s="3512" t="s">
        <v>964</v>
      </c>
      <c r="C23" s="3511"/>
    </row>
    <row r="24" spans="1:3" ht="14.4">
      <c r="A24" s="3514"/>
      <c r="B24" s="3512" t="s">
        <v>965</v>
      </c>
      <c r="C24" s="3511"/>
    </row>
    <row r="25" spans="1:3" ht="14.4">
      <c r="A25" s="3514"/>
      <c r="B25" s="3513" t="s">
        <v>966</v>
      </c>
      <c r="C25" s="1532" t="s">
        <v>967</v>
      </c>
    </row>
    <row r="26" spans="1:3" ht="14.4">
      <c r="A26" s="3514"/>
      <c r="B26" s="3513"/>
      <c r="C26" s="1532" t="s">
        <v>968</v>
      </c>
    </row>
    <row r="27" spans="1:3" ht="14.4">
      <c r="A27" s="3514"/>
      <c r="B27" s="3513"/>
      <c r="C27" s="1532" t="s">
        <v>969</v>
      </c>
    </row>
    <row r="28" spans="1:3" ht="14.4">
      <c r="A28" s="3514"/>
      <c r="B28" s="3513"/>
      <c r="C28" s="1532" t="s">
        <v>970</v>
      </c>
    </row>
    <row r="29" spans="1:3" ht="14.4">
      <c r="A29" s="3514"/>
      <c r="B29" s="3513"/>
      <c r="C29" s="1532" t="s">
        <v>971</v>
      </c>
    </row>
    <row r="30" spans="1:3" ht="14.4">
      <c r="A30" s="3514"/>
      <c r="B30" s="3513"/>
      <c r="C30" s="1532" t="s">
        <v>972</v>
      </c>
    </row>
    <row r="31" spans="1:3" ht="14.4">
      <c r="A31" s="3514"/>
      <c r="B31" s="3513"/>
      <c r="C31" s="1532" t="s">
        <v>973</v>
      </c>
    </row>
    <row r="32" spans="1:3" ht="14.4">
      <c r="A32" s="3514"/>
      <c r="B32" s="3513"/>
      <c r="C32" s="1532" t="s">
        <v>974</v>
      </c>
    </row>
    <row r="33" spans="1:3" ht="14.4">
      <c r="A33" s="3514"/>
      <c r="B33" s="351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46121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8" t="s">
        <v>2160</v>
      </c>
      <c r="B17" s="3518"/>
      <c r="C17" s="3518"/>
      <c r="D17" s="3518"/>
      <c r="E17" s="3518"/>
      <c r="F17" s="3518"/>
      <c r="G17" s="3518"/>
      <c r="H17" s="3518"/>
    </row>
    <row r="18" spans="1:8" ht="24" customHeight="1">
      <c r="A18" s="3519" t="s">
        <v>2161</v>
      </c>
      <c r="B18" s="3519"/>
      <c r="C18" s="3519"/>
      <c r="D18" s="2343"/>
      <c r="E18" s="3520" t="s">
        <v>2162</v>
      </c>
      <c r="F18" s="3519"/>
      <c r="G18" s="351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2" priority="53">
      <formula>AND($C4-TODAY()&lt;30,TODAY()&lt;$C4)</formula>
    </cfRule>
  </conditionalFormatting>
  <conditionalFormatting sqref="C20:D20">
    <cfRule type="expression" dxfId="231" priority="52">
      <formula>AND($C20-TODAY()&lt;30,TODAY()&lt;$C20)</formula>
    </cfRule>
  </conditionalFormatting>
  <conditionalFormatting sqref="C20:D20 G4 C4:D5 C13:D13">
    <cfRule type="cellIs" dxfId="230" priority="54" stopIfTrue="1" operator="lessThan">
      <formula>$B$2</formula>
    </cfRule>
  </conditionalFormatting>
  <conditionalFormatting sqref="G5 G7 G9">
    <cfRule type="cellIs" dxfId="229" priority="51" stopIfTrue="1" operator="lessThan">
      <formula>$B$2</formula>
    </cfRule>
  </conditionalFormatting>
  <conditionalFormatting sqref="C6:D6 D14 D16">
    <cfRule type="expression" dxfId="228" priority="49">
      <formula>AND($C6-TODAY()&lt;30,TODAY()&lt;$C6)</formula>
    </cfRule>
  </conditionalFormatting>
  <conditionalFormatting sqref="G6 G8 G10 C6:D6 D7:D12 D14 D16">
    <cfRule type="cellIs" dxfId="227" priority="50" stopIfTrue="1" operator="lessThan">
      <formula>$B$2</formula>
    </cfRule>
  </conditionalFormatting>
  <conditionalFormatting sqref="D12">
    <cfRule type="expression" dxfId="226" priority="47">
      <formula>AND($C12-TODAY()&lt;30,TODAY()&lt;$C12)</formula>
    </cfRule>
  </conditionalFormatting>
  <conditionalFormatting sqref="D12">
    <cfRule type="cellIs" dxfId="225" priority="48" stopIfTrue="1" operator="lessThan">
      <formula>$B$2</formula>
    </cfRule>
  </conditionalFormatting>
  <conditionalFormatting sqref="C13:D13">
    <cfRule type="expression" dxfId="224" priority="45">
      <formula>AND($C13-TODAY()&lt;30,TODAY()&lt;$C13)</formula>
    </cfRule>
  </conditionalFormatting>
  <conditionalFormatting sqref="C13:D13">
    <cfRule type="cellIs" dxfId="223" priority="46" stopIfTrue="1" operator="lessThan">
      <formula>$B$2</formula>
    </cfRule>
  </conditionalFormatting>
  <conditionalFormatting sqref="D14">
    <cfRule type="expression" dxfId="222" priority="43">
      <formula>AND($C14-TODAY()&lt;30,TODAY()&lt;$C14)</formula>
    </cfRule>
  </conditionalFormatting>
  <conditionalFormatting sqref="D14">
    <cfRule type="cellIs" dxfId="221" priority="44" stopIfTrue="1" operator="lessThan">
      <formula>$B$2</formula>
    </cfRule>
  </conditionalFormatting>
  <conditionalFormatting sqref="G13">
    <cfRule type="cellIs" dxfId="220" priority="42" stopIfTrue="1" operator="lessThan">
      <formula>$B$2</formula>
    </cfRule>
  </conditionalFormatting>
  <conditionalFormatting sqref="B4:B11 F4:F11 B13 F13:F14">
    <cfRule type="cellIs" dxfId="219" priority="41" stopIfTrue="1" operator="equal">
      <formula>"已过期"</formula>
    </cfRule>
  </conditionalFormatting>
  <conditionalFormatting sqref="C7">
    <cfRule type="cellIs" dxfId="218" priority="38" stopIfTrue="1" operator="lessThan">
      <formula>$B$2</formula>
    </cfRule>
  </conditionalFormatting>
  <conditionalFormatting sqref="C7">
    <cfRule type="expression" dxfId="217" priority="37">
      <formula>AND($C7-TODAY()&lt;30,TODAY()&lt;$C7)</formula>
    </cfRule>
  </conditionalFormatting>
  <conditionalFormatting sqref="C8">
    <cfRule type="expression" dxfId="216" priority="35">
      <formula>AND($C8-TODAY()&lt;30,TODAY()&lt;$C8)</formula>
    </cfRule>
  </conditionalFormatting>
  <conditionalFormatting sqref="C8">
    <cfRule type="cellIs" dxfId="215" priority="36" stopIfTrue="1" operator="lessThan">
      <formula>$B$2</formula>
    </cfRule>
  </conditionalFormatting>
  <conditionalFormatting sqref="C11">
    <cfRule type="expression" dxfId="214" priority="33">
      <formula>AND($C11-TODAY()&lt;30,TODAY()&lt;$C11)</formula>
    </cfRule>
  </conditionalFormatting>
  <conditionalFormatting sqref="C11">
    <cfRule type="cellIs" dxfId="213" priority="34" stopIfTrue="1" operator="lessThan">
      <formula>$B$2</formula>
    </cfRule>
  </conditionalFormatting>
  <conditionalFormatting sqref="A16:C16">
    <cfRule type="cellIs" dxfId="212" priority="32" stopIfTrue="1" operator="equal">
      <formula>"已过期"</formula>
    </cfRule>
  </conditionalFormatting>
  <conditionalFormatting sqref="E16:G16">
    <cfRule type="cellIs" dxfId="211" priority="31" stopIfTrue="1" operator="equal">
      <formula>"已过期"</formula>
    </cfRule>
  </conditionalFormatting>
  <conditionalFormatting sqref="G11">
    <cfRule type="cellIs" dxfId="210" priority="30" stopIfTrue="1" operator="lessThan">
      <formula>$B$2</formula>
    </cfRule>
  </conditionalFormatting>
  <conditionalFormatting sqref="F12">
    <cfRule type="cellIs" dxfId="209" priority="29" stopIfTrue="1" operator="equal">
      <formula>"已过期"</formula>
    </cfRule>
  </conditionalFormatting>
  <conditionalFormatting sqref="G12">
    <cfRule type="cellIs" dxfId="208" priority="28" stopIfTrue="1" operator="lessThan">
      <formula>$B$2</formula>
    </cfRule>
  </conditionalFormatting>
  <conditionalFormatting sqref="C12">
    <cfRule type="cellIs" dxfId="207" priority="27" stopIfTrue="1" operator="lessThan">
      <formula>$B$2</formula>
    </cfRule>
  </conditionalFormatting>
  <conditionalFormatting sqref="C12">
    <cfRule type="expression" dxfId="206" priority="25">
      <formula>AND($C12-TODAY()&lt;30,TODAY()&lt;$C12)</formula>
    </cfRule>
  </conditionalFormatting>
  <conditionalFormatting sqref="C12">
    <cfRule type="cellIs" dxfId="205" priority="26" stopIfTrue="1" operator="lessThan">
      <formula>$B$2</formula>
    </cfRule>
  </conditionalFormatting>
  <conditionalFormatting sqref="B12">
    <cfRule type="cellIs" dxfId="204" priority="24" stopIfTrue="1" operator="equal">
      <formula>"已过期"</formula>
    </cfRule>
  </conditionalFormatting>
  <conditionalFormatting sqref="C9:C10">
    <cfRule type="expression" dxfId="203" priority="22">
      <formula>AND($C9-TODAY()&lt;30,TODAY()&lt;$C9)</formula>
    </cfRule>
  </conditionalFormatting>
  <conditionalFormatting sqref="C9:C10">
    <cfRule type="cellIs" dxfId="202" priority="23" stopIfTrue="1" operator="lessThan">
      <formula>$B$2</formula>
    </cfRule>
  </conditionalFormatting>
  <conditionalFormatting sqref="G21">
    <cfRule type="expression" dxfId="201" priority="20" stopIfTrue="1">
      <formula>AND(#REF!-TODAY()&lt;30,TODAY()&lt;#REF!)</formula>
    </cfRule>
  </conditionalFormatting>
  <conditionalFormatting sqref="G21">
    <cfRule type="cellIs" dxfId="200" priority="21" stopIfTrue="1" operator="lessThan">
      <formula>$B$2</formula>
    </cfRule>
  </conditionalFormatting>
  <conditionalFormatting sqref="C14">
    <cfRule type="expression" dxfId="199" priority="18">
      <formula>AND($C14-TODAY()&lt;30,TODAY()&lt;$C14)</formula>
    </cfRule>
  </conditionalFormatting>
  <conditionalFormatting sqref="C14">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B14">
    <cfRule type="cellIs" dxfId="195" priority="15" stopIfTrue="1" operator="equal">
      <formula>"已过期"</formula>
    </cfRule>
  </conditionalFormatting>
  <conditionalFormatting sqref="G14">
    <cfRule type="cellIs" dxfId="194" priority="14" stopIfTrue="1" operator="lessThan">
      <formula>$B$2</formula>
    </cfRule>
  </conditionalFormatting>
  <conditionalFormatting sqref="D15">
    <cfRule type="expression" dxfId="193" priority="12">
      <formula>AND($C15-TODAY()&lt;30,TODAY()&lt;$C15)</formula>
    </cfRule>
  </conditionalFormatting>
  <conditionalFormatting sqref="D15">
    <cfRule type="cellIs" dxfId="192" priority="13"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F15">
    <cfRule type="cellIs" dxfId="189" priority="9" stopIfTrue="1" operator="equal">
      <formula>"已过期"</formula>
    </cfRule>
  </conditionalFormatting>
  <conditionalFormatting sqref="C15">
    <cfRule type="expression" dxfId="188" priority="7">
      <formula>AND($C15-TODAY()&lt;30,TODAY()&lt;$C15)</formula>
    </cfRule>
  </conditionalFormatting>
  <conditionalFormatting sqref="C15">
    <cfRule type="cellIs" dxfId="187" priority="8" stopIfTrue="1" operator="lessThan">
      <formula>$B$2</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B15">
    <cfRule type="cellIs" dxfId="184" priority="4" stopIfTrue="1" operator="equal">
      <formula>"已过期"</formula>
    </cfRule>
  </conditionalFormatting>
  <conditionalFormatting sqref="G15">
    <cfRule type="cellIs" dxfId="183" priority="3" stopIfTrue="1" operator="lessThan">
      <formula>$B$2</formula>
    </cfRule>
  </conditionalFormatting>
  <conditionalFormatting sqref="G20">
    <cfRule type="expression" dxfId="182" priority="1" stopIfTrue="1">
      <formula>AND(#REF!-TODAY()&lt;30,TODAY()&lt;#REF!)</formula>
    </cfRule>
  </conditionalFormatting>
  <conditionalFormatting sqref="G20">
    <cfRule type="cellIs" dxfId="18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2026-04-09T01:26:50Z</dcterms:modified>
</cp:coreProperties>
</file>