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<sst xmlns="http://schemas.openxmlformats.org/spreadsheetml/2006/main" count="6887" uniqueCount="2410">
  <si>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</si>
  <si>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</si>
  <si>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</si>
  <si>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</si>
  <si>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</si>
  <si>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</si>
  <si>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</si>
  <si>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</si>
  <si>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</si>
  <si>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</si>
  <si>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</si>
  <si>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</si>
  <si>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</si>
  <si>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</si>
  <si>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</si>
  <si>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</si>
  <si>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</si>
  <si>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</si>
  <si>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</si>
  <si>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</si>
  <si>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</si>
  <si>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</si>
  <si>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</si>
  <si>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</si>
  <si>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</si>
  <si>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</si>
  <si>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</si>
  <si>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</si>
  <si>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</si>
  <si>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</si>
  <si>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</si>
  <si>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</si>
  <si>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</si>
  <si>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</si>
  <si>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</si>
  <si>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</si>
  <si>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</si>
  <si>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</si>
  <si>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</si>
  <si>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</si>
  <si>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</si>
  <si>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</si>
  <si>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</si>
  <si>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</si>
  <si>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</si>
  <si>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</si>
  <si>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</si>
  <si>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</si>
  <si>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</si>
  <si>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</si>
  <si>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</si>
  <si>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</si>
  <si>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</si>
  <si>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</si>
  <si>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</si>
  <si>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</si>
  <si>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</si>
  <si>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</si>
  <si>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</si>
  <si>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</si>
  <si>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</si>
  <si>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</si>
  <si>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</si>
  <si>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</si>
  <si>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</si>
  <si>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</si>
  <si>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</si>
  <si>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</si>
  <si>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</si>
  <si>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</si>
  <si>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</si>
  <si>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</si>
  <si>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</si>
  <si>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</si>
  <si>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</si>
  <si>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</si>
  <si>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</si>
  <si>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</si>
  <si>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</si>
  <si>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</si>
  <si>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</si>
  <si>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</si>
  <si>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</si>
  <si>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</si>
  <si>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</si>
  <si>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</si>
  <si>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</si>
  <si>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</si>
  <si>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</si>
  <si>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</si>
  <si>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</si>
  <si>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</si>
  <si>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</si>
  <si>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</si>
  <si>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</si>
  <si>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</si>
  <si>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</si>
  <si>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</si>
  <si>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</si>
  <si>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</si>
  <si>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</si>
  <si>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</si>
  <si>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</si>
  <si>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</si>
  <si>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</si>
  <si>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</si>
  <si>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</si>
  <si>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</si>
  <si>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</si>
  <si>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</si>
  <si>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</si>
  <si>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</si>
  <si>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</si>
  <si>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</si>
  <si>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</si>
  <si>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</si>
  <si>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</si>
  <si>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</si>
  <si>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</si>
  <si>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</si>
  <si>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</si>
  <si>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</si>
  <si>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</si>
  <si>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</si>
  <si>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</si>
  <si>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</si>
  <si>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</si>
  <si>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</si>
  <si>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</si>
  <si>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</si>
  <si>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</si>
  <si>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</si>
  <si>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</si>
  <si>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</si>
  <si>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</si>
  <si>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</si>
  <si>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</si>
  <si>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</si>
  <si>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</si>
  <si>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</si>
  <si>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</si>
  <si>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</si>
  <si>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</si>
  <si>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</si>
  <si>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</si>
  <si>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</si>
  <si>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</si>
  <si>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</si>
  <si>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</si>
  <si>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</si>
  <si>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</si>
  <si>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</si>
  <si>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</si>
  <si>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</si>
  <si>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</si>
  <si>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</si>
  <si>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</si>
  <si>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</si>
  <si>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</si>
  <si>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</si>
  <si>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</si>
  <si>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</si>
  <si>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</si>
  <si>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</si>
  <si>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</si>
  <si>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</si>
  <si>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</si>
  <si>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</si>
  <si>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</si>
  <si>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</si>
  <si>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</si>
  <si>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</si>
  <si>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</si>
  <si>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</si>
  <si>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</si>
  <si>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</si>
  <si>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</si>
  <si>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</si>
  <si>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</si>
  <si>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</si>
  <si>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</si>
  <si>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</si>
  <si>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</si>
  <si>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</si>
  <si>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</si>
  <si>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</si>
  <si>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</si>
  <si>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</si>
  <si>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</si>
  <si>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</si>
  <si>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</si>
  <si>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</si>
  <si>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</si>
  <si>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</si>
  <si>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</si>
  <si>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</si>
  <si>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</si>
  <si>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</si>
  <si>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</si>
  <si>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</si>
  <si>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</si>
  <si>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</si>
  <si>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</si>
  <si>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</si>
  <si>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</si>
  <si>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</si>
  <si>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</si>
  <si>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</si>
  <si>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</si>
  <si>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</si>
  <si>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</si>
  <si>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</si>
  <si>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</si>
  <si>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</si>
  <si>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</si>
  <si>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</si>
  <si>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</si>
  <si>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</si>
  <si>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</si>
  <si>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</si>
  <si>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</si>
  <si>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</si>
  <si>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</si>
  <si>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</si>
  <si>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</si>
  <si>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</si>
  <si>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</si>
  <si>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</si>
  <si>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</si>
  <si>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</si>
  <si>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</si>
  <si>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</si>
  <si>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</si>
  <si>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</si>
  <si>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</si>
  <si>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</si>
  <si>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</si>
  <si>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</si>
  <si>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</si>
  <si>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</si>
  <si>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</si>
  <si>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</si>
  <si>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</si>
  <si>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</si>
  <si>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</si>
  <si>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</si>
  <si>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</si>
  <si>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</si>
  <si>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</si>
  <si>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</si>
  <si>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</si>
  <si>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</si>
  <si>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</si>
  <si>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</si>
  <si>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</si>
  <si>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</si>
  <si>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</si>
  <si>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</si>
  <si>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</si>
  <si>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</si>
  <si>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</si>
  <si>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</si>
  <si>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</si>
  <si>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</si>
  <si>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</si>
  <si>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</si>
  <si>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</si>
  <si>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</si>
  <si>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</si>
  <si>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</si>
  <si>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</si>
  <si>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</si>
  <si>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</si>
  <si>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</si>
  <si>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</si>
  <si>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</si>
  <si>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</si>
  <si>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</si>
  <si>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</si>
  <si>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</si>
  <si>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</si>
  <si>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</si>
  <si>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</si>
  <si>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</si>
  <si>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</si>
  <si>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</si>
  <si>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</si>
  <si>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</si>
  <si>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</si>
  <si>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</si>
  <si>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</si>
  <si>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</si>
  <si>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</si>
  <si>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</si>
  <si>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</si>
  <si>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</si>
  <si>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</si>
  <si>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</si>
  <si>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</si>
  <si>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</si>
  <si>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</si>
  <si>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</si>
  <si>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</si>
  <si>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</si>
  <si>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</si>
  <si>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</si>
  <si>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</si>
  <si>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</si>
  <si>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</si>
  <si>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</si>
  <si>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</si>
  <si>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</si>
  <si>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</si>
  <si>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</si>
  <si>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</si>
  <si>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</si>
  <si>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</si>
  <si>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</si>
  <si>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</si>
  <si>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</si>
  <si>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</si>
  <si>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</si>
  <si>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</si>
  <si>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</si>
  <si>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</si>
  <si>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</si>
  <si>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</si>
  <si>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</si>
  <si>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</si>
  <si>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</si>
  <si>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</si>
  <si>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</si>
  <si>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</si>
  <si>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</si>
  <si>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</si>
  <si>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</si>
  <si>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</si>
  <si>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</si>
  <si>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</si>
  <si>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</si>
  <si>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</si>
  <si>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</si>
  <si>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</si>
  <si>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</si>
  <si>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</si>
  <si>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</si>
  <si>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</si>
  <si>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</si>
  <si>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</si>
  <si>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</si>
  <si>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</si>
  <si>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</si>
  <si>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</si>
  <si>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</si>
  <si>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</si>
  <si>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</si>
  <si>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</si>
  <si>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</si>
  <si>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</si>
  <si>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</si>
  <si>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</si>
  <si>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</si>
  <si>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</si>
  <si>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</si>
  <si>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</si>
  <si>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</si>
  <si>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</si>
  <si>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</si>
  <si>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</si>
  <si>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</si>
  <si>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</si>
  <si>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</si>
  <si>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</si>
  <si>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</si>
  <si>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</si>
  <si>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</si>
  <si>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</si>
  <si>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</si>
  <si>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</si>
  <si>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</si>
  <si>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</si>
  <si>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</si>
  <si>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</si>
  <si>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</si>
  <si>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</si>
  <si>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</si>
  <si>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</si>
  <si>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</si>
  <si>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</si>
  <si>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</si>
  <si>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</si>
  <si>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</si>
  <si>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</si>
  <si>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</si>
  <si>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</si>
  <si>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</si>
  <si>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</si>
  <si>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</si>
  <si>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</si>
  <si>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</si>
  <si>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</si>
  <si>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</si>
  <si>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</si>
  <si>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</si>
  <si>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</si>
  <si>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</si>
  <si>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</si>
  <si>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</si>
  <si>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</si>
  <si>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</si>
  <si>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</si>
  <si>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</si>
  <si>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</si>
  <si>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</si>
  <si>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</si>
  <si>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</si>
  <si>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</si>
  <si>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</si>
  <si>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</si>
  <si>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</si>
  <si>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</si>
  <si>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</si>
  <si>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</si>
  <si>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</si>
  <si>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</si>
  <si>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</si>
  <si>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</si>
  <si>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</si>
  <si>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</si>
  <si>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</si>
  <si>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</si>
  <si>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</si>
  <si>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</si>
  <si>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</si>
  <si>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</si>
  <si>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</si>
  <si>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</si>
  <si>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</si>
  <si>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</si>
  <si>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</si>
  <si>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</si>
  <si>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</si>
  <si>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</si>
  <si>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</si>
  <si>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</si>
  <si>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</si>
  <si>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</si>
  <si>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</si>
  <si>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</si>
  <si>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</si>
  <si>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</si>
  <si>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</si>
  <si>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</si>
  <si>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</si>
  <si>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</si>
  <si>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</si>
  <si>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</si>
  <si>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</si>
  <si>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</si>
  <si>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</si>
  <si>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</si>
  <si>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</si>
  <si>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</si>
  <si>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</si>
  <si>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</si>
  <si>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</si>
  <si>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</si>
  <si>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</si>
  <si>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</si>
  <si>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</si>
  <si>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</si>
  <si>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</si>
  <si>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</si>
  <si>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</si>
  <si>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</si>
  <si>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</si>
  <si>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</si>
  <si>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</si>
  <si>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</si>
  <si>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</si>
  <si>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</si>
  <si>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</si>
  <si>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</si>
  <si>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</si>
  <si>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</si>
  <si>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</si>
  <si>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</si>
  <si>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</si>
  <si>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</si>
  <si>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</si>
  <si>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</si>
  <si>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</si>
  <si>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</si>
  <si>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</si>
  <si>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</si>
  <si>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</si>
  <si>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</si>
  <si>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</si>
  <si>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</si>
  <si>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</si>
  <si>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</si>
  <si>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</si>
  <si>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</si>
  <si>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</si>
  <si>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</si>
  <si>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</si>
  <si>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</si>
  <si>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</si>
  <si>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</si>
  <si>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</si>
  <si>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</si>
  <si>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</si>
  <si>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</si>
  <si>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</si>
  <si>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</si>
  <si>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</si>
  <si>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</si>
  <si>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</si>
  <si>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</si>
  <si>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</si>
  <si>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</si>
  <si>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</si>
  <si>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</si>
  <si>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</si>
  <si>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</si>
  <si>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</si>
  <si>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</si>
  <si>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</si>
  <si>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</si>
  <si>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</si>
  <si>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</si>
  <si>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</si>
  <si>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</si>
  <si>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</si>
  <si>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</si>
  <si>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</si>
  <si>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</si>
  <si>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</si>
  <si>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</si>
  <si>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</si>
  <si>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</si>
  <si>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</si>
  <si>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</si>
  <si>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</si>
  <si>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</si>
  <si>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</si>
  <si>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</si>
  <si>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</si>
  <si>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</si>
  <si>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</si>
  <si>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</si>
  <si>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</si>
  <si>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</si>
  <si>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</si>
  <si>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</si>
  <si>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</si>
  <si>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</si>
  <si>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</si>
  <si>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</si>
  <si>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</si>
  <si>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</si>
  <si>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</si>
  <si>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</si>
  <si>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</si>
  <si>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</si>
  <si>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</si>
  <si>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</si>
  <si>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</si>
  <si>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</si>
  <si>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</si>
  <si>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</si>
  <si>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</si>
  <si>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</si>
  <si>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</si>
  <si>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</si>
  <si>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</si>
  <si>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</si>
  <si>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</si>
  <si>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</si>
  <si>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</si>
  <si>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</si>
  <si>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</si>
  <si>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</si>
  <si>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</si>
  <si>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</si>
  <si>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</si>
  <si>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</si>
  <si>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</si>
  <si>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</si>
  <si>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</si>
  <si>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</si>
  <si>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</si>
  <si>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</si>
  <si>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</si>
  <si>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</si>
  <si>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</si>
  <si>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</si>
  <si>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</si>
  <si>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</si>
  <si>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</si>
  <si>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</si>
  <si>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</si>
  <si>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</si>
  <si>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</si>
  <si>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</si>
  <si>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</si>
  <si>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</si>
  <si>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</si>
  <si>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</si>
  <si>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</si>
  <si>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</si>
  <si>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</si>
  <si>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</si>
  <si>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</si>
  <si>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</si>
  <si>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</si>
  <si>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</si>
  <si>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</si>
  <si>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</si>
  <si>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</si>
  <si>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</si>
  <si>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</si>
  <si>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</si>
  <si>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</si>
  <si>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</si>
  <si>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</si>
  <si>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</si>
  <si>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</si>
  <si>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</si>
  <si>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</si>
  <si>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</si>
  <si>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</si>
  <si>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</si>
  <si>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</si>
  <si>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</si>
  <si>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</si>
  <si>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</si>
  <si>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</si>
  <si>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</si>
  <si>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</si>
  <si>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</si>
  <si>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</si>
  <si>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</si>
  <si>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</si>
  <si>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</si>
  <si>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</si>
  <si>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</si>
  <si>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</si>
  <si>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</si>
  <si>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</si>
  <si>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</si>
  <si>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</si>
  <si>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</si>
  <si>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</si>
  <si>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</si>
  <si>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</si>
  <si>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</si>
  <si>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</si>
  <si>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</si>
  <si>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</si>
  <si>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</si>
  <si>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</si>
  <si>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</si>
  <si>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</si>
  <si>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</si>
  <si>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</si>
  <si>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</si>
  <si>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</si>
  <si>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</si>
  <si>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</si>
  <si>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</si>
  <si>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</si>
  <si>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</si>
  <si>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</si>
  <si>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</si>
  <si>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</si>
  <si>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</si>
  <si>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</si>
  <si>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</si>
  <si>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</si>
  <si>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</si>
  <si>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</si>
  <si>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</si>
  <si>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</si>
  <si>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</si>
  <si>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</si>
  <si>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</si>
  <si>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</si>
  <si>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</si>
  <si>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</si>
  <si>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</si>
  <si>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</si>
  <si>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</si>
  <si>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</si>
  <si>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</si>
  <si>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</si>
  <si>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</si>
  <si>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</si>
  <si>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</si>
  <si>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</si>
  <si>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</si>
  <si>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</si>
  <si>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</si>
  <si>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</si>
  <si>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</si>
  <si>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</si>
  <si>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</si>
  <si>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</si>
  <si>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</si>
  <si>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</si>
  <si>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</si>
  <si>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</si>
  <si>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</si>
  <si>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</si>
  <si>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</si>
  <si>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</si>
  <si>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</si>
  <si>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</si>
  <si>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</si>
  <si>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</si>
  <si>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</si>
  <si>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</si>
  <si>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</si>
  <si>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</si>
  <si>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</si>
  <si>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</si>
  <si>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</si>
  <si>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</si>
  <si>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</si>
  <si>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</si>
  <si>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</si>
  <si>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</si>
  <si>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</si>
  <si>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</si>
  <si>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</si>
  <si>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</si>
  <si>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</si>
  <si>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</si>
  <si>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</si>
  <si>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</si>
  <si>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</si>
  <si>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</si>
  <si>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</si>
  <si>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</si>
  <si>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</si>
  <si>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</si>
  <si>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</si>
  <si>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</si>
  <si>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</si>
  <si>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</si>
  <si>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</si>
  <si>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</si>
  <si>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</si>
  <si>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</si>
  <si>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</si>
  <si>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</si>
  <si>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</si>
  <si>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</si>
  <si>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</si>
  <si>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</si>
  <si>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</si>
  <si>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</si>
  <si>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</si>
  <si>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</si>
  <si>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</si>
  <si>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</si>
  <si>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</si>
  <si>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</si>
  <si>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</si>
  <si>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</si>
  <si>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</si>
  <si>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</si>
  <si>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</si>
  <si>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</si>
  <si>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</si>
  <si>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</si>
  <si>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</si>
  <si>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</si>
  <si>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</si>
  <si>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</si>
  <si>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</si>
  <si>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</si>
  <si>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</si>
  <si>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</si>
  <si>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</si>
  <si>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</si>
  <si>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</si>
  <si>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</si>
  <si>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</si>
  <si>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</si>
  <si>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</si>
  <si>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</si>
  <si>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</si>
  <si>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</si>
  <si>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</si>
  <si>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</si>
  <si>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</si>
  <si>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</si>
  <si>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</si>
  <si>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</si>
  <si>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</si>
  <si>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</si>
  <si>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</si>
  <si>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</si>
  <si>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</si>
  <si>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</si>
  <si>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</si>
  <si>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</si>
  <si>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</si>
  <si>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</si>
  <si>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</si>
  <si>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</si>
  <si>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</si>
  <si>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</si>
  <si>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</si>
  <si>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</si>
  <si>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</si>
  <si>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</si>
  <si>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</si>
  <si>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</si>
  <si>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</si>
  <si>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</si>
  <si>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</si>
  <si>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</si>
  <si>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</si>
  <si>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</si>
  <si>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</si>
  <si>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</si>
  <si>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</si>
  <si>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</si>
  <si>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</si>
  <si>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</si>
  <si>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</si>
  <si>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</si>
  <si>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</si>
  <si>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</si>
  <si>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</si>
  <si>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</si>
  <si>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</si>
  <si>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</si>
  <si>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</si>
  <si>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</si>
  <si>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</si>
  <si>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</si>
  <si>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</si>
  <si>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</si>
  <si>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</si>
  <si>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</si>
  <si>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</si>
  <si>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</si>
  <si>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</si>
  <si>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</si>
  <si>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</si>
  <si>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</si>
  <si>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</si>
  <si>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</si>
  <si>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</si>
  <si>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</si>
  <si>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</si>
  <si>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</si>
  <si>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</si>
  <si>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</si>
  <si>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</si>
  <si>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</si>
  <si>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</si>
  <si>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</si>
  <si>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</si>
  <si>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</si>
  <si>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</si>
  <si>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</si>
  <si>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</si>
  <si>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</si>
  <si>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</si>
  <si>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</si>
  <si>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</si>
  <si>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</si>
  <si>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</si>
  <si>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</si>
  <si>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</si>
  <si>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</si>
  <si>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</si>
  <si>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</si>
  <si>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</si>
  <si>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</si>
  <si>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</si>
  <si>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</si>
  <si>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</si>
  <si>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</si>
  <si>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</si>
  <si>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</si>
  <si>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</si>
  <si>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</si>
  <si>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</si>
  <si>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</si>
  <si>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</si>
  <si>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</si>
  <si>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</si>
  <si>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</si>
  <si>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</si>
  <si>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</si>
  <si>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</si>
  <si>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</si>
  <si>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</si>
  <si>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</si>
  <si>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</si>
  <si>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</si>
  <si>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</si>
  <si>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t>
  </si>
  <si>
    <t>楼层</t>
  </si>
  <si>
    <t>1/6</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</si>
  <si>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</si>
  <si>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</si>
  <si>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</si>
  <si>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</si>
  <si>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</si>
  <si>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</si>
  <si>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</si>
  <si>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</si>
  <si>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</si>
  <si>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</si>
  <si>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</si>
  <si>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</si>
  <si>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</si>
  <si>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</si>
  <si>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</si>
  <si>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</si>
  <si>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</si>
  <si>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</si>
  <si>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</si>
  <si>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</si>
  <si>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</si>
  <si>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</si>
  <si>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</si>
  <si>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</si>
  <si>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</si>
  <si>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</si>
  <si>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</si>
  <si>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</si>
  <si>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</si>
  <si>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</si>
  <si>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</si>
  <si>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</si>
  <si>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</si>
  <si>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</si>
  <si>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</si>
  <si>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</si>
  <si>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</si>
  <si>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</si>
  <si>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</si>
  <si>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</si>
  <si>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</si>
  <si>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</si>
  <si>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</si>
  <si>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</si>
  <si>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</si>
  <si>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</si>
  <si>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</si>
  <si>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100</t>
  </si>
  <si>
    <t>101</t>
  </si>
  <si>
    <t>98</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</si>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</sst>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176" formatCode="0.0000_ "/>
    <numFmt numFmtId="42" formatCode="_ &quot;￥&quot;* #,##0_ ;_ &quot;￥&quot;* \-#,##0_ ;_ &quot;￥&quot;* &quot;-&quot;_ ;_ @_ "/>
    <numFmt numFmtId="177" formatCode="[DBNum2][$-804]General"/>
    <numFmt numFmtId="44" formatCode="_ &quot;￥&quot;* #,##0.00_ ;_ &quot;￥&quot;* \-#,##0.00_ ;_ &quot;￥&quot;* &quot;-&quot;??_ ;_ @_ "/>
    <numFmt numFmtId="41" formatCode="_ * #,##0_ ;_ * \-#,##0_ ;_ * &quot;-&quot;_ ;_ @_ "/>
    <numFmt numFmtId="178" formatCode="yyyy/m/d;@"/>
    <numFmt numFmtId="179" formatCode="0_ "/>
    <numFmt numFmtId="180" formatCode="0.00_ "/>
    <numFmt numFmtId="181" formatCode="0_);[Red]\(0\)"/>
    <numFmt numFmtId="182" formatCode="0.0%"/>
    <numFmt numFmtId="183" formatCode="[$-F800]dddd\,\ mmmm\ dd\,\ yyyy"/>
    <numFmt numFmtId="184" formatCode="0.0_ "/>
    <numFmt numFmtId="185" formatCode="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0%"/>
    <numFmt numFmtId="192" formatCode="0.000%"/>
    <numFmt numFmtId="193" formatCode="0_ ;[Red]\-0\ "/>
    <numFmt numFmtId="194" formatCode="0;_쐀"/>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4"/>
      <name val="楷体_GB2312"/>
      <charset val="134"/>
    </font>
    <font>
      <sz val="11"/>
      <name val="楷体_GB2312"/>
      <charset val="134"/>
    </font>
    <font>
      <sz val="11"/>
      <name val="宋体"/>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3" borderId="0" applyNumberFormat="0" applyBorder="0" applyAlignment="0" applyProtection="0">
      <alignment vertical="center"/>
    </xf>
    <xf numFmtId="0" fontId="149" fillId="24"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1" fillId="25"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35" borderId="180" applyNumberFormat="0" applyFont="0" applyAlignment="0" applyProtection="0">
      <alignment vertical="center"/>
    </xf>
    <xf numFmtId="0" fontId="147" fillId="22"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3" fillId="0" borderId="182" applyNumberFormat="0" applyFill="0" applyAlignment="0" applyProtection="0">
      <alignment vertical="center"/>
    </xf>
    <xf numFmtId="0" fontId="0" fillId="0" borderId="0"/>
    <xf numFmtId="0" fontId="164" fillId="0" borderId="182" applyNumberFormat="0" applyFill="0" applyAlignment="0" applyProtection="0">
      <alignment vertical="center"/>
    </xf>
    <xf numFmtId="0" fontId="147" fillId="39" borderId="0" applyNumberFormat="0" applyBorder="0" applyAlignment="0" applyProtection="0">
      <alignment vertical="center"/>
    </xf>
    <xf numFmtId="0" fontId="158" fillId="0" borderId="183" applyNumberFormat="0" applyFill="0" applyAlignment="0" applyProtection="0">
      <alignment vertical="center"/>
    </xf>
    <xf numFmtId="0" fontId="147" fillId="16" borderId="0" applyNumberFormat="0" applyBorder="0" applyAlignment="0" applyProtection="0">
      <alignment vertical="center"/>
    </xf>
    <xf numFmtId="0" fontId="155" fillId="27" borderId="178" applyNumberFormat="0" applyAlignment="0" applyProtection="0">
      <alignment vertical="center"/>
    </xf>
    <xf numFmtId="0" fontId="153" fillId="27" borderId="176" applyNumberFormat="0" applyAlignment="0" applyProtection="0">
      <alignment vertical="center"/>
    </xf>
    <xf numFmtId="0" fontId="157" fillId="34" borderId="179" applyNumberFormat="0" applyAlignment="0" applyProtection="0">
      <alignment vertical="center"/>
    </xf>
    <xf numFmtId="0" fontId="148" fillId="42" borderId="0" applyNumberFormat="0" applyBorder="0" applyAlignment="0" applyProtection="0">
      <alignment vertical="center"/>
    </xf>
    <xf numFmtId="0" fontId="147" fillId="21" borderId="0" applyNumberFormat="0" applyBorder="0" applyAlignment="0" applyProtection="0">
      <alignment vertical="center"/>
    </xf>
    <xf numFmtId="0" fontId="150" fillId="0" borderId="177" applyNumberFormat="0" applyFill="0" applyAlignment="0" applyProtection="0">
      <alignment vertical="center"/>
    </xf>
    <xf numFmtId="0" fontId="160" fillId="0" borderId="181" applyNumberFormat="0" applyFill="0" applyAlignment="0" applyProtection="0">
      <alignment vertical="center"/>
    </xf>
    <xf numFmtId="0" fontId="165" fillId="38" borderId="0" applyNumberFormat="0" applyBorder="0" applyAlignment="0" applyProtection="0">
      <alignment vertical="center"/>
    </xf>
    <xf numFmtId="0" fontId="0" fillId="0" borderId="0">
      <alignment vertical="center"/>
    </xf>
    <xf numFmtId="0" fontId="152" fillId="26" borderId="0" applyNumberFormat="0" applyBorder="0" applyAlignment="0" applyProtection="0">
      <alignment vertical="center"/>
    </xf>
    <xf numFmtId="0" fontId="117" fillId="0" borderId="0">
      <alignment vertical="center"/>
    </xf>
    <xf numFmtId="0" fontId="148" fillId="31" borderId="0" applyNumberFormat="0" applyBorder="0" applyAlignment="0" applyProtection="0">
      <alignment vertical="center"/>
    </xf>
    <xf numFmtId="0" fontId="147" fillId="33" borderId="0" applyNumberFormat="0" applyBorder="0" applyAlignment="0" applyProtection="0">
      <alignment vertical="center"/>
    </xf>
    <xf numFmtId="0" fontId="148" fillId="28" borderId="0" applyNumberFormat="0" applyBorder="0" applyAlignment="0" applyProtection="0">
      <alignment vertical="center"/>
    </xf>
    <xf numFmtId="0" fontId="148" fillId="43" borderId="0" applyNumberFormat="0" applyBorder="0" applyAlignment="0" applyProtection="0">
      <alignment vertical="center"/>
    </xf>
    <xf numFmtId="0" fontId="148" fillId="41" borderId="0" applyNumberFormat="0" applyBorder="0" applyAlignment="0" applyProtection="0">
      <alignment vertical="center"/>
    </xf>
    <xf numFmtId="0" fontId="148" fillId="37" borderId="0" applyNumberFormat="0" applyBorder="0" applyAlignment="0" applyProtection="0">
      <alignment vertical="center"/>
    </xf>
    <xf numFmtId="0" fontId="147" fillId="32" borderId="0" applyNumberFormat="0" applyBorder="0" applyAlignment="0" applyProtection="0">
      <alignment vertical="center"/>
    </xf>
    <xf numFmtId="0" fontId="0" fillId="0" borderId="0">
      <alignment vertical="center"/>
    </xf>
    <xf numFmtId="0" fontId="147" fillId="40" borderId="0" applyNumberFormat="0" applyBorder="0" applyAlignment="0" applyProtection="0">
      <alignment vertical="center"/>
    </xf>
    <xf numFmtId="0" fontId="148" fillId="44" borderId="0" applyNumberFormat="0" applyBorder="0" applyAlignment="0" applyProtection="0">
      <alignment vertical="center"/>
    </xf>
    <xf numFmtId="0" fontId="148" fillId="30" borderId="0" applyNumberFormat="0" applyBorder="0" applyAlignment="0" applyProtection="0">
      <alignment vertical="center"/>
    </xf>
    <xf numFmtId="0" fontId="147" fillId="46"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15" borderId="0" applyNumberFormat="0" applyBorder="0" applyAlignment="0" applyProtection="0">
      <alignment vertical="center"/>
    </xf>
    <xf numFmtId="0" fontId="147" fillId="36" borderId="0" applyNumberFormat="0" applyBorder="0" applyAlignment="0" applyProtection="0">
      <alignment vertical="center"/>
    </xf>
    <xf numFmtId="0" fontId="148" fillId="45" borderId="0" applyNumberFormat="0" applyBorder="0" applyAlignment="0" applyProtection="0">
      <alignment vertical="center"/>
    </xf>
    <xf numFmtId="0" fontId="147" fillId="29"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9" fontId="80" fillId="2" borderId="7" xfId="57" applyNumberFormat="1" applyFont="1" applyFill="1" applyBorder="1" applyAlignment="1" applyProtection="1">
      <alignment horizontal="center" vertical="center"/>
    </xf>
    <xf numFmtId="180"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0"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3"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6"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3"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2" borderId="93"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shrinkToFit="1"/>
    </xf>
    <xf numFmtId="177" fontId="49" fillId="2" borderId="93" xfId="0" applyNumberFormat="1" applyFont="1" applyFill="1" applyBorder="1" applyAlignment="1" applyProtection="1">
      <alignment horizontal="left" vertical="center" wrapText="1"/>
    </xf>
    <xf numFmtId="177" fontId="49" fillId="16" borderId="0" xfId="0" applyNumberFormat="1" applyFont="1" applyFill="1" applyBorder="1" applyAlignment="1" applyProtection="1">
      <alignment horizontal="left" vertical="center" wrapText="1"/>
    </xf>
    <xf numFmtId="177"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7" fontId="49" fillId="2" borderId="88"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83"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83" fontId="124" fillId="0" borderId="7" xfId="60" applyNumberFormat="1" applyFont="1" applyFill="1" applyBorder="1" applyAlignment="1">
      <alignment horizontal="left" vertical="center"/>
    </xf>
    <xf numFmtId="183"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7"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83"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7"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7"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7"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7" fontId="91" fillId="0" borderId="0" xfId="0" applyNumberFormat="1" applyFont="1" applyAlignment="1">
      <alignment horizontal="left" vertical="center"/>
    </xf>
    <xf numFmtId="187"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9"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419100</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276225</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8" customWidth="1"/>
    <col min="2" max="2" width="94.8833333333333" style="3429" customWidth="1"/>
    <col min="3" max="16384" width="9" style="3430"/>
  </cols>
  <sheetData>
    <row r="1" s="3426" customFormat="1" ht="16.5" spans="1:2">
      <c r="A1" s="3431" t="s">
        <v>0</v>
      </c>
      <c r="B1" s="3432" t="s">
        <v>1</v>
      </c>
    </row>
    <row r="2" s="3427" customFormat="1" ht="15.75" spans="1:2">
      <c r="A2" s="3433" t="s">
        <v>2</v>
      </c>
      <c r="B2" s="3434" t="str">
        <f>'预评函-封皮'!B9</f>
        <v>北京市预评估</v>
      </c>
    </row>
    <row r="3" s="3427" customFormat="1" spans="1:2">
      <c r="A3" s="3435" t="s">
        <v>3</v>
      </c>
      <c r="B3" s="3436" t="str">
        <f>'预评函-封皮'!B12</f>
        <v>xx</v>
      </c>
    </row>
    <row r="4" s="3427" customFormat="1" spans="1:2">
      <c r="A4" s="3435" t="s">
        <v>4</v>
      </c>
      <c r="B4" s="3436" t="str">
        <f ca="1">'预评函-封皮'!B18</f>
        <v>陈颖（注册号:1120060040）、（注册号:0)</v>
      </c>
    </row>
    <row r="5" s="3426" customFormat="1" ht="15.75" spans="1:2">
      <c r="A5" s="3437" t="s">
        <v>5</v>
      </c>
      <c r="B5" s="3438" t="str">
        <f>'预评函-封皮'!B21</f>
        <v>康正预评字号</v>
      </c>
    </row>
    <row r="6" s="3427" customFormat="1" ht="15.75" spans="1:2">
      <c r="A6" s="3435" t="s">
        <v>6</v>
      </c>
      <c r="B6" s="3434" t="str">
        <f>'预评函-1'!A4</f>
        <v>受您的委托，我公司对北京市房地产进行了预评估。</v>
      </c>
    </row>
    <row r="7" spans="1:2">
      <c r="A7" s="3435" t="s">
        <v>7</v>
      </c>
      <c r="B7" s="3439" t="str">
        <f>'预评函-1'!A6</f>
        <v>估价对象为北京市房地产，为XX所有。根据《房屋所有权证》[]，估价对象建筑面积为134.71平方米。根据《》[]，估价对象（分摊）出让国有建设用地使用权面积为平方米。估价对象用途为。</v>
      </c>
    </row>
    <row r="8" spans="1:2">
      <c r="A8" s="3435" t="s">
        <v>8</v>
      </c>
      <c r="B8" s="3439" t="str">
        <f>'预评函-1'!A8</f>
        <v>为估价委托人了解估价对象房地产市场价值提供参考依据。</v>
      </c>
    </row>
    <row r="9" spans="1:2">
      <c r="A9" s="3435" t="s">
        <v>9</v>
      </c>
      <c r="B9" s="3439" t="str">
        <f>'预评函-1'!A10</f>
        <v>2021年10月20日</v>
      </c>
    </row>
    <row r="10" spans="1:2">
      <c r="A10" s="3435" t="s">
        <v>10</v>
      </c>
      <c r="B10" s="3439" t="str">
        <f>'预评函-1'!A13</f>
        <v>本次估价的“房地产价值”是指在正常市场情况下，在价值时点2021年10月20日，估价对象规划用途为，假定未设立法定优先受偿款下的房地产市场价值。</v>
      </c>
    </row>
    <row r="11" spans="1:2">
      <c r="A11" s="3435" t="s">
        <v>11</v>
      </c>
      <c r="B11" s="3439"/>
    </row>
    <row r="12" spans="1:2">
      <c r="A12" s="3435" t="s">
        <v>12</v>
      </c>
      <c r="B12" s="34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5" t="s">
        <v>13</v>
      </c>
      <c r="B13" s="34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5" t="s">
        <v>14</v>
      </c>
      <c r="B14" s="3439" t="str">
        <f>'预评函-1'!A16</f>
        <v>本次估价的“抵押净值”是指估价对象“房地产抵押价值”减去估价对象在价值时点以“房地产销售收入”为基数计算的预计抵押权实现进行处置时需缴纳的各项费用、税金等相关费用后的价值。</v>
      </c>
    </row>
    <row r="15" s="3426" customFormat="1" ht="15.75" spans="1:2">
      <c r="A15" s="3437" t="s">
        <v>15</v>
      </c>
      <c r="B15" s="3440" t="str">
        <f>'预评函-1'!A18</f>
        <v>本次评估采用的主估价方法为收益法和比较法。</v>
      </c>
    </row>
    <row r="16" ht="15.75" spans="1:2">
      <c r="A16" s="3433" t="s">
        <v>16</v>
      </c>
      <c r="B16" s="343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5" t="s">
        <v>17</v>
      </c>
      <c r="B17" s="3439" t="str">
        <f>'预评函-2（1）'!B6</f>
        <v>北京市房地产</v>
      </c>
    </row>
    <row r="18" spans="1:2">
      <c r="A18" s="3435" t="s">
        <v>18</v>
      </c>
      <c r="B18" s="3439">
        <f>'预评函-2（1）'!C6</f>
        <v>134.71</v>
      </c>
    </row>
    <row r="19" spans="1:2">
      <c r="A19" s="3435" t="s">
        <v>19</v>
      </c>
      <c r="B19" s="3439">
        <f ca="1">'预评函-2（1）'!D7</f>
        <v>4879196</v>
      </c>
    </row>
    <row r="20" spans="1:2">
      <c r="A20" s="3435" t="s">
        <v>20</v>
      </c>
      <c r="B20" s="3439" t="str">
        <f>'预评函-2（1）'!C7</f>
        <v>总价（元）</v>
      </c>
    </row>
    <row r="21" spans="1:2">
      <c r="A21" s="3435" t="s">
        <v>21</v>
      </c>
      <c r="B21" s="3439">
        <f ca="1">'预评函-2（1）'!D9</f>
        <v>36220</v>
      </c>
    </row>
    <row r="22" spans="1:2">
      <c r="A22" s="3435" t="s">
        <v>22</v>
      </c>
      <c r="B22" s="3439" t="str">
        <f ca="1">'预评函-2（1）'!D8</f>
        <v>肆佰捌拾柒万玖仟壹佰玖拾陆元整</v>
      </c>
    </row>
    <row r="23" spans="1:2">
      <c r="A23" s="3435" t="s">
        <v>23</v>
      </c>
      <c r="B23" s="3439">
        <f>'预评函-2（1）'!D10</f>
        <v>0</v>
      </c>
    </row>
    <row r="24" spans="1:2">
      <c r="A24" s="3435" t="s">
        <v>24</v>
      </c>
      <c r="B24" s="3439" t="str">
        <f>'预评函-2（1）'!C10</f>
        <v>总额（元）</v>
      </c>
    </row>
    <row r="25" spans="1:2">
      <c r="A25" s="3435" t="s">
        <v>25</v>
      </c>
      <c r="B25" s="3439" t="str">
        <f>'预评函-2（1）'!D11</f>
        <v>零元整</v>
      </c>
    </row>
    <row r="26" spans="1:2">
      <c r="A26" s="3435" t="s">
        <v>26</v>
      </c>
      <c r="B26" s="3439">
        <f>'预评函-2（1）'!D12</f>
        <v>0</v>
      </c>
    </row>
    <row r="27" spans="1:2">
      <c r="A27" s="3435" t="s">
        <v>27</v>
      </c>
      <c r="B27" s="3439">
        <f>'预评函-2（1）'!D13</f>
        <v>0</v>
      </c>
    </row>
    <row r="28" spans="1:2">
      <c r="A28" s="3435" t="s">
        <v>28</v>
      </c>
      <c r="B28" s="3439">
        <f>'预评函-2（1）'!D14</f>
        <v>0</v>
      </c>
    </row>
    <row r="29" spans="1:2">
      <c r="A29" s="3435" t="s">
        <v>29</v>
      </c>
      <c r="B29" s="3439">
        <f ca="1">'预评函-2（1）'!D15</f>
        <v>4879196</v>
      </c>
    </row>
    <row r="30" spans="1:2">
      <c r="A30" s="3435" t="s">
        <v>30</v>
      </c>
      <c r="B30" s="3439" t="str">
        <f ca="1">'预评函-2（1）'!D16</f>
        <v>肆佰捌拾柒万玖仟壹佰玖拾陆元整</v>
      </c>
    </row>
    <row r="31" spans="1:2">
      <c r="A31" s="3435" t="s">
        <v>31</v>
      </c>
      <c r="B31" s="3439" t="str">
        <f ca="1">'预评函-2（1）'!D18</f>
        <v>——</v>
      </c>
    </row>
    <row r="32" spans="1:2">
      <c r="A32" s="3435" t="s">
        <v>32</v>
      </c>
      <c r="B32" s="3439" t="e">
        <f ca="1">'预评函-2（1）'!D19</f>
        <v>#VALUE!</v>
      </c>
    </row>
    <row r="33" spans="1:2">
      <c r="A33" s="3435" t="s">
        <v>33</v>
      </c>
      <c r="B33" s="3439" t="str">
        <f ca="1">'预评函-2（1）'!D21</f>
        <v>——</v>
      </c>
    </row>
    <row r="34" spans="1:2">
      <c r="A34" s="3435" t="s">
        <v>34</v>
      </c>
      <c r="B34" s="3439" t="str">
        <f ca="1">'预评函-2（1）'!D23</f>
        <v>——</v>
      </c>
    </row>
    <row r="35" spans="1:2">
      <c r="A35" s="3435" t="s">
        <v>35</v>
      </c>
      <c r="B35" s="3439" t="e">
        <f ca="1">'预评函-2（1）'!D22</f>
        <v>#VALUE!</v>
      </c>
    </row>
    <row r="36" spans="1:2">
      <c r="A36" s="3435" t="s">
        <v>36</v>
      </c>
      <c r="B36" s="3439">
        <f>'预评函-2（2）'!C4</f>
        <v>0</v>
      </c>
    </row>
    <row r="37" spans="1:2">
      <c r="A37" s="3435" t="s">
        <v>37</v>
      </c>
      <c r="B37" s="3439">
        <f ca="1">'预评函-2（2）'!D4</f>
        <v>3381221</v>
      </c>
    </row>
    <row r="38" spans="1:2">
      <c r="A38" s="3435" t="s">
        <v>38</v>
      </c>
      <c r="B38" s="3439">
        <f ca="1">'预评函-2（2）'!E4</f>
        <v>25100</v>
      </c>
    </row>
    <row r="39" spans="1:2">
      <c r="A39" s="3435" t="s">
        <v>39</v>
      </c>
      <c r="B39" s="3439" t="str">
        <f ca="1">'预评函-2（2）'!D5</f>
        <v>叁佰叁拾捌万壹仟贰佰贰拾壹元整</v>
      </c>
    </row>
    <row r="40" spans="1:2">
      <c r="A40" s="3435" t="s">
        <v>40</v>
      </c>
      <c r="B40" s="3439">
        <f ca="1">'预评函-2（2）'!F4</f>
        <v>1497975</v>
      </c>
    </row>
    <row r="41" spans="1:2">
      <c r="A41" s="3435" t="s">
        <v>41</v>
      </c>
      <c r="B41" s="3439">
        <f ca="1">'预评函-2（2）'!G4</f>
        <v>11120</v>
      </c>
    </row>
    <row r="42" s="3426" customFormat="1" ht="15.75" spans="1:2">
      <c r="A42" s="3437" t="s">
        <v>42</v>
      </c>
      <c r="B42" s="3441" t="str">
        <f ca="1">'预评函-2（2）'!F5</f>
        <v>壹佰肆拾玖万柒仟玖佰柒拾伍元整</v>
      </c>
    </row>
    <row r="43" ht="15.75" spans="1:2">
      <c r="A43" s="3433" t="s">
        <v>43</v>
      </c>
      <c r="B43" s="3442" t="str">
        <f>'预评函-3'!A13</f>
        <v>2.本次评估设定估价对象房地产权属无争议，未被查封或者以其他形式限制其房地产权利，未设定抵押权等他项权利，不涉及第三方权利义务。</v>
      </c>
    </row>
    <row r="44" spans="1:2">
      <c r="A44" s="3435" t="s">
        <v>44</v>
      </c>
      <c r="B44" s="3439" t="str">
        <f>'预评函-3'!A14</f>
        <v>——</v>
      </c>
    </row>
    <row r="45" spans="1:2">
      <c r="A45" s="3435" t="s">
        <v>45</v>
      </c>
      <c r="B45" s="3439" t="str">
        <f>'预评函-3'!A15</f>
        <v>——</v>
      </c>
    </row>
    <row r="46" spans="1:2">
      <c r="A46" s="3435" t="s">
        <v>46</v>
      </c>
      <c r="B46" s="3439" t="str">
        <f>'预评函-3'!A16</f>
        <v>——</v>
      </c>
    </row>
    <row r="47" spans="1:2">
      <c r="A47" s="3435" t="s">
        <v>47</v>
      </c>
      <c r="B47" s="34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5" t="s">
        <v>48</v>
      </c>
      <c r="B48" s="3439" t="str">
        <f>'预评函-3'!A18</f>
        <v>——</v>
      </c>
    </row>
    <row r="49" spans="1:2">
      <c r="A49" s="3435" t="s">
        <v>49</v>
      </c>
      <c r="B49" s="343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5" t="s">
        <v>50</v>
      </c>
      <c r="B50" s="3439" t="str">
        <f>'预评函-3'!A20</f>
        <v>6.其他需特殊说明事项：（没有时删除此项；注意修改序号）</v>
      </c>
    </row>
    <row r="51" s="3426" customFormat="1" spans="1:2">
      <c r="A51" s="3437" t="s">
        <v>51</v>
      </c>
      <c r="B51" s="3443">
        <f>'预评函-3'!D29</f>
        <v>42551</v>
      </c>
    </row>
    <row r="52" ht="15.75" spans="1:2">
      <c r="A52" s="3433" t="s">
        <v>52</v>
      </c>
      <c r="B52" s="3444" t="str">
        <f>'预评函-3'!A4</f>
        <v>陈颖</v>
      </c>
    </row>
    <row r="53" spans="1:2">
      <c r="A53" s="3435" t="s">
        <v>53</v>
      </c>
      <c r="B53" s="3439">
        <f ca="1">'预评函-3'!B4</f>
        <v>1120060040</v>
      </c>
    </row>
    <row r="54" spans="1:2">
      <c r="A54" s="3435" t="s">
        <v>54</v>
      </c>
      <c r="B54" s="3445">
        <f>'预评函-3'!A5</f>
        <v>0</v>
      </c>
    </row>
    <row r="55" s="3426" customFormat="1" ht="15.75" spans="1:2">
      <c r="A55" s="3437" t="s">
        <v>55</v>
      </c>
      <c r="B55" s="3441">
        <f ca="1">'预评函-3'!B5</f>
        <v>0</v>
      </c>
    </row>
    <row r="56" ht="15.75" spans="1:2">
      <c r="A56" s="3446" t="s">
        <v>56</v>
      </c>
      <c r="B56" s="3439" t="str">
        <f>'预评函-2（1）'!B15</f>
        <v>3.房地产抵押价值</v>
      </c>
    </row>
    <row r="57" spans="1:2">
      <c r="A57" s="3446" t="s">
        <v>57</v>
      </c>
      <c r="B57" s="3439" t="str">
        <f>'预评函-2（1）'!B18</f>
        <v>——</v>
      </c>
    </row>
    <row r="58" s="3426" customFormat="1" ht="15.75" spans="1:2">
      <c r="A58" s="3447" t="s">
        <v>58</v>
      </c>
      <c r="B58" s="3440" t="str">
        <f>'预评函-2（1）'!B21</f>
        <v>——</v>
      </c>
    </row>
    <row r="59" ht="15.75" spans="1:2">
      <c r="A59" s="3448" t="s">
        <v>59</v>
      </c>
      <c r="B59" s="3436" t="str">
        <f>'预评函-2（1）'!B45</f>
        <v>单位：元、元/平方米（单位：人民币）</v>
      </c>
    </row>
    <row r="60" spans="1:2">
      <c r="A60" s="3446" t="s">
        <v>60</v>
      </c>
      <c r="B60" s="3439" t="str">
        <f>'预评函-2（2）'!D2</f>
        <v>出让国有建设用地使用权价值</v>
      </c>
    </row>
    <row r="61" s="3427" customFormat="1" spans="1:2">
      <c r="A61" s="3446" t="s">
        <v>61</v>
      </c>
      <c r="B61" s="3439" t="str">
        <f>'预评函-2（2）'!A14</f>
        <v>单位：平方米、元、元/平方米（币种：人民币）</v>
      </c>
    </row>
    <row r="62" ht="28.5" spans="1:2">
      <c r="A62" s="3446" t="s">
        <v>62</v>
      </c>
      <c r="B62" s="3439">
        <f ca="1">'预评函-2（1）'!D38</f>
        <v>36220</v>
      </c>
    </row>
    <row r="63" s="3427" customFormat="1" ht="28.5" spans="1:2">
      <c r="A63" s="3446" t="s">
        <v>63</v>
      </c>
      <c r="B63" s="3439" t="str">
        <f ca="1">'预评函-2（1）'!D41</f>
        <v>——</v>
      </c>
    </row>
    <row r="64" spans="1:2">
      <c r="A64" s="3446" t="s">
        <v>64</v>
      </c>
      <c r="B64" s="3439" t="str">
        <f>'预评函-2（2）'!A6</f>
        <v>估价师所知悉的法定优先受偿款</v>
      </c>
    </row>
    <row r="65" spans="1:2">
      <c r="A65" s="3446" t="s">
        <v>65</v>
      </c>
      <c r="B65" s="3439" t="str">
        <f>'预评函-2（2）'!A8</f>
        <v>房地产抵押价值</v>
      </c>
    </row>
    <row r="66" spans="1:2">
      <c r="A66" s="3446" t="s">
        <v>66</v>
      </c>
      <c r="B66" s="3439" t="str">
        <f>'预评函-2（2）'!A10</f>
        <v/>
      </c>
    </row>
    <row r="67" s="3426" customFormat="1" ht="15.75" spans="1:2">
      <c r="A67" s="3447" t="s">
        <v>67</v>
      </c>
      <c r="B67" s="3440" t="str">
        <f>'预评函-2（2）'!A12</f>
        <v/>
      </c>
    </row>
    <row r="68" ht="15.75" spans="1:2">
      <c r="A68" s="3428" t="s">
        <v>68</v>
      </c>
      <c r="B68" s="3429" t="str">
        <f>'预评函-3'!A9</f>
        <v>XX</v>
      </c>
    </row>
    <row r="69" spans="1:1">
      <c r="A69" s="3435" t="s">
        <v>69</v>
      </c>
    </row>
    <row r="70" spans="1:1">
      <c r="A70" s="343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6" sqref="C16"/>
    </sheetView>
  </sheetViews>
  <sheetFormatPr defaultColWidth="10" defaultRowHeight="12.75"/>
  <cols>
    <col min="1" max="1" width="18.6666666666667" style="3099" customWidth="1"/>
    <col min="2" max="2" width="15" style="3099" customWidth="1"/>
    <col min="3" max="3" width="14.1083333333333" style="3099" customWidth="1"/>
    <col min="4" max="4" width="12.4416666666667" style="3099" customWidth="1"/>
    <col min="5" max="5" width="13.8833333333333" style="3099" customWidth="1"/>
    <col min="6" max="6" width="15" style="3099" customWidth="1"/>
    <col min="7" max="7" width="14.8833333333333" style="3099" customWidth="1"/>
    <col min="8" max="8" width="4.21666666666667" style="3100" customWidth="1"/>
    <col min="9" max="10" width="10" style="3100" customWidth="1"/>
    <col min="11" max="13" width="10" style="3101" customWidth="1"/>
    <col min="14" max="15" width="10" style="3100" customWidth="1"/>
    <col min="16" max="17" width="10" style="3100"/>
    <col min="18" max="18" width="10" style="3100" customWidth="1"/>
    <col min="19" max="66" width="10" style="3100"/>
    <col min="67" max="16384" width="10" style="3099"/>
  </cols>
  <sheetData>
    <row r="1" ht="13.5" spans="1:17">
      <c r="A1" s="3102" t="s">
        <v>330</v>
      </c>
      <c r="B1" s="3103" t="str">
        <f>IF(B6="北京市","北京市",C6)&amp;IF(E12="房屋所有权证",B29,E29)&amp;D5&amp;"预评估"</f>
        <v>北京市预评估</v>
      </c>
      <c r="C1" s="3104"/>
      <c r="D1" s="3104"/>
      <c r="E1" s="3104"/>
      <c r="F1" s="3105" t="s">
        <v>331</v>
      </c>
      <c r="G1" s="3106"/>
      <c r="I1" s="3238" t="str">
        <f>IF(B6="北京市","北京市",C6)&amp;IF(E12="房屋所有权证",B29,E29)&amp;"房地产"</f>
        <v>北京市房地产</v>
      </c>
      <c r="J1" s="3239"/>
      <c r="K1" s="3240"/>
      <c r="L1" s="3240"/>
      <c r="M1" s="3240"/>
      <c r="N1" s="3239"/>
      <c r="O1" s="3239"/>
      <c r="P1" s="3239"/>
      <c r="Q1" s="3239"/>
    </row>
    <row r="2" ht="13.5" spans="1:8">
      <c r="A2" s="3107" t="s">
        <v>332</v>
      </c>
      <c r="B2" s="3108"/>
      <c r="C2" s="3109" t="s">
        <v>333</v>
      </c>
      <c r="D2" s="3108">
        <v>44489</v>
      </c>
      <c r="E2" s="3110"/>
      <c r="F2" s="3110"/>
      <c r="G2" s="3111"/>
      <c r="H2" s="3112"/>
    </row>
    <row r="3" ht="13.5" spans="1:8">
      <c r="A3" s="3113" t="s">
        <v>334</v>
      </c>
      <c r="B3" s="3114" t="s">
        <v>176</v>
      </c>
      <c r="C3" s="3115">
        <f ca="1">SUMIF(注册房地产估价师,B3,估价师及机构信息!B3:B16)</f>
        <v>1120060040</v>
      </c>
      <c r="D3" s="3114"/>
      <c r="E3" s="3116">
        <f ca="1">SUMIF(注册房地产估价师,D3,估价师及机构信息!B3:B16)</f>
        <v>0</v>
      </c>
      <c r="F3" s="3117"/>
      <c r="G3" s="3118"/>
      <c r="H3" s="3112"/>
    </row>
    <row r="4" ht="13.5" customHeight="1" spans="1:7">
      <c r="A4" s="3107" t="s">
        <v>335</v>
      </c>
      <c r="B4" s="3119" t="s">
        <v>336</v>
      </c>
      <c r="C4" s="3120" t="s">
        <v>337</v>
      </c>
      <c r="D4" s="3121"/>
      <c r="E4" s="3110"/>
      <c r="F4" s="3110"/>
      <c r="G4" s="3111"/>
    </row>
    <row r="5" spans="1:17">
      <c r="A5" s="3122" t="s">
        <v>338</v>
      </c>
      <c r="B5" s="3123" t="s">
        <v>120</v>
      </c>
      <c r="C5" s="3124" t="s">
        <v>339</v>
      </c>
      <c r="D5" s="3125"/>
      <c r="E5" s="3126" t="s">
        <v>340</v>
      </c>
      <c r="F5" s="3125"/>
      <c r="G5" s="3127"/>
      <c r="I5" s="3238" t="str">
        <f>IF(C16="否","截至估价时点，估价对象抵押权未见登记。","截至价值时点，估价对象已设定抵押。")</f>
        <v>截至价值时点，估价对象已设定抵押。</v>
      </c>
      <c r="J5" s="3239"/>
      <c r="K5" s="3240"/>
      <c r="L5" s="3240"/>
      <c r="M5" s="3240"/>
      <c r="N5" s="3239"/>
      <c r="O5" s="3239"/>
      <c r="P5" s="3239"/>
      <c r="Q5" s="3239"/>
    </row>
    <row r="6" spans="1:17">
      <c r="A6" s="3128" t="s">
        <v>341</v>
      </c>
      <c r="B6" s="3129" t="s">
        <v>342</v>
      </c>
      <c r="C6" s="3130" t="s">
        <v>120</v>
      </c>
      <c r="D6" s="3131" t="s">
        <v>343</v>
      </c>
      <c r="E6" s="3132"/>
      <c r="F6" s="3132"/>
      <c r="G6" s="3133"/>
      <c r="I6" s="3239" t="str">
        <f>IF(COUNTIF(B5,"*上海银行*"),"上海银行","")</f>
        <v/>
      </c>
      <c r="J6" s="3239"/>
      <c r="K6" s="3240"/>
      <c r="L6" s="3240"/>
      <c r="M6" s="3240"/>
      <c r="N6" s="3239"/>
      <c r="O6" s="3239"/>
      <c r="P6" s="3239"/>
      <c r="Q6" s="3239"/>
    </row>
    <row r="7" ht="13.5" spans="1:7">
      <c r="A7" s="3134" t="s">
        <v>344</v>
      </c>
      <c r="B7" s="3135" t="s">
        <v>345</v>
      </c>
      <c r="C7" s="2137" t="str">
        <f>IF(B7="自然人","姓名","名称")</f>
        <v>姓名</v>
      </c>
      <c r="D7" s="3136" t="s">
        <v>120</v>
      </c>
      <c r="E7" s="3117"/>
      <c r="F7" s="3117"/>
      <c r="G7" s="3118"/>
    </row>
    <row r="8" ht="13.5" spans="1:7">
      <c r="A8" s="3137" t="s">
        <v>346</v>
      </c>
      <c r="B8" s="3138" t="s">
        <v>347</v>
      </c>
      <c r="C8" s="3139"/>
      <c r="D8" s="3140"/>
      <c r="E8" s="3141" t="s">
        <v>348</v>
      </c>
      <c r="F8" s="3142" t="s">
        <v>349</v>
      </c>
      <c r="G8" s="3143" t="str">
        <f>C6</f>
        <v>XX</v>
      </c>
    </row>
    <row r="9" spans="1:7">
      <c r="A9" s="3137"/>
      <c r="B9" s="2158" t="s">
        <v>350</v>
      </c>
      <c r="C9" s="3123"/>
      <c r="D9" s="3144"/>
      <c r="E9" s="3145" t="s">
        <v>351</v>
      </c>
      <c r="F9" s="3146" t="s">
        <v>352</v>
      </c>
      <c r="G9" s="3147"/>
    </row>
    <row r="10" ht="13.5" spans="1:7">
      <c r="A10" s="3137"/>
      <c r="B10" s="2158" t="s">
        <v>353</v>
      </c>
      <c r="C10" s="3148"/>
      <c r="D10" s="3149"/>
      <c r="E10" s="3150" t="s">
        <v>354</v>
      </c>
      <c r="F10" s="3151" t="s">
        <v>355</v>
      </c>
      <c r="G10" s="3152"/>
    </row>
    <row r="11" ht="13.5" spans="1:7">
      <c r="A11" s="3137"/>
      <c r="B11" s="2114" t="s">
        <v>356</v>
      </c>
      <c r="C11" s="3153"/>
      <c r="D11" s="3154"/>
      <c r="E11" s="3132"/>
      <c r="F11" s="3132"/>
      <c r="G11" s="3133"/>
    </row>
    <row r="12" ht="13.5" spans="1:7">
      <c r="A12" s="3155" t="s">
        <v>357</v>
      </c>
      <c r="B12" s="3156" t="s">
        <v>358</v>
      </c>
      <c r="C12" s="3157">
        <v>134.71</v>
      </c>
      <c r="D12" s="3158" t="s">
        <v>359</v>
      </c>
      <c r="E12" s="3159" t="s">
        <v>360</v>
      </c>
      <c r="F12" s="3160"/>
      <c r="G12" s="3133"/>
    </row>
    <row r="13" ht="21" customHeight="1" spans="1:17">
      <c r="A13" s="3161"/>
      <c r="B13" s="3162" t="s">
        <v>361</v>
      </c>
      <c r="C13" s="3163"/>
      <c r="D13" s="3164" t="s">
        <v>359</v>
      </c>
      <c r="E13" s="3165"/>
      <c r="F13" s="3132"/>
      <c r="G13" s="3133"/>
      <c r="I13" s="3132" t="s">
        <v>362</v>
      </c>
      <c r="J13" s="3241" t="str">
        <f>"根据估价对象"&amp;IF(B19="——",B18&amp;C18,B18&amp;C18&amp;"、"&amp;B19&amp;C19)&amp;"，"&amp;IF(C16="是","截至价值时点，估价对象已设定抵押。","截至价值时点，估价对象抵押权未见登记。")</f>
        <v>根据估价对象、，截至价值时点，估价对象抵押权未见登记。</v>
      </c>
      <c r="K13" s="3240"/>
      <c r="L13" s="3240"/>
      <c r="M13" s="3240"/>
      <c r="N13" s="3239"/>
      <c r="O13" s="3239"/>
      <c r="P13" s="3239"/>
      <c r="Q13" s="3239"/>
    </row>
    <row r="14" ht="13.5" spans="1:17">
      <c r="A14" s="3166"/>
      <c r="B14" s="3158" t="s">
        <v>363</v>
      </c>
      <c r="C14" s="3167"/>
      <c r="D14" s="3132"/>
      <c r="E14" s="3132"/>
      <c r="F14" s="3132"/>
      <c r="G14" s="3133"/>
      <c r="I14" s="3132"/>
      <c r="J14" s="324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0"/>
      <c r="L14" s="3240"/>
      <c r="M14" s="3240"/>
      <c r="N14" s="3239"/>
      <c r="O14" s="3239"/>
      <c r="P14" s="3239"/>
      <c r="Q14" s="3239"/>
    </row>
    <row r="15" ht="13.5" spans="1:17">
      <c r="A15" s="3168"/>
      <c r="B15" s="3169" t="s">
        <v>364</v>
      </c>
      <c r="C15" s="3170">
        <f>基准地价修正!C17</f>
        <v>2.5</v>
      </c>
      <c r="D15" s="3117"/>
      <c r="E15" s="3117"/>
      <c r="F15" s="3117"/>
      <c r="G15" s="3118"/>
      <c r="I15" s="3132"/>
      <c r="J15" s="324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0"/>
      <c r="L15" s="3240"/>
      <c r="M15" s="3240"/>
      <c r="N15" s="3239"/>
      <c r="O15" s="3239"/>
      <c r="P15" s="3239"/>
      <c r="Q15" s="3239"/>
    </row>
    <row r="16" ht="25.5" spans="1:10">
      <c r="A16" s="3166" t="s">
        <v>365</v>
      </c>
      <c r="B16" s="3171" t="s">
        <v>366</v>
      </c>
      <c r="C16" s="3172"/>
      <c r="D16" s="3161" t="s">
        <v>367</v>
      </c>
      <c r="E16" s="3173"/>
      <c r="F16" s="3174" t="str">
        <f>IF(AND(C16="是",E16="否"),"是否提供他项权证或相关说明","")</f>
        <v/>
      </c>
      <c r="G16" s="3173"/>
      <c r="J16" s="3112"/>
    </row>
    <row r="17" ht="13.5" customHeight="1" spans="1:10">
      <c r="A17" s="3175" t="s">
        <v>368</v>
      </c>
      <c r="B17" s="3176" t="s">
        <v>369</v>
      </c>
      <c r="C17" s="3177"/>
      <c r="D17" s="3178" t="s">
        <v>370</v>
      </c>
      <c r="E17" s="3179"/>
      <c r="F17" s="3180" t="s">
        <v>371</v>
      </c>
      <c r="G17" s="3181"/>
      <c r="J17" s="3112"/>
    </row>
    <row r="18" ht="24" spans="1:10">
      <c r="A18" s="3175"/>
      <c r="B18" s="3182"/>
      <c r="C18" s="3127"/>
      <c r="D18" s="3183" t="s">
        <v>372</v>
      </c>
      <c r="E18" s="3184"/>
      <c r="F18" s="3185"/>
      <c r="G18" s="3186"/>
      <c r="H18" s="3112"/>
      <c r="J18" s="3112"/>
    </row>
    <row r="19" ht="21.75" customHeight="1" spans="1:7">
      <c r="A19" s="3175"/>
      <c r="B19" s="3187"/>
      <c r="C19" s="3165"/>
      <c r="D19" s="3175"/>
      <c r="E19" s="3132"/>
      <c r="F19" s="3132"/>
      <c r="G19" s="3186"/>
    </row>
    <row r="20" spans="1:7">
      <c r="A20" s="3181" t="s">
        <v>373</v>
      </c>
      <c r="B20" s="3188" t="s">
        <v>374</v>
      </c>
      <c r="C20" s="3189"/>
      <c r="D20" s="3190" t="s">
        <v>374</v>
      </c>
      <c r="E20" s="3189"/>
      <c r="F20" s="3132"/>
      <c r="G20" s="3186"/>
    </row>
    <row r="21" spans="1:7">
      <c r="A21" s="3186"/>
      <c r="B21" s="3191" t="s">
        <v>375</v>
      </c>
      <c r="C21" s="3149"/>
      <c r="D21" s="3175" t="s">
        <v>375</v>
      </c>
      <c r="E21" s="3192"/>
      <c r="F21" s="3132"/>
      <c r="G21" s="3186"/>
    </row>
    <row r="22" spans="1:7">
      <c r="A22" s="3186"/>
      <c r="B22" s="3132" t="s">
        <v>376</v>
      </c>
      <c r="C22" s="3193"/>
      <c r="D22" s="3132" t="s">
        <v>376</v>
      </c>
      <c r="E22" s="3192"/>
      <c r="F22" s="3132"/>
      <c r="G22" s="3186"/>
    </row>
    <row r="23" s="3095" customFormat="1" ht="16.5" spans="1:66">
      <c r="A23" s="3194"/>
      <c r="B23" s="3195" t="s">
        <v>377</v>
      </c>
      <c r="C23" s="3163"/>
      <c r="D23" s="3195" t="s">
        <v>377</v>
      </c>
      <c r="E23" s="3196"/>
      <c r="F23" s="3195"/>
      <c r="G23" s="3194"/>
      <c r="H23" s="3197"/>
      <c r="I23" s="3197"/>
      <c r="J23" s="3197"/>
      <c r="K23" s="3242"/>
      <c r="L23" s="3242"/>
      <c r="M23" s="3242"/>
      <c r="N23" s="3242"/>
      <c r="O23" s="3242"/>
      <c r="P23" s="3242"/>
      <c r="Q23" s="3197"/>
      <c r="R23" s="3197"/>
      <c r="S23" s="3197"/>
      <c r="T23" s="3197"/>
      <c r="U23" s="3197"/>
      <c r="V23" s="3197"/>
      <c r="W23" s="3197"/>
      <c r="X23" s="3197"/>
      <c r="Y23" s="3197"/>
      <c r="Z23" s="3197"/>
      <c r="AA23" s="3197"/>
      <c r="AB23" s="3197"/>
      <c r="AC23" s="3197"/>
      <c r="AD23" s="3197"/>
      <c r="AE23" s="3197"/>
      <c r="AF23" s="3197"/>
      <c r="AG23" s="3197"/>
      <c r="AH23" s="3197"/>
      <c r="AI23" s="3197"/>
      <c r="AJ23" s="3197"/>
      <c r="AK23" s="3197"/>
      <c r="AL23" s="3197"/>
      <c r="AM23" s="3197"/>
      <c r="AN23" s="3197"/>
      <c r="AO23" s="3197"/>
      <c r="AP23" s="3197"/>
      <c r="AQ23" s="3197"/>
      <c r="AR23" s="3197"/>
      <c r="AS23" s="3197"/>
      <c r="AT23" s="3197"/>
      <c r="AU23" s="3197"/>
      <c r="AV23" s="3197"/>
      <c r="AW23" s="3197"/>
      <c r="AX23" s="3197"/>
      <c r="AY23" s="3197"/>
      <c r="AZ23" s="3197"/>
      <c r="BA23" s="3197"/>
      <c r="BB23" s="3197"/>
      <c r="BC23" s="3197"/>
      <c r="BD23" s="3197"/>
      <c r="BE23" s="3197"/>
      <c r="BF23" s="3197"/>
      <c r="BG23" s="3197"/>
      <c r="BH23" s="3197"/>
      <c r="BI23" s="3197"/>
      <c r="BJ23" s="3197"/>
      <c r="BK23" s="3197"/>
      <c r="BL23" s="3197"/>
      <c r="BM23" s="3197"/>
      <c r="BN23" s="3197"/>
    </row>
    <row r="24" s="3096" customFormat="1" ht="18" customHeight="1" spans="1:66">
      <c r="A24" s="3198" t="s">
        <v>378</v>
      </c>
      <c r="B24" s="3198"/>
      <c r="C24" s="3198"/>
      <c r="D24" s="3198"/>
      <c r="E24" s="3198"/>
      <c r="F24" s="3198"/>
      <c r="G24" s="3198"/>
      <c r="H24" s="3199"/>
      <c r="I24" s="3199"/>
      <c r="J24" s="3199"/>
      <c r="K24" s="3243"/>
      <c r="L24" s="3243"/>
      <c r="M24" s="3243"/>
      <c r="N24" s="3243"/>
      <c r="O24" s="3243"/>
      <c r="P24" s="3243"/>
      <c r="Q24" s="3246"/>
      <c r="R24" s="3246"/>
      <c r="S24" s="3246"/>
      <c r="T24" s="3246"/>
      <c r="U24" s="3246"/>
      <c r="V24" s="3246"/>
      <c r="W24" s="3246"/>
      <c r="X24" s="3246"/>
      <c r="Y24" s="3246"/>
      <c r="Z24" s="3246"/>
      <c r="AA24" s="3246"/>
      <c r="AB24" s="3246"/>
      <c r="AC24" s="3246"/>
      <c r="AD24" s="3246"/>
      <c r="AE24" s="3246"/>
      <c r="AF24" s="3246"/>
      <c r="AG24" s="3246"/>
      <c r="AH24" s="3246"/>
      <c r="AI24" s="3246"/>
      <c r="AJ24" s="3246"/>
      <c r="AK24" s="3246"/>
      <c r="AL24" s="3246"/>
      <c r="AM24" s="3246"/>
      <c r="AN24" s="3246"/>
      <c r="AO24" s="3246"/>
      <c r="AP24" s="3246"/>
      <c r="AQ24" s="3246"/>
      <c r="AR24" s="3246"/>
      <c r="AS24" s="3246"/>
      <c r="AT24" s="3246"/>
      <c r="AU24" s="3246"/>
      <c r="AV24" s="3246"/>
      <c r="AW24" s="3246"/>
      <c r="AX24" s="3246"/>
      <c r="AY24" s="3246"/>
      <c r="AZ24" s="3246"/>
      <c r="BA24" s="3246"/>
      <c r="BB24" s="3246"/>
      <c r="BC24" s="3246"/>
      <c r="BD24" s="3246"/>
      <c r="BE24" s="3246"/>
      <c r="BF24" s="3246"/>
      <c r="BG24" s="3246"/>
      <c r="BH24" s="3246"/>
      <c r="BI24" s="3246"/>
      <c r="BJ24" s="3246"/>
      <c r="BK24" s="3246"/>
      <c r="BL24" s="3246"/>
      <c r="BM24" s="3246"/>
      <c r="BN24" s="3246"/>
    </row>
    <row r="25" ht="14.25" spans="1:11">
      <c r="A25" s="3200" t="s">
        <v>379</v>
      </c>
      <c r="B25" s="3132"/>
      <c r="C25" s="3132"/>
      <c r="D25" s="3132"/>
      <c r="E25" s="3132"/>
      <c r="F25" s="3132"/>
      <c r="G25" s="3194"/>
      <c r="K25" s="3100"/>
    </row>
    <row r="26" s="3097" customFormat="1" ht="13.5" spans="1:66">
      <c r="A26" s="3201"/>
      <c r="B26" s="3202" t="s">
        <v>380</v>
      </c>
      <c r="C26" s="3201"/>
      <c r="D26" s="3202"/>
      <c r="E26" s="3203" t="s">
        <v>381</v>
      </c>
      <c r="F26" s="3201"/>
      <c r="G26" s="3204" t="s">
        <v>382</v>
      </c>
      <c r="H26" s="3205"/>
      <c r="I26" s="3205"/>
      <c r="J26" s="3205"/>
      <c r="K26" s="3205"/>
      <c r="L26" s="3244"/>
      <c r="M26" s="3244"/>
      <c r="N26" s="3205"/>
      <c r="O26" s="3205"/>
      <c r="P26" s="3205"/>
      <c r="Q26" s="3205"/>
      <c r="R26" s="3205"/>
      <c r="S26" s="3205"/>
      <c r="T26" s="3205"/>
      <c r="U26" s="3205"/>
      <c r="V26" s="3205"/>
      <c r="W26" s="3205"/>
      <c r="X26" s="3205"/>
      <c r="Y26" s="3205"/>
      <c r="Z26" s="3205"/>
      <c r="AA26" s="3205"/>
      <c r="AB26" s="3205"/>
      <c r="AC26" s="3205"/>
      <c r="AD26" s="3205"/>
      <c r="AE26" s="3205"/>
      <c r="AF26" s="3205"/>
      <c r="AG26" s="3205"/>
      <c r="AH26" s="3205"/>
      <c r="AI26" s="3205"/>
      <c r="AJ26" s="3205"/>
      <c r="AK26" s="3205"/>
      <c r="AL26" s="3205"/>
      <c r="AM26" s="3205"/>
      <c r="AN26" s="3205"/>
      <c r="AO26" s="3205"/>
      <c r="AP26" s="3205"/>
      <c r="AQ26" s="3205"/>
      <c r="AR26" s="3205"/>
      <c r="AS26" s="3205"/>
      <c r="AT26" s="3205"/>
      <c r="AU26" s="3205"/>
      <c r="AV26" s="3205"/>
      <c r="AW26" s="3205"/>
      <c r="AX26" s="3205"/>
      <c r="AY26" s="3205"/>
      <c r="AZ26" s="3205"/>
      <c r="BA26" s="3205"/>
      <c r="BB26" s="3205"/>
      <c r="BC26" s="3205"/>
      <c r="BD26" s="3205"/>
      <c r="BE26" s="3205"/>
      <c r="BF26" s="3205"/>
      <c r="BG26" s="3205"/>
      <c r="BH26" s="3205"/>
      <c r="BI26" s="3205"/>
      <c r="BJ26" s="3205"/>
      <c r="BK26" s="3205"/>
      <c r="BL26" s="3205"/>
      <c r="BM26" s="3205"/>
      <c r="BN26" s="3205"/>
    </row>
    <row r="27" s="3097" customFormat="1" ht="13.5" spans="1:66">
      <c r="A27" s="3201"/>
      <c r="B27" s="3206"/>
      <c r="C27" s="3201"/>
      <c r="D27" s="3202"/>
      <c r="E27" s="3206"/>
      <c r="F27" s="3201"/>
      <c r="G27" s="3207"/>
      <c r="H27" s="3205"/>
      <c r="I27" s="3205"/>
      <c r="J27" s="3205"/>
      <c r="K27" s="3205"/>
      <c r="L27" s="3244"/>
      <c r="M27" s="3244"/>
      <c r="N27" s="3205"/>
      <c r="O27" s="3205"/>
      <c r="P27" s="3205"/>
      <c r="Q27" s="3205"/>
      <c r="R27" s="3205"/>
      <c r="S27" s="3205"/>
      <c r="T27" s="3205"/>
      <c r="U27" s="3205"/>
      <c r="V27" s="3205"/>
      <c r="W27" s="3205"/>
      <c r="X27" s="3205"/>
      <c r="Y27" s="3205"/>
      <c r="Z27" s="3205"/>
      <c r="AA27" s="3205"/>
      <c r="AB27" s="3205"/>
      <c r="AC27" s="3205"/>
      <c r="AD27" s="3205"/>
      <c r="AE27" s="3205"/>
      <c r="AF27" s="3205"/>
      <c r="AG27" s="3205"/>
      <c r="AH27" s="3205"/>
      <c r="AI27" s="3205"/>
      <c r="AJ27" s="3205"/>
      <c r="AK27" s="3205"/>
      <c r="AL27" s="3205"/>
      <c r="AM27" s="3205"/>
      <c r="AN27" s="3205"/>
      <c r="AO27" s="3205"/>
      <c r="AP27" s="3205"/>
      <c r="AQ27" s="3205"/>
      <c r="AR27" s="3205"/>
      <c r="AS27" s="3205"/>
      <c r="AT27" s="3205"/>
      <c r="AU27" s="3205"/>
      <c r="AV27" s="3205"/>
      <c r="AW27" s="3205"/>
      <c r="AX27" s="3205"/>
      <c r="AY27" s="3205"/>
      <c r="AZ27" s="3205"/>
      <c r="BA27" s="3205"/>
      <c r="BB27" s="3205"/>
      <c r="BC27" s="3205"/>
      <c r="BD27" s="3205"/>
      <c r="BE27" s="3205"/>
      <c r="BF27" s="3205"/>
      <c r="BG27" s="3205"/>
      <c r="BH27" s="3205"/>
      <c r="BI27" s="3205"/>
      <c r="BJ27" s="3205"/>
      <c r="BK27" s="3205"/>
      <c r="BL27" s="3205"/>
      <c r="BM27" s="3205"/>
      <c r="BN27" s="3205"/>
    </row>
    <row r="28" spans="1:11">
      <c r="A28" s="3208" t="s">
        <v>383</v>
      </c>
      <c r="B28" s="3209"/>
      <c r="C28" s="3210" t="s">
        <v>383</v>
      </c>
      <c r="D28" s="3211"/>
      <c r="E28" s="3209"/>
      <c r="F28" s="3208" t="s">
        <v>383</v>
      </c>
      <c r="G28" s="3209"/>
      <c r="K28" s="3100"/>
    </row>
    <row r="29" spans="1:11">
      <c r="A29" s="3212" t="s">
        <v>384</v>
      </c>
      <c r="B29" s="3213"/>
      <c r="C29" s="3214" t="s">
        <v>385</v>
      </c>
      <c r="D29" s="3215"/>
      <c r="E29" s="3213"/>
      <c r="F29" s="3212" t="s">
        <v>385</v>
      </c>
      <c r="G29" s="3213"/>
      <c r="K29" s="3100"/>
    </row>
    <row r="30" spans="1:11">
      <c r="A30" s="3212" t="s">
        <v>386</v>
      </c>
      <c r="B30" s="3213"/>
      <c r="C30" s="3214" t="s">
        <v>386</v>
      </c>
      <c r="D30" s="3215"/>
      <c r="E30" s="3213"/>
      <c r="F30" s="3212" t="s">
        <v>387</v>
      </c>
      <c r="G30" s="3213"/>
      <c r="K30" s="3100"/>
    </row>
    <row r="31" spans="1:7">
      <c r="A31" s="3212" t="s">
        <v>388</v>
      </c>
      <c r="B31" s="3213"/>
      <c r="C31" s="3216" t="s">
        <v>389</v>
      </c>
      <c r="D31" s="3132"/>
      <c r="E31" s="3217" t="str">
        <f>E32&amp;" "&amp;E33&amp;" "&amp;E34&amp;" "&amp;E35</f>
        <v>   </v>
      </c>
      <c r="F31" s="3212" t="s">
        <v>390</v>
      </c>
      <c r="G31" s="3213"/>
    </row>
    <row r="32" spans="1:7">
      <c r="A32" s="3212" t="s">
        <v>391</v>
      </c>
      <c r="B32" s="3213"/>
      <c r="C32" s="3218"/>
      <c r="D32" s="2158" t="s">
        <v>392</v>
      </c>
      <c r="E32" s="3213"/>
      <c r="F32" s="3212" t="s">
        <v>393</v>
      </c>
      <c r="G32" s="3213"/>
    </row>
    <row r="33" ht="24.75" spans="1:7">
      <c r="A33" s="3219" t="s">
        <v>394</v>
      </c>
      <c r="B33" s="3220"/>
      <c r="C33" s="3218"/>
      <c r="D33" s="2158" t="s">
        <v>395</v>
      </c>
      <c r="E33" s="3213"/>
      <c r="F33" s="3212" t="s">
        <v>396</v>
      </c>
      <c r="G33" s="3213"/>
    </row>
    <row r="34" spans="1:7">
      <c r="A34" s="3208" t="s">
        <v>397</v>
      </c>
      <c r="B34" s="3209"/>
      <c r="C34" s="3218"/>
      <c r="D34" s="2158" t="s">
        <v>398</v>
      </c>
      <c r="E34" s="3213"/>
      <c r="F34" s="3212" t="s">
        <v>399</v>
      </c>
      <c r="G34" s="3213"/>
    </row>
    <row r="35" ht="13.5" spans="1:7">
      <c r="A35" s="3212" t="s">
        <v>400</v>
      </c>
      <c r="B35" s="3213"/>
      <c r="C35" s="3221"/>
      <c r="D35" s="2158" t="s">
        <v>401</v>
      </c>
      <c r="E35" s="3213"/>
      <c r="F35" s="3219" t="s">
        <v>402</v>
      </c>
      <c r="G35" s="3222"/>
    </row>
    <row r="36" spans="1:7">
      <c r="A36" s="3212" t="s">
        <v>358</v>
      </c>
      <c r="B36" s="3213"/>
      <c r="C36" s="3214" t="s">
        <v>403</v>
      </c>
      <c r="D36" s="3215"/>
      <c r="E36" s="3213"/>
      <c r="F36" s="3211" t="s">
        <v>404</v>
      </c>
      <c r="G36" s="3209"/>
    </row>
    <row r="37" ht="13.5" spans="1:7">
      <c r="A37" s="3212" t="s">
        <v>405</v>
      </c>
      <c r="B37" s="3213"/>
      <c r="C37" s="3223" t="s">
        <v>406</v>
      </c>
      <c r="D37" s="3224"/>
      <c r="E37" s="3220"/>
      <c r="F37" s="3215" t="s">
        <v>407</v>
      </c>
      <c r="G37" s="3213"/>
    </row>
    <row r="38" ht="13.5" spans="1:7">
      <c r="A38" s="3212" t="s">
        <v>408</v>
      </c>
      <c r="B38" s="3213"/>
      <c r="C38" s="3208" t="s">
        <v>409</v>
      </c>
      <c r="D38" s="3158" t="s">
        <v>393</v>
      </c>
      <c r="E38" s="3209"/>
      <c r="F38" s="3219" t="s">
        <v>410</v>
      </c>
      <c r="G38" s="3220"/>
    </row>
    <row r="39" spans="1:7">
      <c r="A39" s="3212" t="s">
        <v>411</v>
      </c>
      <c r="B39" s="3213"/>
      <c r="C39" s="3212"/>
      <c r="D39" s="2158" t="s">
        <v>400</v>
      </c>
      <c r="E39" s="3213"/>
      <c r="F39" s="3208" t="s">
        <v>412</v>
      </c>
      <c r="G39" s="3209"/>
    </row>
    <row r="40" spans="1:7">
      <c r="A40" s="3212" t="s">
        <v>413</v>
      </c>
      <c r="B40" s="3213"/>
      <c r="C40" s="3212" t="s">
        <v>414</v>
      </c>
      <c r="D40" s="2158" t="s">
        <v>358</v>
      </c>
      <c r="E40" s="3213"/>
      <c r="F40" s="3212" t="s">
        <v>415</v>
      </c>
      <c r="G40" s="3213"/>
    </row>
    <row r="41" ht="24.75" customHeight="1" spans="1:7">
      <c r="A41" s="3219" t="s">
        <v>416</v>
      </c>
      <c r="B41" s="3220"/>
      <c r="C41" s="3219"/>
      <c r="D41" s="3164" t="s">
        <v>361</v>
      </c>
      <c r="E41" s="3220"/>
      <c r="F41" s="3219" t="s">
        <v>417</v>
      </c>
      <c r="G41" s="3220"/>
    </row>
    <row r="42" spans="1:7">
      <c r="A42" s="3225" t="s">
        <v>418</v>
      </c>
      <c r="B42" s="3226"/>
      <c r="C42" s="3227" t="s">
        <v>418</v>
      </c>
      <c r="D42" s="3228"/>
      <c r="E42" s="3226"/>
      <c r="F42" s="3208" t="s">
        <v>419</v>
      </c>
      <c r="G42" s="3226"/>
    </row>
    <row r="43" spans="1:7">
      <c r="A43" s="3137" t="s">
        <v>420</v>
      </c>
      <c r="B43" s="3229"/>
      <c r="C43" s="3175"/>
      <c r="D43" s="3191"/>
      <c r="E43" s="3229"/>
      <c r="F43" s="3137"/>
      <c r="G43" s="3229"/>
    </row>
    <row r="44" spans="1:7">
      <c r="A44" s="3137" t="s">
        <v>374</v>
      </c>
      <c r="B44" s="3230"/>
      <c r="C44" s="3175"/>
      <c r="D44" s="2125" t="s">
        <v>374</v>
      </c>
      <c r="E44" s="3230"/>
      <c r="F44" s="3137" t="s">
        <v>374</v>
      </c>
      <c r="G44" s="3230"/>
    </row>
    <row r="45" spans="1:7">
      <c r="A45" s="3137" t="s">
        <v>375</v>
      </c>
      <c r="B45" s="3230"/>
      <c r="C45" s="3175"/>
      <c r="D45" s="3191" t="s">
        <v>375</v>
      </c>
      <c r="E45" s="3230"/>
      <c r="F45" s="3137" t="s">
        <v>375</v>
      </c>
      <c r="G45" s="3230"/>
    </row>
    <row r="46" spans="1:7">
      <c r="A46" s="3137" t="s">
        <v>376</v>
      </c>
      <c r="B46" s="3230"/>
      <c r="C46" s="3175"/>
      <c r="D46" s="3191" t="s">
        <v>376</v>
      </c>
      <c r="E46" s="3230"/>
      <c r="F46" s="3137" t="s">
        <v>376</v>
      </c>
      <c r="G46" s="3230"/>
    </row>
    <row r="47" spans="1:7">
      <c r="A47" s="3137" t="s">
        <v>377</v>
      </c>
      <c r="B47" s="3230"/>
      <c r="C47" s="3175"/>
      <c r="D47" s="3191" t="s">
        <v>377</v>
      </c>
      <c r="E47" s="3230"/>
      <c r="F47" s="3137" t="s">
        <v>377</v>
      </c>
      <c r="G47" s="3230"/>
    </row>
    <row r="48" spans="1:7">
      <c r="A48" s="3137"/>
      <c r="B48" s="3230"/>
      <c r="C48" s="3175"/>
      <c r="D48" s="3191"/>
      <c r="E48" s="3230"/>
      <c r="F48" s="3137"/>
      <c r="G48" s="3230"/>
    </row>
    <row r="49" ht="13.5" spans="1:7">
      <c r="A49" s="3219" t="s">
        <v>421</v>
      </c>
      <c r="B49" s="3220"/>
      <c r="C49" s="3231" t="s">
        <v>421</v>
      </c>
      <c r="D49" s="2125"/>
      <c r="E49" s="3232"/>
      <c r="F49" s="3219" t="s">
        <v>422</v>
      </c>
      <c r="G49" s="3220"/>
    </row>
    <row r="50" spans="1:7">
      <c r="A50" s="3212" t="s">
        <v>423</v>
      </c>
      <c r="B50" s="3233"/>
      <c r="C50" s="3208" t="s">
        <v>424</v>
      </c>
      <c r="D50" s="3158"/>
      <c r="E50" s="3234"/>
      <c r="F50" s="3235"/>
      <c r="G50" s="3236"/>
    </row>
    <row r="51" ht="13.5" spans="1:7">
      <c r="A51" s="3212" t="s">
        <v>425</v>
      </c>
      <c r="B51" s="3233"/>
      <c r="C51" s="3219" t="s">
        <v>426</v>
      </c>
      <c r="D51" s="3164"/>
      <c r="E51" s="3220"/>
      <c r="F51" s="3132"/>
      <c r="G51" s="3133"/>
    </row>
    <row r="52" spans="1:7">
      <c r="A52" s="3212" t="s">
        <v>404</v>
      </c>
      <c r="B52" s="3213"/>
      <c r="C52" s="3132"/>
      <c r="D52" s="3132"/>
      <c r="E52" s="3132"/>
      <c r="F52" s="3132"/>
      <c r="G52" s="3133"/>
    </row>
    <row r="53" ht="24.75" spans="1:7">
      <c r="A53" s="3219" t="s">
        <v>427</v>
      </c>
      <c r="B53" s="3222"/>
      <c r="C53" s="3195"/>
      <c r="D53" s="3195"/>
      <c r="E53" s="3195"/>
      <c r="F53" s="3195"/>
      <c r="G53" s="3237"/>
    </row>
    <row r="57" s="3098" customFormat="1" spans="8:66">
      <c r="H57" s="3112"/>
      <c r="I57" s="3112"/>
      <c r="J57" s="3112"/>
      <c r="K57" s="3245"/>
      <c r="L57" s="3245"/>
      <c r="M57" s="3245"/>
      <c r="N57" s="3112"/>
      <c r="O57" s="3112"/>
      <c r="P57" s="3112"/>
      <c r="Q57" s="3112"/>
      <c r="R57" s="3112"/>
      <c r="S57" s="3112"/>
      <c r="T57" s="3112"/>
      <c r="U57" s="3112"/>
      <c r="V57" s="3112"/>
      <c r="W57" s="3112"/>
      <c r="X57" s="3112"/>
      <c r="Y57" s="3112"/>
      <c r="Z57" s="3112"/>
      <c r="AA57" s="3112"/>
      <c r="AB57" s="3112"/>
      <c r="AC57" s="3112"/>
      <c r="AD57" s="3112"/>
      <c r="AE57" s="3112"/>
      <c r="AF57" s="3112"/>
      <c r="AG57" s="3112"/>
      <c r="AH57" s="3112"/>
      <c r="AI57" s="3112"/>
      <c r="AJ57" s="3112"/>
      <c r="AK57" s="3112"/>
      <c r="AL57" s="3112"/>
      <c r="AM57" s="3112"/>
      <c r="AN57" s="3112"/>
      <c r="AO57" s="3112"/>
      <c r="AP57" s="3112"/>
      <c r="AQ57" s="3112"/>
      <c r="AR57" s="3112"/>
      <c r="AS57" s="3112"/>
      <c r="AT57" s="3112"/>
      <c r="AU57" s="3112"/>
      <c r="AV57" s="3112"/>
      <c r="AW57" s="3112"/>
      <c r="AX57" s="3112"/>
      <c r="AY57" s="3112"/>
      <c r="AZ57" s="3112"/>
      <c r="BA57" s="3112"/>
      <c r="BB57" s="3112"/>
      <c r="BC57" s="3112"/>
      <c r="BD57" s="3112"/>
      <c r="BE57" s="3112"/>
      <c r="BF57" s="3112"/>
      <c r="BG57" s="3112"/>
      <c r="BH57" s="3112"/>
      <c r="BI57" s="3112"/>
      <c r="BJ57" s="3112"/>
      <c r="BK57" s="3112"/>
      <c r="BL57" s="3112"/>
      <c r="BM57" s="3112"/>
      <c r="BN57" s="3112"/>
    </row>
    <row r="58" s="3098" customFormat="1" spans="8:66">
      <c r="H58" s="3112"/>
      <c r="I58" s="3112"/>
      <c r="J58" s="3112"/>
      <c r="K58" s="3245"/>
      <c r="L58" s="3245"/>
      <c r="M58" s="3245"/>
      <c r="N58" s="3112"/>
      <c r="O58" s="3112"/>
      <c r="P58" s="3112"/>
      <c r="Q58" s="3112"/>
      <c r="R58" s="3112"/>
      <c r="S58" s="3112"/>
      <c r="T58" s="3112"/>
      <c r="U58" s="3112"/>
      <c r="V58" s="3112"/>
      <c r="W58" s="3112"/>
      <c r="X58" s="3112"/>
      <c r="Y58" s="3112"/>
      <c r="Z58" s="3112"/>
      <c r="AA58" s="3112"/>
      <c r="AB58" s="3112"/>
      <c r="AC58" s="3112"/>
      <c r="AD58" s="3112"/>
      <c r="AE58" s="3112"/>
      <c r="AF58" s="3112"/>
      <c r="AG58" s="3112"/>
      <c r="AH58" s="3112"/>
      <c r="AI58" s="3112"/>
      <c r="AJ58" s="3112"/>
      <c r="AK58" s="3112"/>
      <c r="AL58" s="3112"/>
      <c r="AM58" s="3112"/>
      <c r="AN58" s="3112"/>
      <c r="AO58" s="3112"/>
      <c r="AP58" s="3112"/>
      <c r="AQ58" s="3112"/>
      <c r="AR58" s="3112"/>
      <c r="AS58" s="3112"/>
      <c r="AT58" s="3112"/>
      <c r="AU58" s="3112"/>
      <c r="AV58" s="3112"/>
      <c r="AW58" s="3112"/>
      <c r="AX58" s="3112"/>
      <c r="AY58" s="3112"/>
      <c r="AZ58" s="3112"/>
      <c r="BA58" s="3112"/>
      <c r="BB58" s="3112"/>
      <c r="BC58" s="3112"/>
      <c r="BD58" s="3112"/>
      <c r="BE58" s="3112"/>
      <c r="BF58" s="3112"/>
      <c r="BG58" s="3112"/>
      <c r="BH58" s="3112"/>
      <c r="BI58" s="3112"/>
      <c r="BJ58" s="3112"/>
      <c r="BK58" s="3112"/>
      <c r="BL58" s="3112"/>
      <c r="BM58" s="3112"/>
      <c r="BN58" s="3112"/>
    </row>
    <row r="59" s="3098" customFormat="1" spans="8:66">
      <c r="H59" s="3112"/>
      <c r="I59" s="3112"/>
      <c r="J59" s="3112"/>
      <c r="K59" s="3245"/>
      <c r="L59" s="3245"/>
      <c r="M59" s="3245"/>
      <c r="N59" s="3112"/>
      <c r="O59" s="3112"/>
      <c r="P59" s="3112"/>
      <c r="Q59" s="3112"/>
      <c r="R59" s="3112"/>
      <c r="S59" s="3112"/>
      <c r="T59" s="3112"/>
      <c r="U59" s="3112"/>
      <c r="V59" s="3112"/>
      <c r="W59" s="3112"/>
      <c r="X59" s="3112"/>
      <c r="Y59" s="3112"/>
      <c r="Z59" s="3112"/>
      <c r="AA59" s="3112"/>
      <c r="AB59" s="3112"/>
      <c r="AC59" s="3112"/>
      <c r="AD59" s="3112"/>
      <c r="AE59" s="3112"/>
      <c r="AF59" s="3112"/>
      <c r="AG59" s="3112"/>
      <c r="AH59" s="3112"/>
      <c r="AI59" s="3112"/>
      <c r="AJ59" s="3112"/>
      <c r="AK59" s="3112"/>
      <c r="AL59" s="3112"/>
      <c r="AM59" s="3112"/>
      <c r="AN59" s="3112"/>
      <c r="AO59" s="3112"/>
      <c r="AP59" s="3112"/>
      <c r="AQ59" s="3112"/>
      <c r="AR59" s="3112"/>
      <c r="AS59" s="3112"/>
      <c r="AT59" s="3112"/>
      <c r="AU59" s="3112"/>
      <c r="AV59" s="3112"/>
      <c r="AW59" s="3112"/>
      <c r="AX59" s="3112"/>
      <c r="AY59" s="3112"/>
      <c r="AZ59" s="3112"/>
      <c r="BA59" s="3112"/>
      <c r="BB59" s="3112"/>
      <c r="BC59" s="3112"/>
      <c r="BD59" s="3112"/>
      <c r="BE59" s="3112"/>
      <c r="BF59" s="3112"/>
      <c r="BG59" s="3112"/>
      <c r="BH59" s="3112"/>
      <c r="BI59" s="3112"/>
      <c r="BJ59" s="3112"/>
      <c r="BK59" s="3112"/>
      <c r="BL59" s="3112"/>
      <c r="BM59" s="3112"/>
      <c r="BN59" s="3112"/>
    </row>
    <row r="60" s="3098" customFormat="1" spans="8:66">
      <c r="H60" s="3112"/>
      <c r="I60" s="3112"/>
      <c r="J60" s="3112"/>
      <c r="K60" s="3245"/>
      <c r="L60" s="3245"/>
      <c r="M60" s="3245"/>
      <c r="N60" s="3112"/>
      <c r="O60" s="3112"/>
      <c r="P60" s="3112"/>
      <c r="Q60" s="3112"/>
      <c r="R60" s="3112"/>
      <c r="S60" s="3112"/>
      <c r="T60" s="3112"/>
      <c r="U60" s="3112"/>
      <c r="V60" s="3112"/>
      <c r="W60" s="3112"/>
      <c r="X60" s="3112"/>
      <c r="Y60" s="3112"/>
      <c r="Z60" s="3112"/>
      <c r="AA60" s="3112"/>
      <c r="AB60" s="3112"/>
      <c r="AC60" s="3112"/>
      <c r="AD60" s="3112"/>
      <c r="AE60" s="3112"/>
      <c r="AF60" s="3112"/>
      <c r="AG60" s="3112"/>
      <c r="AH60" s="3112"/>
      <c r="AI60" s="3112"/>
      <c r="AJ60" s="3112"/>
      <c r="AK60" s="3112"/>
      <c r="AL60" s="3112"/>
      <c r="AM60" s="3112"/>
      <c r="AN60" s="3112"/>
      <c r="AO60" s="3112"/>
      <c r="AP60" s="3112"/>
      <c r="AQ60" s="3112"/>
      <c r="AR60" s="3112"/>
      <c r="AS60" s="3112"/>
      <c r="AT60" s="3112"/>
      <c r="AU60" s="3112"/>
      <c r="AV60" s="3112"/>
      <c r="AW60" s="3112"/>
      <c r="AX60" s="3112"/>
      <c r="AY60" s="3112"/>
      <c r="AZ60" s="3112"/>
      <c r="BA60" s="3112"/>
      <c r="BB60" s="3112"/>
      <c r="BC60" s="3112"/>
      <c r="BD60" s="3112"/>
      <c r="BE60" s="3112"/>
      <c r="BF60" s="3112"/>
      <c r="BG60" s="3112"/>
      <c r="BH60" s="3112"/>
      <c r="BI60" s="3112"/>
      <c r="BJ60" s="3112"/>
      <c r="BK60" s="3112"/>
      <c r="BL60" s="3112"/>
      <c r="BM60" s="3112"/>
      <c r="BN60" s="3112"/>
    </row>
    <row r="61" s="3098" customFormat="1" spans="8:66">
      <c r="H61" s="3112"/>
      <c r="I61" s="3112"/>
      <c r="J61" s="3112"/>
      <c r="K61" s="3245"/>
      <c r="L61" s="3245"/>
      <c r="M61" s="3245"/>
      <c r="N61" s="3112"/>
      <c r="O61" s="3112"/>
      <c r="P61" s="3112"/>
      <c r="Q61" s="3112"/>
      <c r="R61" s="3112"/>
      <c r="S61" s="3112"/>
      <c r="T61" s="3112"/>
      <c r="U61" s="3112"/>
      <c r="V61" s="3112"/>
      <c r="W61" s="3112"/>
      <c r="X61" s="3112"/>
      <c r="Y61" s="3112"/>
      <c r="Z61" s="3112"/>
      <c r="AA61" s="3112"/>
      <c r="AB61" s="3112"/>
      <c r="AC61" s="3112"/>
      <c r="AD61" s="3112"/>
      <c r="AE61" s="3112"/>
      <c r="AF61" s="3112"/>
      <c r="AG61" s="3112"/>
      <c r="AH61" s="3112"/>
      <c r="AI61" s="3112"/>
      <c r="AJ61" s="3112"/>
      <c r="AK61" s="3112"/>
      <c r="AL61" s="3112"/>
      <c r="AM61" s="3112"/>
      <c r="AN61" s="3112"/>
      <c r="AO61" s="3112"/>
      <c r="AP61" s="3112"/>
      <c r="AQ61" s="3112"/>
      <c r="AR61" s="3112"/>
      <c r="AS61" s="3112"/>
      <c r="AT61" s="3112"/>
      <c r="AU61" s="3112"/>
      <c r="AV61" s="3112"/>
      <c r="AW61" s="3112"/>
      <c r="AX61" s="3112"/>
      <c r="AY61" s="3112"/>
      <c r="AZ61" s="3112"/>
      <c r="BA61" s="3112"/>
      <c r="BB61" s="3112"/>
      <c r="BC61" s="3112"/>
      <c r="BD61" s="3112"/>
      <c r="BE61" s="3112"/>
      <c r="BF61" s="3112"/>
      <c r="BG61" s="3112"/>
      <c r="BH61" s="3112"/>
      <c r="BI61" s="3112"/>
      <c r="BJ61" s="3112"/>
      <c r="BK61" s="3112"/>
      <c r="BL61" s="3112"/>
      <c r="BM61" s="3112"/>
      <c r="BN61" s="3112"/>
    </row>
    <row r="62" s="3098" customFormat="1" spans="8:66">
      <c r="H62" s="3112"/>
      <c r="I62" s="3112"/>
      <c r="J62" s="3112"/>
      <c r="K62" s="3245"/>
      <c r="L62" s="3245"/>
      <c r="M62" s="3245"/>
      <c r="N62" s="3112"/>
      <c r="O62" s="3112"/>
      <c r="P62" s="3112"/>
      <c r="Q62" s="3112"/>
      <c r="R62" s="3112"/>
      <c r="S62" s="3112"/>
      <c r="T62" s="3112"/>
      <c r="U62" s="3112"/>
      <c r="V62" s="3112"/>
      <c r="W62" s="3112"/>
      <c r="X62" s="3112"/>
      <c r="Y62" s="3112"/>
      <c r="Z62" s="3112"/>
      <c r="AA62" s="3112"/>
      <c r="AB62" s="3112"/>
      <c r="AC62" s="3112"/>
      <c r="AD62" s="3112"/>
      <c r="AE62" s="3112"/>
      <c r="AF62" s="3112"/>
      <c r="AG62" s="3112"/>
      <c r="AH62" s="3112"/>
      <c r="AI62" s="3112"/>
      <c r="AJ62" s="3112"/>
      <c r="AK62" s="3112"/>
      <c r="AL62" s="3112"/>
      <c r="AM62" s="3112"/>
      <c r="AN62" s="3112"/>
      <c r="AO62" s="3112"/>
      <c r="AP62" s="3112"/>
      <c r="AQ62" s="3112"/>
      <c r="AR62" s="3112"/>
      <c r="AS62" s="3112"/>
      <c r="AT62" s="3112"/>
      <c r="AU62" s="3112"/>
      <c r="AV62" s="3112"/>
      <c r="AW62" s="3112"/>
      <c r="AX62" s="3112"/>
      <c r="AY62" s="3112"/>
      <c r="AZ62" s="3112"/>
      <c r="BA62" s="3112"/>
      <c r="BB62" s="3112"/>
      <c r="BC62" s="3112"/>
      <c r="BD62" s="3112"/>
      <c r="BE62" s="3112"/>
      <c r="BF62" s="3112"/>
      <c r="BG62" s="3112"/>
      <c r="BH62" s="3112"/>
      <c r="BI62" s="3112"/>
      <c r="BJ62" s="3112"/>
      <c r="BK62" s="3112"/>
      <c r="BL62" s="3112"/>
      <c r="BM62" s="3112"/>
      <c r="BN62" s="3112"/>
    </row>
    <row r="63" s="3098" customFormat="1" spans="8:66">
      <c r="H63" s="3112"/>
      <c r="I63" s="3112"/>
      <c r="J63" s="3112"/>
      <c r="K63" s="3245"/>
      <c r="L63" s="3245"/>
      <c r="M63" s="3245"/>
      <c r="N63" s="3112"/>
      <c r="O63" s="3112"/>
      <c r="P63" s="3112"/>
      <c r="Q63" s="3112"/>
      <c r="R63" s="3112"/>
      <c r="S63" s="3112"/>
      <c r="T63" s="3112"/>
      <c r="U63" s="3112"/>
      <c r="V63" s="3112"/>
      <c r="W63" s="3112"/>
      <c r="X63" s="3112"/>
      <c r="Y63" s="3112"/>
      <c r="Z63" s="3112"/>
      <c r="AA63" s="3112"/>
      <c r="AB63" s="3112"/>
      <c r="AC63" s="3112"/>
      <c r="AD63" s="3112"/>
      <c r="AE63" s="3112"/>
      <c r="AF63" s="3112"/>
      <c r="AG63" s="3112"/>
      <c r="AH63" s="3112"/>
      <c r="AI63" s="3112"/>
      <c r="AJ63" s="3112"/>
      <c r="AK63" s="3112"/>
      <c r="AL63" s="3112"/>
      <c r="AM63" s="3112"/>
      <c r="AN63" s="3112"/>
      <c r="AO63" s="3112"/>
      <c r="AP63" s="3112"/>
      <c r="AQ63" s="3112"/>
      <c r="AR63" s="3112"/>
      <c r="AS63" s="3112"/>
      <c r="AT63" s="3112"/>
      <c r="AU63" s="3112"/>
      <c r="AV63" s="3112"/>
      <c r="AW63" s="3112"/>
      <c r="AX63" s="3112"/>
      <c r="AY63" s="3112"/>
      <c r="AZ63" s="3112"/>
      <c r="BA63" s="3112"/>
      <c r="BB63" s="3112"/>
      <c r="BC63" s="3112"/>
      <c r="BD63" s="3112"/>
      <c r="BE63" s="3112"/>
      <c r="BF63" s="3112"/>
      <c r="BG63" s="3112"/>
      <c r="BH63" s="3112"/>
      <c r="BI63" s="3112"/>
      <c r="BJ63" s="3112"/>
      <c r="BK63" s="3112"/>
      <c r="BL63" s="3112"/>
      <c r="BM63" s="3112"/>
      <c r="BN63" s="311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91" customWidth="1"/>
    <col min="2" max="2" width="10.6666666666667" style="3091" customWidth="1"/>
    <col min="3" max="3" width="15.775" style="3091" customWidth="1"/>
    <col min="4" max="7" width="9.44166666666667" style="3091" customWidth="1"/>
    <col min="8" max="13" width="9.10833333333333" style="3091" customWidth="1"/>
    <col min="14" max="16384" width="9" style="3091"/>
  </cols>
  <sheetData>
    <row r="1" ht="14.25" spans="1:13">
      <c r="A1" s="3092" t="s">
        <v>428</v>
      </c>
      <c r="B1" s="3092" t="s">
        <v>429</v>
      </c>
      <c r="C1" s="3092" t="s">
        <v>430</v>
      </c>
      <c r="D1" s="3093" t="s">
        <v>431</v>
      </c>
      <c r="E1" s="3093" t="s">
        <v>432</v>
      </c>
      <c r="F1" s="3093"/>
      <c r="G1" s="3093"/>
      <c r="H1" s="3093"/>
      <c r="I1" s="3093"/>
      <c r="J1" s="3093"/>
      <c r="K1" s="3093"/>
      <c r="L1" s="3093"/>
      <c r="M1" s="3093"/>
    </row>
    <row r="2" ht="27" customHeight="1" spans="1:13">
      <c r="A2" s="3092"/>
      <c r="B2" s="3092"/>
      <c r="C2" s="3092"/>
      <c r="D2" s="3093"/>
      <c r="E2" s="3093" t="s">
        <v>433</v>
      </c>
      <c r="F2" s="3093" t="s">
        <v>434</v>
      </c>
      <c r="G2" s="3093"/>
      <c r="H2" s="3093"/>
      <c r="I2" s="3093"/>
      <c r="J2" s="3093" t="s">
        <v>435</v>
      </c>
      <c r="K2" s="3093"/>
      <c r="L2" s="3093"/>
      <c r="M2" s="3093"/>
    </row>
    <row r="3" ht="28.5" spans="1:13">
      <c r="A3" s="3092"/>
      <c r="B3" s="3092"/>
      <c r="C3" s="3092"/>
      <c r="D3" s="3093"/>
      <c r="E3" s="3093"/>
      <c r="F3" s="3094" t="s">
        <v>436</v>
      </c>
      <c r="G3" s="3094" t="s">
        <v>437</v>
      </c>
      <c r="H3" s="3094" t="s">
        <v>438</v>
      </c>
      <c r="I3" s="3094" t="s">
        <v>439</v>
      </c>
      <c r="J3" s="3094" t="s">
        <v>436</v>
      </c>
      <c r="K3" s="3094" t="s">
        <v>440</v>
      </c>
      <c r="L3" s="3094" t="s">
        <v>441</v>
      </c>
      <c r="M3" s="3094" t="s">
        <v>442</v>
      </c>
    </row>
    <row r="4" ht="42.75" spans="1:13">
      <c r="A4" s="3094" t="s">
        <v>443</v>
      </c>
      <c r="B4" s="3094" t="s">
        <v>444</v>
      </c>
      <c r="C4" s="3094" t="s">
        <v>445</v>
      </c>
      <c r="D4" s="3093">
        <v>3807.94</v>
      </c>
      <c r="E4" s="3093">
        <v>20666.91</v>
      </c>
      <c r="F4" s="3093">
        <v>19673</v>
      </c>
      <c r="G4" s="3093">
        <v>0</v>
      </c>
      <c r="H4" s="3093">
        <v>19673</v>
      </c>
      <c r="I4" s="3093">
        <v>0</v>
      </c>
      <c r="J4" s="3093">
        <v>993.91</v>
      </c>
      <c r="K4" s="3093">
        <v>0</v>
      </c>
      <c r="L4" s="3093">
        <v>0</v>
      </c>
      <c r="M4" s="3093">
        <v>993.91</v>
      </c>
    </row>
    <row r="5" ht="42.75" spans="1:13">
      <c r="A5" s="3094" t="s">
        <v>443</v>
      </c>
      <c r="B5" s="3094" t="s">
        <v>446</v>
      </c>
      <c r="C5" s="3094" t="s">
        <v>447</v>
      </c>
      <c r="D5" s="3093">
        <v>3667.86</v>
      </c>
      <c r="E5" s="3093">
        <v>19906.61</v>
      </c>
      <c r="F5" s="3093">
        <v>18792.87</v>
      </c>
      <c r="G5" s="3093">
        <v>18792.87</v>
      </c>
      <c r="H5" s="3093">
        <v>0</v>
      </c>
      <c r="I5" s="3093">
        <v>0</v>
      </c>
      <c r="J5" s="3093">
        <v>1113.74</v>
      </c>
      <c r="K5" s="3093">
        <v>55.59</v>
      </c>
      <c r="L5" s="3093">
        <v>0</v>
      </c>
      <c r="M5" s="3093">
        <v>1058.15</v>
      </c>
    </row>
    <row r="6" ht="42.75" spans="1:13">
      <c r="A6" s="3094" t="s">
        <v>443</v>
      </c>
      <c r="B6" s="3094" t="s">
        <v>446</v>
      </c>
      <c r="C6" s="3094" t="s">
        <v>448</v>
      </c>
      <c r="D6" s="3093">
        <v>2067.52</v>
      </c>
      <c r="E6" s="3093">
        <v>11221.06</v>
      </c>
      <c r="F6" s="3093">
        <v>9934.13</v>
      </c>
      <c r="G6" s="3093">
        <v>9934.13</v>
      </c>
      <c r="H6" s="3093">
        <v>0</v>
      </c>
      <c r="I6" s="3093">
        <v>0</v>
      </c>
      <c r="J6" s="3093">
        <v>1286.93</v>
      </c>
      <c r="K6" s="3093">
        <v>0</v>
      </c>
      <c r="L6" s="3093">
        <v>0</v>
      </c>
      <c r="M6" s="3093">
        <v>1286.93</v>
      </c>
    </row>
    <row r="7" ht="42.75" spans="1:13">
      <c r="A7" s="3094" t="s">
        <v>443</v>
      </c>
      <c r="B7" s="3094" t="s">
        <v>446</v>
      </c>
      <c r="C7" s="3094" t="s">
        <v>449</v>
      </c>
      <c r="D7" s="3093">
        <v>8.18</v>
      </c>
      <c r="E7" s="3093">
        <v>44.41</v>
      </c>
      <c r="F7" s="3093">
        <v>0</v>
      </c>
      <c r="G7" s="3093">
        <v>0</v>
      </c>
      <c r="H7" s="3093">
        <v>0</v>
      </c>
      <c r="I7" s="3093">
        <v>0</v>
      </c>
      <c r="J7" s="3093">
        <v>44.41</v>
      </c>
      <c r="K7" s="3093">
        <v>44.41</v>
      </c>
      <c r="L7" s="3093">
        <v>0</v>
      </c>
      <c r="M7" s="3093">
        <v>0</v>
      </c>
    </row>
    <row r="8" ht="42.75" spans="1:13">
      <c r="A8" s="3094" t="s">
        <v>443</v>
      </c>
      <c r="B8" s="3094" t="s">
        <v>446</v>
      </c>
      <c r="C8" s="3094" t="s">
        <v>439</v>
      </c>
      <c r="D8" s="3093">
        <v>2455.53</v>
      </c>
      <c r="E8" s="3093">
        <v>13326.96</v>
      </c>
      <c r="F8" s="3093">
        <v>9231.05</v>
      </c>
      <c r="G8" s="3093">
        <v>0</v>
      </c>
      <c r="H8" s="3093">
        <v>0</v>
      </c>
      <c r="I8" s="3093">
        <v>9231.05</v>
      </c>
      <c r="J8" s="3093">
        <v>4095.91</v>
      </c>
      <c r="K8" s="3093">
        <v>0</v>
      </c>
      <c r="L8" s="3093">
        <v>3320.79</v>
      </c>
      <c r="M8" s="3093">
        <v>775.12</v>
      </c>
    </row>
    <row r="9" ht="27" customHeight="1" spans="1:13">
      <c r="A9" s="3093" t="s">
        <v>450</v>
      </c>
      <c r="B9" s="3093"/>
      <c r="C9" s="3093"/>
      <c r="D9" s="3093">
        <v>12007.03</v>
      </c>
      <c r="E9" s="3093">
        <v>65165.95</v>
      </c>
      <c r="F9" s="3093">
        <v>57631.05</v>
      </c>
      <c r="G9" s="3093">
        <v>28727</v>
      </c>
      <c r="H9" s="3093">
        <v>19673</v>
      </c>
      <c r="I9" s="3093">
        <v>9231.05</v>
      </c>
      <c r="J9" s="3093">
        <v>7534.9</v>
      </c>
      <c r="K9" s="3093">
        <v>100</v>
      </c>
      <c r="L9" s="3093">
        <v>3320.79</v>
      </c>
      <c r="M9" s="309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J42" sqref="J42"/>
    </sheetView>
  </sheetViews>
  <sheetFormatPr defaultColWidth="13.775" defaultRowHeight="12.75"/>
  <cols>
    <col min="1" max="1" width="20.8833333333333" style="2979" customWidth="1"/>
    <col min="2" max="2" width="16.775" style="2902" customWidth="1"/>
    <col min="3" max="3" width="18.2166666666667" style="2903" customWidth="1"/>
    <col min="4" max="4" width="34.1083333333333" style="2980" customWidth="1"/>
    <col min="5" max="5" width="17.6666666666667" style="2980" customWidth="1"/>
    <col min="6" max="6" width="15.4416666666667" style="2981" customWidth="1"/>
    <col min="7" max="8" width="9.10833333333333" style="2982" customWidth="1"/>
    <col min="9" max="9" width="15" style="2903" customWidth="1"/>
    <col min="10" max="14" width="8.88333333333333" style="2903" customWidth="1"/>
    <col min="15" max="16" width="12.3333333333333" style="2903" customWidth="1"/>
    <col min="17" max="17" width="8.66666666666667" style="2903" customWidth="1"/>
    <col min="18" max="18" width="12.4416666666667" style="2903" customWidth="1"/>
    <col min="19" max="19" width="8.44166666666667" style="2903" customWidth="1"/>
    <col min="20" max="21" width="10.8833333333333" style="2903" customWidth="1"/>
    <col min="22" max="23" width="12.4416666666667" style="2903" customWidth="1"/>
    <col min="24" max="24" width="12.1083333333333" style="2903" customWidth="1"/>
    <col min="25" max="25" width="7.44166666666667" style="2903" customWidth="1"/>
    <col min="26" max="26" width="6.33333333333333" style="2903" customWidth="1"/>
    <col min="27" max="32" width="6.775" style="2903" customWidth="1"/>
    <col min="33" max="33" width="6.44166666666667" style="2903" customWidth="1"/>
    <col min="34" max="36" width="7.21666666666667" style="2903" customWidth="1"/>
    <col min="37" max="41" width="8" style="2903" customWidth="1"/>
    <col min="42" max="16384" width="13.775" style="2902"/>
  </cols>
  <sheetData>
    <row r="1" ht="19.5" spans="1:5">
      <c r="A1" s="2983" t="s">
        <v>451</v>
      </c>
      <c r="B1" s="2266"/>
      <c r="D1" s="2981"/>
      <c r="E1" s="2981"/>
    </row>
    <row r="2" s="2906" customFormat="1" ht="15.75" spans="1:41">
      <c r="A2" s="2984" t="s">
        <v>452</v>
      </c>
      <c r="B2" s="2985">
        <f>项目基本情况!D2</f>
        <v>44489</v>
      </c>
      <c r="C2" s="1080"/>
      <c r="D2" s="2986" t="s">
        <v>453</v>
      </c>
      <c r="E2" s="2987"/>
      <c r="F2" s="2988"/>
      <c r="G2" s="2989"/>
      <c r="H2" s="2989"/>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6" customFormat="1" ht="15" customHeight="1" spans="1:41">
      <c r="A3" s="2990" t="s">
        <v>454</v>
      </c>
      <c r="B3" s="2991" t="s">
        <v>455</v>
      </c>
      <c r="C3" s="1080"/>
      <c r="D3" s="2992"/>
      <c r="E3" s="2993" t="s">
        <v>456</v>
      </c>
      <c r="F3" s="2988"/>
      <c r="G3" s="2989"/>
      <c r="H3" s="2989"/>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6" customFormat="1" ht="15" spans="1:41">
      <c r="A4" s="2994" t="s">
        <v>457</v>
      </c>
      <c r="B4" s="2991" t="s">
        <v>458</v>
      </c>
      <c r="C4" s="1080"/>
      <c r="D4" s="2992"/>
      <c r="E4" s="2993"/>
      <c r="F4" s="2988"/>
      <c r="G4" s="2989"/>
      <c r="H4" s="2989"/>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6" customFormat="1" ht="15" spans="1:41">
      <c r="A5" s="2990" t="s">
        <v>459</v>
      </c>
      <c r="B5" s="2995">
        <f>项目基本情况!C12</f>
        <v>134.71</v>
      </c>
      <c r="C5" s="1080"/>
      <c r="D5" s="2996" t="s">
        <v>460</v>
      </c>
      <c r="E5" s="2997"/>
      <c r="F5" s="2988"/>
      <c r="G5" s="2989"/>
      <c r="H5" s="2989"/>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6" customFormat="1" ht="15" spans="1:41">
      <c r="A6" s="2994" t="s">
        <v>461</v>
      </c>
      <c r="B6" s="2998">
        <f>项目基本情况!C13</f>
        <v>0</v>
      </c>
      <c r="C6" s="1080"/>
      <c r="D6" s="2996" t="s">
        <v>462</v>
      </c>
      <c r="E6" s="2997"/>
      <c r="F6" s="2988"/>
      <c r="G6" s="2989"/>
      <c r="H6" s="2989"/>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9"/>
      <c r="D7" s="3000"/>
      <c r="E7" s="3000"/>
      <c r="F7" s="2989"/>
      <c r="G7" s="2989"/>
      <c r="H7" s="2989"/>
    </row>
    <row r="8" s="1080" customFormat="1" ht="15" hidden="1" spans="1:8">
      <c r="A8" s="2999"/>
      <c r="D8" s="3000"/>
      <c r="E8" s="3000"/>
      <c r="F8" s="2989"/>
      <c r="G8" s="2989"/>
      <c r="H8" s="2989"/>
    </row>
    <row r="9" s="1080" customFormat="1" ht="15" hidden="1" spans="3:8">
      <c r="C9" s="3001"/>
      <c r="D9" s="2989"/>
      <c r="E9" s="2989"/>
      <c r="F9" s="2989"/>
      <c r="G9" s="2989"/>
      <c r="H9" s="2989"/>
    </row>
    <row r="10" s="2906" customFormat="1" ht="15" spans="1:41">
      <c r="A10" s="3002" t="s">
        <v>202</v>
      </c>
      <c r="B10" s="3003" t="s">
        <v>463</v>
      </c>
      <c r="C10" s="1080"/>
      <c r="D10" s="2984" t="s">
        <v>464</v>
      </c>
      <c r="E10" s="3004" t="s">
        <v>465</v>
      </c>
      <c r="F10" s="3005"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7" customFormat="1" ht="14.25" spans="1:41">
      <c r="A11" s="3006" t="s">
        <v>467</v>
      </c>
      <c r="B11" s="3007">
        <v>70</v>
      </c>
      <c r="C11" s="1080"/>
      <c r="D11" s="3008" t="s">
        <v>468</v>
      </c>
      <c r="E11" s="3009">
        <v>160</v>
      </c>
      <c r="F11" s="3010" t="s">
        <v>469</v>
      </c>
      <c r="G11" s="1080"/>
      <c r="H11" s="1080"/>
      <c r="I11" s="1080"/>
      <c r="J11" s="1080"/>
      <c r="K11" s="1080"/>
      <c r="L11" s="2908"/>
      <c r="M11" s="2908"/>
      <c r="N11" s="2908"/>
      <c r="O11" s="2908"/>
      <c r="P11" s="2908"/>
      <c r="Q11" s="2908"/>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6" customFormat="1" ht="15" spans="1:41">
      <c r="A12" s="3011" t="s">
        <v>470</v>
      </c>
      <c r="B12" s="3012"/>
      <c r="C12" s="1080"/>
      <c r="D12" s="3011" t="s">
        <v>471</v>
      </c>
      <c r="E12" s="3013"/>
      <c r="F12" s="2500"/>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6" customFormat="1" ht="15" spans="1:41">
      <c r="A13" s="3014" t="s">
        <v>472</v>
      </c>
      <c r="B13" s="3015">
        <f>IF(B12="",B11-(YEAR($B$2)-B27+B24),ROUNDDOWN(MIN((B12-$B$2)/365,B11),2))</f>
        <v>52</v>
      </c>
      <c r="C13" s="3016"/>
      <c r="D13" s="3017" t="s">
        <v>473</v>
      </c>
      <c r="E13" s="3018">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6" customFormat="1" ht="14.25" spans="1:41">
      <c r="A14" s="3011" t="s">
        <v>475</v>
      </c>
      <c r="B14" s="3019">
        <f>IF(ISERROR(ROUND(POWER(1+B15,B11-B13)*(POWER(1+B15,B13)-1)/(POWER(1+B15,B11)-1),3)),0,ROUND(POWER(1+B15,B11-B13)*(POWER(1+B15,B13)-1)/(POWER(1+B15,B11)-1),3))</f>
        <v>0.942</v>
      </c>
      <c r="C14" s="1080"/>
      <c r="D14" s="3020" t="s">
        <v>476</v>
      </c>
      <c r="E14" s="3021">
        <v>200</v>
      </c>
      <c r="F14" s="2500"/>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6" customFormat="1" ht="14.25" spans="1:41">
      <c r="A15" s="3011" t="s">
        <v>477</v>
      </c>
      <c r="B15" s="3022">
        <v>0.045</v>
      </c>
      <c r="C15" s="2444" t="s">
        <v>478</v>
      </c>
      <c r="D15" s="3011" t="s">
        <v>479</v>
      </c>
      <c r="E15" s="3023">
        <f>E14-E16</f>
        <v>200</v>
      </c>
      <c r="F15" s="2500"/>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6" customFormat="1" ht="15" spans="1:41">
      <c r="A16" s="3011" t="s">
        <v>480</v>
      </c>
      <c r="B16" s="3022">
        <v>0.05</v>
      </c>
      <c r="C16" s="2444" t="s">
        <v>481</v>
      </c>
      <c r="D16" s="3024" t="s">
        <v>482</v>
      </c>
      <c r="E16" s="3025">
        <v>0</v>
      </c>
      <c r="F16" s="923"/>
      <c r="G16" s="1080"/>
      <c r="H16" s="1080"/>
      <c r="I16" s="1080"/>
      <c r="J16" s="1080"/>
      <c r="K16" s="1080">
        <v>2005</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6" customFormat="1" ht="15" spans="1:41">
      <c r="A17" s="3024" t="s">
        <v>483</v>
      </c>
      <c r="B17" s="3026">
        <v>0.07</v>
      </c>
      <c r="C17" s="2444" t="s">
        <v>484</v>
      </c>
      <c r="D17" s="3002" t="s">
        <v>485</v>
      </c>
      <c r="E17" s="3027">
        <v>3000</v>
      </c>
      <c r="F17" s="2266"/>
      <c r="G17" s="1080"/>
      <c r="H17" s="1080"/>
      <c r="I17" s="1080"/>
      <c r="J17" s="1080"/>
      <c r="K17" s="1080">
        <v>2012</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6" customFormat="1" ht="15" spans="1:41">
      <c r="A18" s="3028" t="s">
        <v>486</v>
      </c>
      <c r="B18" s="3029"/>
      <c r="C18" s="1080"/>
      <c r="D18" s="3030" t="str">
        <f>IF(B26=0,"建安总额","在建建安")</f>
        <v>建安总额</v>
      </c>
      <c r="E18" s="3031">
        <f>ROUND(B5*E17*IF(B26=0,1,E20),0)</f>
        <v>404130</v>
      </c>
      <c r="F18" s="3032">
        <f>ROUND(E5*E17*IF(B26=0,1,E20),0)</f>
        <v>0</v>
      </c>
      <c r="G18" s="1080"/>
      <c r="H18" s="1080"/>
      <c r="I18" s="1080"/>
      <c r="J18" s="1080"/>
      <c r="K18" s="1080">
        <f>K17-K16</f>
        <v>7</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6" customFormat="1" ht="15" spans="1:41">
      <c r="A19" s="2500"/>
      <c r="B19" s="2500"/>
      <c r="C19" s="1080"/>
      <c r="D19" s="3030" t="str">
        <f>IF(B26=0,"——","续建建安")</f>
        <v>——</v>
      </c>
      <c r="E19" s="3031" t="str">
        <f>IF(B26=0,"——",ROUND(B5*E17*(1-E20),0))</f>
        <v>——</v>
      </c>
      <c r="F19" s="3032"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6" customFormat="1" ht="15" spans="1:41">
      <c r="A20" s="3033" t="s">
        <v>487</v>
      </c>
      <c r="B20" s="2500"/>
      <c r="C20" s="1080"/>
      <c r="D20" s="3034" t="str">
        <f>IF(B26=0,"成新率","工程进度")</f>
        <v>成新率</v>
      </c>
      <c r="E20" s="3035">
        <v>0.88</v>
      </c>
      <c r="F20" s="2266"/>
      <c r="G20" s="1080"/>
      <c r="H20" s="1080"/>
      <c r="I20" s="1080"/>
      <c r="J20" s="1080"/>
      <c r="K20" s="1080">
        <f>K19-K18</f>
        <v>53</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6" customFormat="1" ht="14.25" spans="1:41">
      <c r="A21" s="3036" t="s">
        <v>488</v>
      </c>
      <c r="B21" s="3037">
        <v>0</v>
      </c>
      <c r="C21" s="1080"/>
      <c r="D21" s="3011" t="s">
        <v>489</v>
      </c>
      <c r="E21" s="3038">
        <v>0.03</v>
      </c>
      <c r="F21" s="3039" t="s">
        <v>490</v>
      </c>
      <c r="G21" s="1080"/>
      <c r="H21" s="1080"/>
      <c r="I21" s="1080"/>
      <c r="J21" s="1080"/>
      <c r="K21" s="1080">
        <f>K20/K19</f>
        <v>0.883333333333333</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6" customFormat="1" ht="14.25" spans="1:41">
      <c r="A22" s="3040" t="s">
        <v>491</v>
      </c>
      <c r="B22" s="3041">
        <v>2</v>
      </c>
      <c r="C22" s="1080"/>
      <c r="D22" s="3011" t="s">
        <v>492</v>
      </c>
      <c r="E22" s="3042">
        <v>0.05</v>
      </c>
      <c r="F22" s="3039"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6" customFormat="1" ht="14.25" spans="1:41">
      <c r="A23" s="3043" t="s">
        <v>494</v>
      </c>
      <c r="B23" s="3044">
        <v>2</v>
      </c>
      <c r="C23" s="1080"/>
      <c r="D23" s="3011" t="s">
        <v>495</v>
      </c>
      <c r="E23" s="3013">
        <v>200</v>
      </c>
      <c r="F23" s="3039"/>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6" customFormat="1" ht="15" spans="1:41">
      <c r="A24" s="3045" t="s">
        <v>496</v>
      </c>
      <c r="B24" s="3046">
        <f>B21+B22</f>
        <v>2</v>
      </c>
      <c r="C24" s="1080"/>
      <c r="D24" s="3024" t="s">
        <v>497</v>
      </c>
      <c r="E24" s="3047">
        <v>0.015</v>
      </c>
      <c r="F24" s="3039"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8" t="s">
        <v>499</v>
      </c>
      <c r="B25" s="3049">
        <f>B21+B23</f>
        <v>2</v>
      </c>
      <c r="C25" s="1080"/>
      <c r="D25" s="3008" t="s">
        <v>500</v>
      </c>
      <c r="E25" s="3038">
        <v>0.01</v>
      </c>
      <c r="F25" s="3039" t="s">
        <v>501</v>
      </c>
      <c r="I25" s="2982"/>
    </row>
    <row r="26" ht="15" spans="1:14">
      <c r="A26" s="3045" t="s">
        <v>502</v>
      </c>
      <c r="B26" s="3050">
        <f>B22-B23</f>
        <v>0</v>
      </c>
      <c r="D26" s="3011" t="s">
        <v>503</v>
      </c>
      <c r="E26" s="3042">
        <v>0.01</v>
      </c>
      <c r="F26" s="3039" t="s">
        <v>501</v>
      </c>
      <c r="G26" s="2989"/>
      <c r="H26" s="2989"/>
      <c r="I26" s="1080"/>
      <c r="J26" s="1080"/>
      <c r="K26" s="1080"/>
      <c r="L26" s="1080"/>
      <c r="M26" s="1080"/>
      <c r="N26" s="1080"/>
    </row>
    <row r="27" ht="15" spans="1:14">
      <c r="A27" s="3051" t="s">
        <v>504</v>
      </c>
      <c r="B27" s="3052">
        <v>2005</v>
      </c>
      <c r="C27" s="1080"/>
      <c r="D27" s="3053" t="s">
        <v>505</v>
      </c>
      <c r="E27" s="3054">
        <f ca="1">IF(D27="利息：取LPR",存贷款利率!G1,存贷款利率!G1+F27)</f>
        <v>0.0435</v>
      </c>
      <c r="F27" s="3055">
        <v>0.005</v>
      </c>
      <c r="G27" s="2989"/>
      <c r="H27" s="2989"/>
      <c r="K27" s="1080"/>
      <c r="N27" s="1080"/>
    </row>
    <row r="28" ht="15" spans="1:14">
      <c r="A28" s="2266"/>
      <c r="B28" s="2266"/>
      <c r="D28" s="3017" t="s">
        <v>506</v>
      </c>
      <c r="E28" s="3056">
        <v>0.1</v>
      </c>
      <c r="G28" s="2989"/>
      <c r="H28" s="2989"/>
      <c r="K28" s="1080"/>
      <c r="N28" s="1080"/>
    </row>
    <row r="29" ht="14.25" spans="1:14">
      <c r="A29" s="3057" t="s">
        <v>507</v>
      </c>
      <c r="B29" s="3058" t="s">
        <v>508</v>
      </c>
      <c r="D29" s="3020" t="s">
        <v>509</v>
      </c>
      <c r="E29" s="3059">
        <f>E30+E31</f>
        <v>0.056</v>
      </c>
      <c r="F29" s="923"/>
      <c r="G29" s="2989"/>
      <c r="H29" s="2989"/>
      <c r="K29" s="1080"/>
      <c r="N29" s="1080"/>
    </row>
    <row r="30" ht="14.25" spans="1:14">
      <c r="A30" s="3011" t="str">
        <f>IF(B29="租赁期内按合同租金","合同租金","市场租金")</f>
        <v>市场租金</v>
      </c>
      <c r="B30" s="3060">
        <v>50</v>
      </c>
      <c r="D30" s="3024" t="s">
        <v>510</v>
      </c>
      <c r="E30" s="3061">
        <v>0.05</v>
      </c>
      <c r="F30" s="3062">
        <f>IF(B2&lt;DATE(2016,5,1),0,E30)</f>
        <v>0.05</v>
      </c>
      <c r="G30" s="2989"/>
      <c r="H30" s="2989"/>
      <c r="K30" s="1080"/>
      <c r="N30" s="1080"/>
    </row>
    <row r="31" ht="14.25" spans="1:14">
      <c r="A31" s="3011" t="s">
        <v>511</v>
      </c>
      <c r="B31" s="3063">
        <f ca="1">存贷款利率!I1</f>
        <v>0.015</v>
      </c>
      <c r="D31" s="3024" t="s">
        <v>512</v>
      </c>
      <c r="E31" s="3064">
        <f>E30*(E32+E33+E34)+E35</f>
        <v>0.006</v>
      </c>
      <c r="F31" s="923"/>
      <c r="G31" s="2989"/>
      <c r="H31" s="2989"/>
      <c r="K31" s="1080"/>
      <c r="N31" s="1080"/>
    </row>
    <row r="32" ht="14.25" spans="1:14">
      <c r="A32" s="3011" t="s">
        <v>513</v>
      </c>
      <c r="B32" s="3022">
        <v>0.02</v>
      </c>
      <c r="D32" s="3024" t="s">
        <v>514</v>
      </c>
      <c r="E32" s="3065">
        <v>0.07</v>
      </c>
      <c r="F32" s="3039" t="s">
        <v>515</v>
      </c>
      <c r="G32" s="2989"/>
      <c r="H32" s="2989"/>
      <c r="K32" s="1080"/>
      <c r="L32" s="1080"/>
      <c r="M32" s="1080"/>
      <c r="N32" s="1080"/>
    </row>
    <row r="33" ht="14.25" spans="1:14">
      <c r="A33" s="3011" t="s">
        <v>516</v>
      </c>
      <c r="B33" s="3022">
        <v>0.1</v>
      </c>
      <c r="D33" s="3024" t="s">
        <v>517</v>
      </c>
      <c r="E33" s="3061">
        <v>0.03</v>
      </c>
      <c r="F33" s="3066" t="s">
        <v>518</v>
      </c>
      <c r="G33" s="2989"/>
      <c r="H33" s="2989"/>
      <c r="K33" s="1080"/>
      <c r="L33" s="1080"/>
      <c r="M33" s="1080"/>
      <c r="N33" s="1080"/>
    </row>
    <row r="34" s="2903" customFormat="1" ht="14.25" spans="1:14">
      <c r="A34" s="3011" t="s">
        <v>519</v>
      </c>
      <c r="B34" s="3067">
        <f>收益法!J54</f>
        <v>52</v>
      </c>
      <c r="D34" s="3024" t="s">
        <v>520</v>
      </c>
      <c r="E34" s="3061">
        <v>0.02</v>
      </c>
      <c r="F34" s="3066" t="s">
        <v>521</v>
      </c>
      <c r="G34" s="2989"/>
      <c r="H34" s="2989"/>
      <c r="I34" s="1080"/>
      <c r="J34" s="1080"/>
      <c r="K34" s="1080"/>
      <c r="L34" s="1080"/>
      <c r="M34" s="1080"/>
      <c r="N34" s="1080"/>
    </row>
    <row r="35" s="2903" customFormat="1" ht="15" spans="1:14">
      <c r="A35" s="3024" t="str">
        <f>IF(B29="租赁期内按合同租金","剩余租赁期","——")</f>
        <v>——</v>
      </c>
      <c r="B35" s="3068"/>
      <c r="D35" s="3017" t="s">
        <v>522</v>
      </c>
      <c r="E35" s="3069"/>
      <c r="F35" s="3010" t="s">
        <v>469</v>
      </c>
      <c r="G35" s="2989"/>
      <c r="H35" s="2989"/>
      <c r="I35" s="1080"/>
      <c r="J35" s="1080"/>
      <c r="K35" s="1080"/>
      <c r="L35" s="1080"/>
      <c r="M35" s="1080"/>
      <c r="N35" s="1080"/>
    </row>
    <row r="36" s="2903" customFormat="1" ht="14.25" spans="1:14">
      <c r="A36" s="3070" t="s">
        <v>523</v>
      </c>
      <c r="B36" s="3071"/>
      <c r="D36" s="3072" t="s">
        <v>524</v>
      </c>
      <c r="E36" s="3073">
        <v>0.03</v>
      </c>
      <c r="F36" s="2500" t="s">
        <v>525</v>
      </c>
      <c r="G36" s="2989"/>
      <c r="H36" s="2989"/>
      <c r="I36" s="1080"/>
      <c r="J36" s="1080"/>
      <c r="K36" s="1080"/>
      <c r="L36" s="1080"/>
      <c r="M36" s="1080"/>
      <c r="N36" s="1080"/>
    </row>
    <row r="37" s="2903" customFormat="1" ht="15" spans="1:14">
      <c r="A37" s="3020" t="str">
        <f>IF(B29="租赁期内按合同租金","租金","——")</f>
        <v>——</v>
      </c>
      <c r="B37" s="3074"/>
      <c r="D37" s="3024" t="s">
        <v>526</v>
      </c>
      <c r="E37" s="3061">
        <v>0.0005</v>
      </c>
      <c r="F37" s="2500" t="s">
        <v>527</v>
      </c>
      <c r="G37" s="2989"/>
      <c r="H37" s="2989"/>
      <c r="I37" s="1080"/>
      <c r="J37" s="1080"/>
      <c r="K37" s="1080"/>
      <c r="L37" s="1080"/>
      <c r="M37" s="1080"/>
      <c r="N37" s="1080"/>
    </row>
    <row r="38" s="2903" customFormat="1" ht="14.25" spans="1:14">
      <c r="A38" s="3011" t="str">
        <f>IF(B29="租赁期内按合同租金","年租金增长率","——")</f>
        <v>——</v>
      </c>
      <c r="B38" s="3022"/>
      <c r="D38" s="3075" t="s">
        <v>528</v>
      </c>
      <c r="E38" s="3076">
        <v>0.012</v>
      </c>
      <c r="F38" s="2500"/>
      <c r="G38" s="2982"/>
      <c r="H38" s="2982"/>
      <c r="I38" s="2989"/>
      <c r="J38" s="1080"/>
      <c r="K38" s="1080"/>
      <c r="L38" s="1080"/>
      <c r="M38" s="1080"/>
      <c r="N38" s="1080"/>
    </row>
    <row r="39" s="2903" customFormat="1" ht="15" spans="1:14">
      <c r="A39" s="3011" t="str">
        <f>IF(B29="租赁期内按合同租金","空置率","——")</f>
        <v>——</v>
      </c>
      <c r="B39" s="3022"/>
      <c r="D39" s="3017" t="s">
        <v>529</v>
      </c>
      <c r="E39" s="3077">
        <v>0.12</v>
      </c>
      <c r="F39" s="2500"/>
      <c r="G39" s="2989"/>
      <c r="H39" s="2989"/>
      <c r="I39" s="1080"/>
      <c r="J39" s="1080"/>
      <c r="K39" s="1080"/>
      <c r="L39" s="1080"/>
      <c r="M39" s="1080"/>
      <c r="N39" s="1080"/>
    </row>
    <row r="40" ht="14.25" spans="1:14">
      <c r="A40" s="3011" t="str">
        <f>IF(B29="租赁期内按合同租金","成新率","——")</f>
        <v>——</v>
      </c>
      <c r="B40" s="3022"/>
      <c r="D40" s="3075" t="s">
        <v>530</v>
      </c>
      <c r="E40" s="3078">
        <f>SUMIF(D42:D51,E41,E42:E51)</f>
        <v>0</v>
      </c>
      <c r="F40" s="2500"/>
      <c r="G40" s="2989"/>
      <c r="H40" s="2989"/>
      <c r="I40" s="1080"/>
      <c r="J40" s="1080"/>
      <c r="K40" s="1080"/>
      <c r="L40" s="1080"/>
      <c r="M40" s="1080"/>
      <c r="N40" s="1080"/>
    </row>
    <row r="41" ht="15" spans="1:14">
      <c r="A41" s="3024" t="str">
        <f>IF(B29="租赁期内按合同租金","租赁期外收益期","——")</f>
        <v>——</v>
      </c>
      <c r="B41" s="3079" t="str">
        <f>IF(B29="租赁期内按合同租金",B34-B35,"——")</f>
        <v>——</v>
      </c>
      <c r="D41" s="3011" t="s">
        <v>531</v>
      </c>
      <c r="E41" s="3080"/>
      <c r="F41" s="2500" t="s">
        <v>532</v>
      </c>
      <c r="G41" s="1082" t="s">
        <v>533</v>
      </c>
      <c r="H41" s="2989"/>
      <c r="I41" s="1080"/>
      <c r="J41" s="1080"/>
      <c r="K41" s="1080"/>
      <c r="L41" s="1080"/>
      <c r="M41" s="1080"/>
      <c r="N41" s="1080"/>
    </row>
    <row r="42" ht="14.25" spans="1:14">
      <c r="A42" s="3008" t="s">
        <v>534</v>
      </c>
      <c r="B42" s="3081"/>
      <c r="D42" s="3082" t="s">
        <v>535</v>
      </c>
      <c r="E42" s="3083"/>
      <c r="F42" s="2500">
        <v>30</v>
      </c>
      <c r="G42" s="2989"/>
      <c r="H42" s="2989"/>
      <c r="I42" s="1080"/>
      <c r="J42" s="1080"/>
      <c r="K42" s="1080"/>
      <c r="L42" s="1080"/>
      <c r="M42" s="1080"/>
      <c r="N42" s="1080"/>
    </row>
    <row r="43" ht="14.25" spans="1:14">
      <c r="A43" s="3011" t="s">
        <v>536</v>
      </c>
      <c r="B43" s="3084">
        <v>12</v>
      </c>
      <c r="D43" s="3082" t="s">
        <v>537</v>
      </c>
      <c r="E43" s="3083"/>
      <c r="F43" s="2500">
        <v>24</v>
      </c>
      <c r="G43" s="2989"/>
      <c r="H43" s="2989"/>
      <c r="I43" s="1080"/>
      <c r="J43" s="1080"/>
      <c r="K43" s="1080"/>
      <c r="L43" s="1080"/>
      <c r="M43" s="1080"/>
      <c r="N43" s="1080"/>
    </row>
    <row r="44" ht="14.25" spans="1:14">
      <c r="A44" s="3011" t="s">
        <v>538</v>
      </c>
      <c r="B44" s="3083"/>
      <c r="D44" s="3082" t="s">
        <v>539</v>
      </c>
      <c r="E44" s="3083"/>
      <c r="F44" s="2500">
        <v>18</v>
      </c>
      <c r="G44" s="2903"/>
      <c r="H44" s="2903"/>
      <c r="I44" s="2989"/>
      <c r="J44" s="1080"/>
      <c r="K44" s="1080"/>
      <c r="L44" s="1080"/>
      <c r="M44" s="1080"/>
      <c r="N44" s="1080"/>
    </row>
    <row r="45" ht="14.25" spans="1:14">
      <c r="A45" s="3011" t="s">
        <v>540</v>
      </c>
      <c r="B45" s="3085">
        <v>0.01</v>
      </c>
      <c r="C45" s="2444" t="s">
        <v>541</v>
      </c>
      <c r="D45" s="3082" t="s">
        <v>542</v>
      </c>
      <c r="E45" s="3083"/>
      <c r="F45" s="2500">
        <v>12</v>
      </c>
      <c r="G45" s="2903"/>
      <c r="H45" s="2903"/>
      <c r="M45" s="1080"/>
      <c r="N45" s="1080"/>
    </row>
    <row r="46" ht="14.25" spans="1:14">
      <c r="A46" s="3011" t="s">
        <v>543</v>
      </c>
      <c r="B46" s="3086">
        <v>0.001</v>
      </c>
      <c r="C46" s="2444" t="s">
        <v>544</v>
      </c>
      <c r="D46" s="3082" t="s">
        <v>264</v>
      </c>
      <c r="E46" s="3083"/>
      <c r="F46" s="2500">
        <v>3</v>
      </c>
      <c r="G46" s="2903"/>
      <c r="H46" s="2903"/>
      <c r="M46" s="1080"/>
      <c r="N46" s="1080"/>
    </row>
    <row r="47" ht="15" spans="1:14">
      <c r="A47" s="3017" t="s">
        <v>545</v>
      </c>
      <c r="B47" s="3087">
        <v>0.01</v>
      </c>
      <c r="C47" s="2444" t="s">
        <v>546</v>
      </c>
      <c r="D47" s="3082" t="s">
        <v>547</v>
      </c>
      <c r="E47" s="3083"/>
      <c r="F47" s="2500">
        <v>1.5</v>
      </c>
      <c r="G47" s="2903"/>
      <c r="H47" s="2903"/>
      <c r="M47" s="1080"/>
      <c r="N47" s="1080"/>
    </row>
    <row r="48" ht="14.25" spans="1:14">
      <c r="A48" s="2903"/>
      <c r="B48" s="2903"/>
      <c r="D48" s="3082" t="s">
        <v>548</v>
      </c>
      <c r="E48" s="3083"/>
      <c r="F48" s="2500"/>
      <c r="G48" s="2903"/>
      <c r="H48" s="2903"/>
      <c r="M48" s="1080"/>
      <c r="N48" s="1080"/>
    </row>
    <row r="49" ht="14.25" spans="1:14">
      <c r="A49" s="2903"/>
      <c r="B49" s="2903"/>
      <c r="D49" s="3082" t="s">
        <v>549</v>
      </c>
      <c r="E49" s="3083"/>
      <c r="F49" s="2500"/>
      <c r="G49" s="2903"/>
      <c r="H49" s="2903"/>
      <c r="M49" s="1080"/>
      <c r="N49" s="1080"/>
    </row>
    <row r="50" ht="14.25" spans="1:14">
      <c r="A50" s="2903"/>
      <c r="B50" s="2903"/>
      <c r="D50" s="3082" t="s">
        <v>550</v>
      </c>
      <c r="E50" s="3083"/>
      <c r="F50" s="2500"/>
      <c r="G50" s="2903"/>
      <c r="H50" s="2903"/>
      <c r="M50" s="1080"/>
      <c r="N50" s="1080"/>
    </row>
    <row r="51" s="2266" customFormat="1" ht="15" spans="1:41">
      <c r="A51" s="2903"/>
      <c r="B51" s="2903"/>
      <c r="C51" s="2903"/>
      <c r="D51" s="3088" t="s">
        <v>551</v>
      </c>
      <c r="E51" s="3089"/>
      <c r="F51" s="2500"/>
      <c r="G51" s="2903"/>
      <c r="H51" s="2903"/>
      <c r="I51" s="2903"/>
      <c r="J51" s="2903"/>
      <c r="K51" s="2903"/>
      <c r="L51" s="2903"/>
      <c r="M51" s="1080"/>
      <c r="N51" s="1080"/>
      <c r="O51" s="2903"/>
      <c r="P51" s="2903"/>
      <c r="Q51" s="2903"/>
      <c r="R51" s="2903"/>
      <c r="S51" s="2903"/>
      <c r="T51" s="2903"/>
      <c r="U51" s="2903"/>
      <c r="V51" s="2903"/>
      <c r="W51" s="2903"/>
      <c r="X51" s="2903"/>
      <c r="Y51" s="2903"/>
      <c r="Z51" s="2903"/>
      <c r="AA51" s="2903"/>
      <c r="AB51" s="2903"/>
      <c r="AC51" s="2903"/>
      <c r="AD51" s="2903"/>
      <c r="AE51" s="2903"/>
      <c r="AF51" s="2903"/>
      <c r="AG51" s="2903"/>
      <c r="AH51" s="2903"/>
      <c r="AI51" s="2903"/>
      <c r="AJ51" s="2903"/>
      <c r="AK51" s="2903"/>
      <c r="AL51" s="2903"/>
      <c r="AM51" s="2903"/>
      <c r="AN51" s="2903"/>
      <c r="AO51" s="2903"/>
    </row>
    <row r="52" s="2903" customFormat="1" ht="14.25" spans="4:14">
      <c r="D52" s="2989"/>
      <c r="E52" s="2989"/>
      <c r="F52" s="2989"/>
      <c r="G52" s="2989"/>
      <c r="H52" s="2989"/>
      <c r="I52" s="1080"/>
      <c r="J52" s="1080"/>
      <c r="K52" s="1080"/>
      <c r="L52" s="1080"/>
      <c r="M52" s="1080"/>
      <c r="N52" s="1080"/>
    </row>
    <row r="53" s="2903" customFormat="1" ht="14.25" spans="4:14">
      <c r="D53" s="2989"/>
      <c r="E53" s="2989"/>
      <c r="F53" s="2989"/>
      <c r="G53" s="2989"/>
      <c r="H53" s="2989"/>
      <c r="I53" s="1080"/>
      <c r="J53" s="1080"/>
      <c r="K53" s="1080"/>
      <c r="L53" s="1080"/>
      <c r="M53" s="1080"/>
      <c r="N53" s="1080"/>
    </row>
    <row r="54" s="2903" customFormat="1" ht="14.25" spans="4:14">
      <c r="D54" s="2989"/>
      <c r="E54" s="2989"/>
      <c r="F54" s="2989"/>
      <c r="G54" s="2989"/>
      <c r="H54" s="2989"/>
      <c r="I54" s="1080"/>
      <c r="J54" s="1080"/>
      <c r="K54" s="1080"/>
      <c r="L54" s="1080"/>
      <c r="M54" s="1080"/>
      <c r="N54" s="1080"/>
    </row>
    <row r="55" s="2903" customFormat="1" ht="14.25" spans="4:14">
      <c r="D55" s="2989"/>
      <c r="E55" s="2989"/>
      <c r="F55" s="2989"/>
      <c r="G55" s="2989"/>
      <c r="H55" s="2989"/>
      <c r="I55" s="1080"/>
      <c r="J55" s="1080"/>
      <c r="K55" s="1080"/>
      <c r="L55" s="1080"/>
      <c r="M55" s="1080"/>
      <c r="N55" s="1080"/>
    </row>
    <row r="56" s="2903" customFormat="1" ht="14.25" spans="4:14">
      <c r="D56" s="2989"/>
      <c r="E56" s="2989"/>
      <c r="F56" s="2989"/>
      <c r="G56" s="2989"/>
      <c r="H56" s="2989"/>
      <c r="I56" s="1080"/>
      <c r="J56" s="1080"/>
      <c r="K56" s="1080"/>
      <c r="L56" s="1080"/>
      <c r="M56" s="1080"/>
      <c r="N56" s="1080"/>
    </row>
    <row r="57" s="2903" customFormat="1" ht="14.25" spans="4:14">
      <c r="D57" s="2989"/>
      <c r="E57" s="2989"/>
      <c r="F57" s="2989"/>
      <c r="G57" s="2989"/>
      <c r="H57" s="2989"/>
      <c r="I57" s="1080"/>
      <c r="J57" s="1080"/>
      <c r="K57" s="1080"/>
      <c r="L57" s="1080"/>
      <c r="M57" s="1080"/>
      <c r="N57" s="1080"/>
    </row>
    <row r="58" s="2903" customFormat="1" ht="14.25" spans="4:14">
      <c r="D58" s="2989"/>
      <c r="E58" s="2989"/>
      <c r="F58" s="2989"/>
      <c r="G58" s="2989"/>
      <c r="H58" s="2989"/>
      <c r="I58" s="1080"/>
      <c r="J58" s="1080"/>
      <c r="K58" s="1080"/>
      <c r="L58" s="1080"/>
      <c r="M58" s="1080"/>
      <c r="N58" s="1080"/>
    </row>
    <row r="59" s="2903" customFormat="1" ht="14.25" spans="4:14">
      <c r="D59" s="2989"/>
      <c r="E59" s="2989"/>
      <c r="F59" s="2989"/>
      <c r="G59" s="2989"/>
      <c r="H59" s="2989"/>
      <c r="I59" s="1080"/>
      <c r="J59" s="1080"/>
      <c r="K59" s="1080"/>
      <c r="L59" s="1080"/>
      <c r="M59" s="1241"/>
      <c r="N59" s="1080"/>
    </row>
    <row r="60" s="2903" customFormat="1" ht="14.25" spans="4:14">
      <c r="D60" s="2989"/>
      <c r="E60" s="2989"/>
      <c r="F60" s="2989"/>
      <c r="G60" s="2989"/>
      <c r="H60" s="2989"/>
      <c r="I60" s="1080"/>
      <c r="J60" s="1080"/>
      <c r="K60" s="1080"/>
      <c r="L60" s="1080"/>
      <c r="M60" s="1080"/>
      <c r="N60" s="1080"/>
    </row>
    <row r="61" s="2903" customFormat="1" ht="14.25" spans="4:14">
      <c r="D61" s="2989"/>
      <c r="E61" s="2989"/>
      <c r="F61" s="2989"/>
      <c r="G61" s="2989"/>
      <c r="H61" s="2989"/>
      <c r="I61" s="1080"/>
      <c r="J61" s="1080"/>
      <c r="K61" s="1080"/>
      <c r="L61" s="1080"/>
      <c r="M61" s="1080"/>
      <c r="N61" s="1080"/>
    </row>
    <row r="62" s="2903" customFormat="1" ht="14.25" spans="4:14">
      <c r="D62" s="2989"/>
      <c r="E62" s="2989"/>
      <c r="F62" s="2989"/>
      <c r="G62" s="2989"/>
      <c r="H62" s="2989"/>
      <c r="I62" s="1080"/>
      <c r="J62" s="1080"/>
      <c r="K62" s="1080"/>
      <c r="L62" s="1080"/>
      <c r="M62" s="1080"/>
      <c r="N62" s="1080"/>
    </row>
    <row r="63" s="2903" customFormat="1" ht="14.25" spans="4:14">
      <c r="D63" s="2989"/>
      <c r="E63" s="2989"/>
      <c r="F63" s="2989"/>
      <c r="G63" s="2989"/>
      <c r="H63" s="2989"/>
      <c r="I63" s="1080"/>
      <c r="J63" s="1080"/>
      <c r="K63" s="1080"/>
      <c r="L63" s="1080"/>
      <c r="M63" s="1080"/>
      <c r="N63" s="1080"/>
    </row>
    <row r="64" s="2903" customFormat="1" ht="14.25" spans="4:14">
      <c r="D64" s="2989"/>
      <c r="E64" s="2989"/>
      <c r="F64" s="2989"/>
      <c r="G64" s="2989"/>
      <c r="H64" s="2989"/>
      <c r="I64" s="1080"/>
      <c r="J64" s="1080"/>
      <c r="K64" s="1080"/>
      <c r="L64" s="1080"/>
      <c r="M64" s="1080"/>
      <c r="N64" s="1080"/>
    </row>
    <row r="65" s="2903" customFormat="1" ht="14.25" spans="4:14">
      <c r="D65" s="2989"/>
      <c r="E65" s="2989"/>
      <c r="F65" s="2989"/>
      <c r="G65" s="2989"/>
      <c r="H65" s="2989"/>
      <c r="I65" s="1080"/>
      <c r="J65" s="1080"/>
      <c r="K65" s="1080"/>
      <c r="L65" s="1080"/>
      <c r="M65" s="1080"/>
      <c r="N65" s="1080"/>
    </row>
    <row r="66" s="2903" customFormat="1" ht="14.25" spans="4:14">
      <c r="D66" s="2989"/>
      <c r="E66" s="2989"/>
      <c r="F66" s="2989"/>
      <c r="G66" s="2989"/>
      <c r="H66" s="2989"/>
      <c r="I66" s="1080"/>
      <c r="J66" s="1080"/>
      <c r="K66" s="1080"/>
      <c r="L66" s="1080"/>
      <c r="M66" s="1080"/>
      <c r="N66" s="1080"/>
    </row>
    <row r="67" s="2903" customFormat="1" ht="14.25" spans="1:14">
      <c r="A67" s="3090"/>
      <c r="D67" s="2989"/>
      <c r="E67" s="2989"/>
      <c r="F67" s="2989"/>
      <c r="G67" s="2989"/>
      <c r="H67" s="2989"/>
      <c r="I67" s="1080"/>
      <c r="J67" s="1080"/>
      <c r="K67" s="1080"/>
      <c r="L67" s="1080"/>
      <c r="M67" s="1080"/>
      <c r="N67" s="1080"/>
    </row>
    <row r="68" s="2903" customFormat="1" ht="14.25" spans="1:8">
      <c r="A68" s="3090"/>
      <c r="D68" s="2989"/>
      <c r="E68" s="2989"/>
      <c r="F68" s="2989"/>
      <c r="G68" s="2982"/>
      <c r="H68" s="2982"/>
    </row>
    <row r="69" s="2903" customFormat="1" spans="1:8">
      <c r="A69" s="3090"/>
      <c r="D69" s="2982"/>
      <c r="E69" s="2982"/>
      <c r="F69" s="2982"/>
      <c r="G69" s="2982"/>
      <c r="H69" s="2982"/>
    </row>
    <row r="70" s="2903" customFormat="1" spans="1:8">
      <c r="A70" s="3090"/>
      <c r="D70" s="2982"/>
      <c r="E70" s="2982"/>
      <c r="F70" s="2982"/>
      <c r="G70" s="2982"/>
      <c r="H70" s="2982"/>
    </row>
    <row r="71" s="2903" customFormat="1" spans="1:8">
      <c r="A71" s="3090"/>
      <c r="D71" s="2982"/>
      <c r="E71" s="2982"/>
      <c r="F71" s="2982"/>
      <c r="G71" s="2982"/>
      <c r="H71" s="2982"/>
    </row>
    <row r="72" s="2903" customFormat="1" spans="1:8">
      <c r="A72" s="3090"/>
      <c r="D72" s="2982"/>
      <c r="E72" s="2982"/>
      <c r="F72" s="2982"/>
      <c r="G72" s="2982"/>
      <c r="H72" s="2982"/>
    </row>
    <row r="73" s="2903" customFormat="1" spans="1:8">
      <c r="A73" s="3090"/>
      <c r="D73" s="2982"/>
      <c r="E73" s="2982"/>
      <c r="F73" s="2982"/>
      <c r="G73" s="2982"/>
      <c r="H73" s="2982"/>
    </row>
    <row r="74" s="2903" customFormat="1" spans="1:8">
      <c r="A74" s="3090"/>
      <c r="D74" s="2982"/>
      <c r="E74" s="2982"/>
      <c r="F74" s="2982"/>
      <c r="G74" s="2982"/>
      <c r="H74" s="2982"/>
    </row>
    <row r="75" s="2903" customFormat="1" spans="1:8">
      <c r="A75" s="3090"/>
      <c r="D75" s="2982"/>
      <c r="E75" s="2982"/>
      <c r="F75" s="2982"/>
      <c r="G75" s="2982"/>
      <c r="H75" s="2982"/>
    </row>
    <row r="76" s="2903" customFormat="1" spans="1:8">
      <c r="A76" s="3090"/>
      <c r="D76" s="2982"/>
      <c r="E76" s="2982"/>
      <c r="F76" s="2982"/>
      <c r="G76" s="2982"/>
      <c r="H76" s="2982"/>
    </row>
    <row r="77" s="2903" customFormat="1" spans="1:8">
      <c r="A77" s="3090"/>
      <c r="D77" s="2982"/>
      <c r="E77" s="2982"/>
      <c r="F77" s="2982"/>
      <c r="G77" s="2982"/>
      <c r="H77" s="2982"/>
    </row>
    <row r="78" s="2903" customFormat="1" spans="1:8">
      <c r="A78" s="3090"/>
      <c r="D78" s="2982"/>
      <c r="E78" s="2982"/>
      <c r="F78" s="2982"/>
      <c r="G78" s="2982"/>
      <c r="H78" s="2982"/>
    </row>
    <row r="79" s="2903" customFormat="1" spans="1:8">
      <c r="A79" s="3090"/>
      <c r="D79" s="2982"/>
      <c r="E79" s="2982"/>
      <c r="F79" s="2982"/>
      <c r="G79" s="2982"/>
      <c r="H79" s="2982"/>
    </row>
    <row r="80" s="2903" customFormat="1" spans="1:8">
      <c r="A80" s="3090"/>
      <c r="D80" s="2982"/>
      <c r="E80" s="2982"/>
      <c r="F80" s="2982"/>
      <c r="G80" s="2982"/>
      <c r="H80" s="2982"/>
    </row>
    <row r="81" s="2903" customFormat="1" spans="1:8">
      <c r="A81" s="3090"/>
      <c r="D81" s="2982"/>
      <c r="E81" s="2982"/>
      <c r="F81" s="2982"/>
      <c r="G81" s="2982"/>
      <c r="H81" s="2982"/>
    </row>
    <row r="82" s="2903" customFormat="1" spans="1:8">
      <c r="A82" s="3090"/>
      <c r="D82" s="2982"/>
      <c r="E82" s="2982"/>
      <c r="F82" s="2982"/>
      <c r="G82" s="2982"/>
      <c r="H82" s="2982"/>
    </row>
    <row r="83" s="2903" customFormat="1" spans="1:8">
      <c r="A83" s="3090"/>
      <c r="D83" s="2982"/>
      <c r="E83" s="2982"/>
      <c r="F83" s="2982"/>
      <c r="G83" s="2982"/>
      <c r="H83" s="2982"/>
    </row>
    <row r="84" s="2903" customFormat="1" spans="1:8">
      <c r="A84" s="3090"/>
      <c r="D84" s="2982"/>
      <c r="E84" s="2982"/>
      <c r="F84" s="2982"/>
      <c r="G84" s="2982"/>
      <c r="H84" s="2982"/>
    </row>
    <row r="85" s="2903" customFormat="1" spans="1:8">
      <c r="A85" s="3090"/>
      <c r="D85" s="2982"/>
      <c r="E85" s="2982"/>
      <c r="F85" s="2982"/>
      <c r="G85" s="2982"/>
      <c r="H85" s="2982"/>
    </row>
    <row r="86" s="2903" customFormat="1" spans="1:8">
      <c r="A86" s="3090"/>
      <c r="D86" s="2982"/>
      <c r="E86" s="2982"/>
      <c r="F86" s="2982"/>
      <c r="G86" s="2982"/>
      <c r="H86" s="2982"/>
    </row>
    <row r="87" s="2903" customFormat="1" spans="1:8">
      <c r="A87" s="3090"/>
      <c r="D87" s="2982"/>
      <c r="E87" s="2982"/>
      <c r="F87" s="2982"/>
      <c r="G87" s="2982"/>
      <c r="H87" s="2982"/>
    </row>
    <row r="88" s="2903" customFormat="1" spans="1:8">
      <c r="A88" s="3090"/>
      <c r="D88" s="2982"/>
      <c r="E88" s="2982"/>
      <c r="F88" s="2982"/>
      <c r="G88" s="2982"/>
      <c r="H88" s="2982"/>
    </row>
    <row r="89" s="2903" customFormat="1" spans="1:8">
      <c r="A89" s="3090"/>
      <c r="D89" s="2982"/>
      <c r="E89" s="2982"/>
      <c r="F89" s="2982"/>
      <c r="G89" s="2982"/>
      <c r="H89" s="2982"/>
    </row>
    <row r="90" s="2903" customFormat="1" spans="1:8">
      <c r="A90" s="3090"/>
      <c r="D90" s="2982"/>
      <c r="E90" s="2982"/>
      <c r="F90" s="2982"/>
      <c r="G90" s="2982"/>
      <c r="H90" s="2982"/>
    </row>
    <row r="91" s="2903" customFormat="1" spans="1:8">
      <c r="A91" s="3090"/>
      <c r="D91" s="2982"/>
      <c r="E91" s="2982"/>
      <c r="F91" s="2982"/>
      <c r="G91" s="2982"/>
      <c r="H91" s="2982"/>
    </row>
    <row r="92" s="2903" customFormat="1" spans="1:8">
      <c r="A92" s="3090"/>
      <c r="D92" s="2982"/>
      <c r="E92" s="2982"/>
      <c r="F92" s="2982"/>
      <c r="G92" s="2982"/>
      <c r="H92" s="2982"/>
    </row>
    <row r="93" s="2903" customFormat="1" spans="1:8">
      <c r="A93" s="3090"/>
      <c r="D93" s="2982"/>
      <c r="E93" s="2982"/>
      <c r="F93" s="2982"/>
      <c r="G93" s="2982"/>
      <c r="H93" s="2982"/>
    </row>
    <row r="94" s="2903" customFormat="1" spans="1:8">
      <c r="A94" s="3090"/>
      <c r="D94" s="2982"/>
      <c r="E94" s="2982"/>
      <c r="F94" s="2982"/>
      <c r="G94" s="2982"/>
      <c r="H94" s="2982"/>
    </row>
    <row r="95" s="2903" customFormat="1" spans="1:8">
      <c r="A95" s="3090"/>
      <c r="D95" s="2982"/>
      <c r="E95" s="2982"/>
      <c r="F95" s="2982"/>
      <c r="G95" s="2982"/>
      <c r="H95" s="2982"/>
    </row>
    <row r="96" s="2903" customFormat="1" spans="1:8">
      <c r="A96" s="3090"/>
      <c r="D96" s="2982"/>
      <c r="E96" s="2982"/>
      <c r="F96" s="2982"/>
      <c r="G96" s="2982"/>
      <c r="H96" s="2982"/>
    </row>
    <row r="97" s="2903" customFormat="1" spans="1:8">
      <c r="A97" s="3090"/>
      <c r="D97" s="2982"/>
      <c r="E97" s="2982"/>
      <c r="F97" s="2982"/>
      <c r="G97" s="2982"/>
      <c r="H97" s="2982"/>
    </row>
    <row r="98" s="2903" customFormat="1" spans="1:8">
      <c r="A98" s="3090"/>
      <c r="D98" s="2982"/>
      <c r="E98" s="2982"/>
      <c r="F98" s="2982"/>
      <c r="G98" s="2982"/>
      <c r="H98" s="2982"/>
    </row>
    <row r="99" s="2903" customFormat="1" spans="1:8">
      <c r="A99" s="3090"/>
      <c r="D99" s="2982"/>
      <c r="E99" s="2982"/>
      <c r="F99" s="2982"/>
      <c r="G99" s="2982"/>
      <c r="H99" s="2982"/>
    </row>
    <row r="100" s="2903" customFormat="1" spans="1:8">
      <c r="A100" s="3090"/>
      <c r="D100" s="2982"/>
      <c r="E100" s="2982"/>
      <c r="F100" s="2982"/>
      <c r="G100" s="2982"/>
      <c r="H100" s="2982"/>
    </row>
    <row r="101" s="2903" customFormat="1" spans="1:8">
      <c r="A101" s="3090"/>
      <c r="D101" s="2982"/>
      <c r="E101" s="2982"/>
      <c r="F101" s="2982"/>
      <c r="G101" s="2982"/>
      <c r="H101" s="2982"/>
    </row>
    <row r="102" s="2903" customFormat="1" spans="1:8">
      <c r="A102" s="3090"/>
      <c r="D102" s="2982"/>
      <c r="E102" s="2982"/>
      <c r="F102" s="2982"/>
      <c r="G102" s="2982"/>
      <c r="H102" s="2982"/>
    </row>
    <row r="103" s="2903" customFormat="1" spans="1:8">
      <c r="A103" s="3090"/>
      <c r="D103" s="2982"/>
      <c r="E103" s="2982"/>
      <c r="F103" s="2982"/>
      <c r="G103" s="2982"/>
      <c r="H103" s="2982"/>
    </row>
    <row r="104" s="2903" customFormat="1" spans="1:8">
      <c r="A104" s="3090"/>
      <c r="D104" s="2982"/>
      <c r="E104" s="2982"/>
      <c r="F104" s="2982"/>
      <c r="G104" s="2982"/>
      <c r="H104" s="2982"/>
    </row>
    <row r="105" s="2903" customFormat="1" spans="1:8">
      <c r="A105" s="3090"/>
      <c r="D105" s="2982"/>
      <c r="E105" s="2982"/>
      <c r="F105" s="2982"/>
      <c r="G105" s="2982"/>
      <c r="H105" s="2982"/>
    </row>
    <row r="106" s="2903" customFormat="1" spans="1:8">
      <c r="A106" s="3090"/>
      <c r="D106" s="2982"/>
      <c r="E106" s="2982"/>
      <c r="F106" s="2982"/>
      <c r="G106" s="2982"/>
      <c r="H106" s="2982"/>
    </row>
    <row r="107" s="2903" customFormat="1" spans="1:8">
      <c r="A107" s="3090"/>
      <c r="D107" s="2982"/>
      <c r="E107" s="2982"/>
      <c r="F107" s="2982"/>
      <c r="G107" s="2982"/>
      <c r="H107" s="2982"/>
    </row>
    <row r="108" s="2903" customFormat="1" spans="1:8">
      <c r="A108" s="3090"/>
      <c r="D108" s="2982"/>
      <c r="E108" s="2982"/>
      <c r="F108" s="2982"/>
      <c r="G108" s="2982"/>
      <c r="H108" s="2982"/>
    </row>
    <row r="109" s="2903" customFormat="1" spans="1:8">
      <c r="A109" s="3090"/>
      <c r="D109" s="2982"/>
      <c r="E109" s="2982"/>
      <c r="F109" s="2982"/>
      <c r="G109" s="2982"/>
      <c r="H109" s="2982"/>
    </row>
    <row r="110" s="2903" customFormat="1" spans="1:8">
      <c r="A110" s="3090"/>
      <c r="D110" s="2982"/>
      <c r="E110" s="2982"/>
      <c r="F110" s="2982"/>
      <c r="G110" s="2982"/>
      <c r="H110" s="2982"/>
    </row>
    <row r="111" s="2903" customFormat="1" spans="1:8">
      <c r="A111" s="3090"/>
      <c r="D111" s="2982"/>
      <c r="E111" s="2982"/>
      <c r="F111" s="2982"/>
      <c r="G111" s="2982"/>
      <c r="H111" s="2982"/>
    </row>
    <row r="112" s="2903" customFormat="1" spans="1:8">
      <c r="A112" s="3090"/>
      <c r="D112" s="2982"/>
      <c r="E112" s="2982"/>
      <c r="F112" s="2982"/>
      <c r="G112" s="2982"/>
      <c r="H112" s="2982"/>
    </row>
    <row r="113" s="2903" customFormat="1" spans="1:8">
      <c r="A113" s="3090"/>
      <c r="D113" s="2982"/>
      <c r="E113" s="2982"/>
      <c r="F113" s="2982"/>
      <c r="G113" s="2982"/>
      <c r="H113" s="2982"/>
    </row>
    <row r="114" s="2903" customFormat="1" spans="1:8">
      <c r="A114" s="3090"/>
      <c r="D114" s="2982"/>
      <c r="E114" s="2982"/>
      <c r="F114" s="2982"/>
      <c r="G114" s="2982"/>
      <c r="H114" s="2982"/>
    </row>
    <row r="115" s="2903" customFormat="1" spans="1:8">
      <c r="A115" s="3090"/>
      <c r="D115" s="2982"/>
      <c r="E115" s="2982"/>
      <c r="F115" s="2982"/>
      <c r="G115" s="2982"/>
      <c r="H115" s="2982"/>
    </row>
    <row r="116" s="2903" customFormat="1" spans="1:8">
      <c r="A116" s="3090"/>
      <c r="D116" s="2982"/>
      <c r="E116" s="2982"/>
      <c r="F116" s="2982"/>
      <c r="G116" s="2982"/>
      <c r="H116" s="2982"/>
    </row>
    <row r="117" s="2903" customFormat="1" spans="1:8">
      <c r="A117" s="3090"/>
      <c r="D117" s="2982"/>
      <c r="E117" s="2982"/>
      <c r="F117" s="2982"/>
      <c r="G117" s="2982"/>
      <c r="H117" s="2982"/>
    </row>
    <row r="118" s="2903" customFormat="1" spans="1:8">
      <c r="A118" s="3090"/>
      <c r="D118" s="2982"/>
      <c r="E118" s="2982"/>
      <c r="F118" s="2982"/>
      <c r="G118" s="2982"/>
      <c r="H118" s="2982"/>
    </row>
    <row r="119" s="2903" customFormat="1" spans="1:8">
      <c r="A119" s="3090"/>
      <c r="D119" s="2982"/>
      <c r="E119" s="2982"/>
      <c r="F119" s="2982"/>
      <c r="G119" s="2982"/>
      <c r="H119" s="2982"/>
    </row>
    <row r="120" s="2903" customFormat="1" spans="1:8">
      <c r="A120" s="3090"/>
      <c r="D120" s="2982"/>
      <c r="E120" s="2982"/>
      <c r="F120" s="2982"/>
      <c r="G120" s="2982"/>
      <c r="H120" s="2982"/>
    </row>
    <row r="121" s="2903" customFormat="1" spans="1:8">
      <c r="A121" s="3090"/>
      <c r="D121" s="2982"/>
      <c r="E121" s="2982"/>
      <c r="F121" s="2982"/>
      <c r="G121" s="2982"/>
      <c r="H121" s="2982"/>
    </row>
    <row r="122" s="2903" customFormat="1" spans="1:8">
      <c r="A122" s="3090"/>
      <c r="D122" s="2982"/>
      <c r="E122" s="2982"/>
      <c r="F122" s="2982"/>
      <c r="G122" s="2982"/>
      <c r="H122" s="2982"/>
    </row>
    <row r="123" s="2903" customFormat="1" spans="1:8">
      <c r="A123" s="3090"/>
      <c r="D123" s="2982"/>
      <c r="E123" s="2982"/>
      <c r="F123" s="2982"/>
      <c r="G123" s="2982"/>
      <c r="H123" s="2982"/>
    </row>
    <row r="124" s="2903" customFormat="1" spans="1:8">
      <c r="A124" s="3090"/>
      <c r="D124" s="2982"/>
      <c r="E124" s="2982"/>
      <c r="F124" s="2982"/>
      <c r="G124" s="2982"/>
      <c r="H124" s="2982"/>
    </row>
    <row r="125" s="2903" customFormat="1" spans="1:8">
      <c r="A125" s="3090"/>
      <c r="D125" s="2982"/>
      <c r="E125" s="2982"/>
      <c r="F125" s="2982"/>
      <c r="G125" s="2982"/>
      <c r="H125" s="2982"/>
    </row>
    <row r="126" s="2903" customFormat="1" spans="1:8">
      <c r="A126" s="3090"/>
      <c r="D126" s="2982"/>
      <c r="E126" s="2982"/>
      <c r="F126" s="2982"/>
      <c r="G126" s="2982"/>
      <c r="H126" s="2982"/>
    </row>
    <row r="127" s="2903" customFormat="1" spans="1:8">
      <c r="A127" s="3090"/>
      <c r="D127" s="2982"/>
      <c r="E127" s="2982"/>
      <c r="F127" s="2982"/>
      <c r="G127" s="2982"/>
      <c r="H127" s="2982"/>
    </row>
    <row r="128" s="2903" customFormat="1" spans="1:8">
      <c r="A128" s="3090"/>
      <c r="D128" s="2982"/>
      <c r="E128" s="2982"/>
      <c r="F128" s="2982"/>
      <c r="G128" s="2982"/>
      <c r="H128" s="2982"/>
    </row>
    <row r="129" s="2903" customFormat="1" spans="1:8">
      <c r="A129" s="3090"/>
      <c r="D129" s="2982"/>
      <c r="E129" s="2982"/>
      <c r="F129" s="2982"/>
      <c r="G129" s="2982"/>
      <c r="H129" s="2982"/>
    </row>
    <row r="130" s="2903" customFormat="1" spans="1:8">
      <c r="A130" s="3090"/>
      <c r="D130" s="2982"/>
      <c r="E130" s="2982"/>
      <c r="F130" s="2982"/>
      <c r="G130" s="2982"/>
      <c r="H130" s="2982"/>
    </row>
    <row r="131" s="2903" customFormat="1" spans="1:8">
      <c r="A131" s="3090"/>
      <c r="D131" s="2982"/>
      <c r="E131" s="2982"/>
      <c r="F131" s="2982"/>
      <c r="G131" s="2982"/>
      <c r="H131" s="2982"/>
    </row>
    <row r="132" s="2903" customFormat="1" spans="1:8">
      <c r="A132" s="3090"/>
      <c r="D132" s="2982"/>
      <c r="E132" s="2982"/>
      <c r="F132" s="2982"/>
      <c r="G132" s="2982"/>
      <c r="H132" s="2982"/>
    </row>
    <row r="133" s="2903" customFormat="1" spans="1:8">
      <c r="A133" s="3090"/>
      <c r="D133" s="2982"/>
      <c r="E133" s="2982"/>
      <c r="F133" s="2982"/>
      <c r="G133" s="2982"/>
      <c r="H133" s="2982"/>
    </row>
    <row r="134" s="2903" customFormat="1" spans="1:8">
      <c r="A134" s="3090"/>
      <c r="D134" s="2982"/>
      <c r="E134" s="2982"/>
      <c r="F134" s="2982"/>
      <c r="G134" s="2982"/>
      <c r="H134" s="2982"/>
    </row>
    <row r="135" s="2903" customFormat="1" spans="1:8">
      <c r="A135" s="3090"/>
      <c r="D135" s="2982"/>
      <c r="E135" s="2982"/>
      <c r="F135" s="2982"/>
      <c r="G135" s="2982"/>
      <c r="H135" s="2982"/>
    </row>
    <row r="136" s="2903" customFormat="1" spans="1:8">
      <c r="A136" s="3090"/>
      <c r="D136" s="2982"/>
      <c r="E136" s="2982"/>
      <c r="F136" s="2982"/>
      <c r="G136" s="2982"/>
      <c r="H136" s="2982"/>
    </row>
    <row r="137" s="2903" customFormat="1" spans="1:8">
      <c r="A137" s="3090"/>
      <c r="D137" s="2982"/>
      <c r="E137" s="2982"/>
      <c r="F137" s="2982"/>
      <c r="G137" s="2982"/>
      <c r="H137" s="2982"/>
    </row>
    <row r="138" s="2903" customFormat="1" spans="1:8">
      <c r="A138" s="3090"/>
      <c r="D138" s="2982"/>
      <c r="E138" s="2982"/>
      <c r="F138" s="2982"/>
      <c r="G138" s="2982"/>
      <c r="H138" s="2982"/>
    </row>
    <row r="139" s="2903" customFormat="1" spans="1:8">
      <c r="A139" s="3090"/>
      <c r="D139" s="2982"/>
      <c r="E139" s="2982"/>
      <c r="F139" s="2982"/>
      <c r="G139" s="2982"/>
      <c r="H139" s="2982"/>
    </row>
    <row r="140" s="2903" customFormat="1" spans="1:8">
      <c r="A140" s="3090"/>
      <c r="D140" s="2982"/>
      <c r="E140" s="2982"/>
      <c r="F140" s="2982"/>
      <c r="G140" s="2982"/>
      <c r="H140" s="2982"/>
    </row>
    <row r="141" s="2903" customFormat="1" spans="1:8">
      <c r="A141" s="3090"/>
      <c r="D141" s="2982"/>
      <c r="E141" s="2982"/>
      <c r="F141" s="2982"/>
      <c r="G141" s="2982"/>
      <c r="H141" s="2982"/>
    </row>
    <row r="142" s="2903" customFormat="1" spans="1:8">
      <c r="A142" s="3090"/>
      <c r="D142" s="2982"/>
      <c r="E142" s="2982"/>
      <c r="F142" s="2982"/>
      <c r="G142" s="2982"/>
      <c r="H142" s="2982"/>
    </row>
    <row r="143" s="2903" customFormat="1" spans="1:8">
      <c r="A143" s="3090"/>
      <c r="D143" s="2982"/>
      <c r="E143" s="2982"/>
      <c r="F143" s="2982"/>
      <c r="G143" s="2982"/>
      <c r="H143" s="2982"/>
    </row>
    <row r="144" s="2903" customFormat="1" spans="1:8">
      <c r="A144" s="3090"/>
      <c r="D144" s="2982"/>
      <c r="E144" s="2982"/>
      <c r="F144" s="2982"/>
      <c r="G144" s="2982"/>
      <c r="H144" s="2982"/>
    </row>
    <row r="145" s="2903" customFormat="1" spans="1:8">
      <c r="A145" s="3090"/>
      <c r="D145" s="2982"/>
      <c r="E145" s="2982"/>
      <c r="F145" s="2982"/>
      <c r="G145" s="2982"/>
      <c r="H145" s="2982"/>
    </row>
    <row r="146" s="2903" customFormat="1" spans="1:8">
      <c r="A146" s="3090"/>
      <c r="D146" s="2982"/>
      <c r="E146" s="2982"/>
      <c r="F146" s="2982"/>
      <c r="G146" s="2982"/>
      <c r="H146" s="2982"/>
    </row>
    <row r="147" s="2903" customFormat="1" spans="1:8">
      <c r="A147" s="3090"/>
      <c r="D147" s="2982"/>
      <c r="E147" s="2982"/>
      <c r="F147" s="2982"/>
      <c r="G147" s="2982"/>
      <c r="H147" s="2982"/>
    </row>
    <row r="148" s="2903" customFormat="1" spans="1:8">
      <c r="A148" s="3090"/>
      <c r="D148" s="2982"/>
      <c r="E148" s="2982"/>
      <c r="F148" s="2982"/>
      <c r="G148" s="2982"/>
      <c r="H148" s="2982"/>
    </row>
    <row r="149" s="2903" customFormat="1" spans="1:8">
      <c r="A149" s="3090"/>
      <c r="D149" s="2982"/>
      <c r="E149" s="2982"/>
      <c r="F149" s="2982"/>
      <c r="G149" s="2982"/>
      <c r="H149" s="2982"/>
    </row>
    <row r="150" s="2903" customFormat="1" spans="1:8">
      <c r="A150" s="3090"/>
      <c r="D150" s="2982"/>
      <c r="E150" s="2982"/>
      <c r="F150" s="2982"/>
      <c r="G150" s="2982"/>
      <c r="H150" s="2982"/>
    </row>
    <row r="151" s="2903" customFormat="1" spans="1:8">
      <c r="A151" s="3090"/>
      <c r="D151" s="2982"/>
      <c r="E151" s="2982"/>
      <c r="F151" s="2982"/>
      <c r="G151" s="2982"/>
      <c r="H151" s="2982"/>
    </row>
    <row r="152" s="2903" customFormat="1" spans="1:8">
      <c r="A152" s="3090"/>
      <c r="D152" s="2982"/>
      <c r="E152" s="2982"/>
      <c r="F152" s="2982"/>
      <c r="G152" s="2982"/>
      <c r="H152" s="2982"/>
    </row>
    <row r="153" s="2903" customFormat="1" spans="1:8">
      <c r="A153" s="3090"/>
      <c r="D153" s="2982"/>
      <c r="E153" s="2982"/>
      <c r="F153" s="2982"/>
      <c r="G153" s="2982"/>
      <c r="H153" s="2982"/>
    </row>
    <row r="154" s="2903" customFormat="1" spans="1:8">
      <c r="A154" s="3090"/>
      <c r="D154" s="2982"/>
      <c r="E154" s="2982"/>
      <c r="F154" s="2982"/>
      <c r="G154" s="2982"/>
      <c r="H154" s="2982"/>
    </row>
    <row r="155" s="2903" customFormat="1" spans="1:8">
      <c r="A155" s="3090"/>
      <c r="D155" s="2982"/>
      <c r="E155" s="2982"/>
      <c r="F155" s="2982"/>
      <c r="G155" s="2982"/>
      <c r="H155" s="2982"/>
    </row>
    <row r="156" s="2903" customFormat="1" spans="1:8">
      <c r="A156" s="3090"/>
      <c r="D156" s="2982"/>
      <c r="E156" s="2982"/>
      <c r="F156" s="2982"/>
      <c r="G156" s="2982"/>
      <c r="H156" s="2982"/>
    </row>
    <row r="157" s="2903" customFormat="1" spans="1:8">
      <c r="A157" s="3090"/>
      <c r="D157" s="2982"/>
      <c r="E157" s="2982"/>
      <c r="F157" s="2982"/>
      <c r="G157" s="2982"/>
      <c r="H157" s="2982"/>
    </row>
    <row r="158" spans="1:2">
      <c r="A158" s="3090"/>
      <c r="B158" s="290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6" customWidth="1"/>
    <col min="2" max="2" width="24.4416666666667" style="2907" customWidth="1"/>
    <col min="3" max="3" width="28.3333333333333" style="2908" customWidth="1"/>
    <col min="4" max="4" width="2.66666666666667" style="2908" customWidth="1"/>
    <col min="5" max="5" width="5.88333333333333" style="2908" customWidth="1"/>
    <col min="6" max="6" width="27" style="2907" customWidth="1"/>
    <col min="7" max="7" width="32.3333333333333" style="2909" customWidth="1"/>
    <col min="8" max="8" width="11.8833333333333" style="2910" customWidth="1"/>
    <col min="9" max="9" width="16.775" style="2911" customWidth="1"/>
    <col min="10" max="10" width="2.66666666666667" style="2910" customWidth="1"/>
    <col min="11" max="11" width="11.8833333333333" style="2910" customWidth="1"/>
    <col min="12" max="12" width="16.775" style="2911" customWidth="1"/>
    <col min="13" max="13" width="2.66666666666667" style="2910" customWidth="1"/>
    <col min="14" max="14" width="11.8833333333333" style="2910" customWidth="1"/>
    <col min="15" max="15" width="16.775" style="2911" customWidth="1"/>
    <col min="16" max="16" width="2.66666666666667" style="2910" customWidth="1"/>
    <col min="17" max="17" width="11.8833333333333" style="2910" customWidth="1"/>
    <col min="18" max="18" width="16.775" style="2912" customWidth="1"/>
    <col min="19" max="29" width="9" style="2905"/>
    <col min="30" max="16384" width="9" style="2906"/>
  </cols>
  <sheetData>
    <row r="1" s="2901" customFormat="1" ht="19.5" spans="1:29">
      <c r="A1" s="2913" t="s">
        <v>552</v>
      </c>
      <c r="B1" s="2914"/>
      <c r="C1" s="2914"/>
      <c r="D1" s="2914"/>
      <c r="E1" s="2914"/>
      <c r="F1" s="2914"/>
      <c r="G1" s="2914"/>
      <c r="H1" s="2915"/>
      <c r="I1" s="2967"/>
      <c r="J1" s="2915"/>
      <c r="K1" s="2915"/>
      <c r="L1" s="2967"/>
      <c r="M1" s="2915"/>
      <c r="N1" s="2915"/>
      <c r="O1" s="2967"/>
      <c r="P1" s="2915"/>
      <c r="Q1" s="2975"/>
      <c r="R1" s="2976"/>
      <c r="S1" s="2977"/>
      <c r="T1" s="2977"/>
      <c r="U1" s="2977"/>
      <c r="V1" s="2977"/>
      <c r="W1" s="2977"/>
      <c r="X1" s="2977"/>
      <c r="Y1" s="2977"/>
      <c r="Z1" s="2977"/>
      <c r="AA1" s="2977"/>
      <c r="AB1" s="2977"/>
      <c r="AC1" s="2977"/>
    </row>
    <row r="2" s="2902" customFormat="1" ht="13.5" spans="1:29">
      <c r="A2" s="2916"/>
      <c r="B2" s="2917"/>
      <c r="C2" s="2918" t="s">
        <v>553</v>
      </c>
      <c r="D2" s="2919"/>
      <c r="E2" s="2916"/>
      <c r="F2" s="2920"/>
      <c r="G2" s="2918" t="s">
        <v>554</v>
      </c>
      <c r="H2" s="2904"/>
      <c r="I2" s="2904"/>
      <c r="J2" s="2904"/>
      <c r="K2" s="2904"/>
      <c r="L2" s="2904"/>
      <c r="M2" s="2904"/>
      <c r="N2" s="2904"/>
      <c r="O2" s="2904"/>
      <c r="P2" s="2904"/>
      <c r="Q2" s="2904"/>
      <c r="R2" s="2904"/>
      <c r="S2" s="2904"/>
      <c r="T2" s="2904"/>
      <c r="U2" s="2904"/>
      <c r="V2" s="2904"/>
      <c r="W2" s="2904"/>
      <c r="X2" s="2904"/>
      <c r="Y2" s="2904"/>
      <c r="Z2" s="2904"/>
      <c r="AA2" s="2904"/>
      <c r="AB2" s="2904"/>
      <c r="AC2" s="2904"/>
    </row>
    <row r="3" s="2902" customFormat="1" ht="36" spans="1:29">
      <c r="A3" s="2921" t="s">
        <v>555</v>
      </c>
      <c r="B3" s="2922" t="s">
        <v>556</v>
      </c>
      <c r="C3" s="2923" t="s">
        <v>557</v>
      </c>
      <c r="D3" s="2924"/>
      <c r="E3" s="2925" t="s">
        <v>555</v>
      </c>
      <c r="F3" s="2926" t="s">
        <v>558</v>
      </c>
      <c r="G3" s="2927" t="s">
        <v>559</v>
      </c>
      <c r="H3" s="2904"/>
      <c r="I3" s="2904"/>
      <c r="J3" s="2904"/>
      <c r="K3" s="2904"/>
      <c r="L3" s="2904"/>
      <c r="M3" s="2904"/>
      <c r="N3" s="2904"/>
      <c r="O3" s="2904"/>
      <c r="P3" s="2904"/>
      <c r="Q3" s="2904"/>
      <c r="R3" s="2904"/>
      <c r="S3" s="2904"/>
      <c r="T3" s="2904"/>
      <c r="U3" s="2904"/>
      <c r="V3" s="2904"/>
      <c r="W3" s="2904"/>
      <c r="X3" s="2904"/>
      <c r="Y3" s="2904"/>
      <c r="Z3" s="2904"/>
      <c r="AA3" s="2904"/>
      <c r="AB3" s="2904"/>
      <c r="AC3" s="2904"/>
    </row>
    <row r="4" s="2902" customFormat="1" ht="24.75" spans="1:29">
      <c r="A4" s="2925"/>
      <c r="B4" s="2171" t="s">
        <v>560</v>
      </c>
      <c r="C4" s="2928" t="s">
        <v>561</v>
      </c>
      <c r="D4" s="2924"/>
      <c r="E4" s="2929"/>
      <c r="F4" s="2550" t="s">
        <v>562</v>
      </c>
      <c r="G4" s="2930" t="s">
        <v>563</v>
      </c>
      <c r="H4" s="2904"/>
      <c r="I4" s="2904"/>
      <c r="J4" s="2904"/>
      <c r="K4" s="2904"/>
      <c r="L4" s="2904"/>
      <c r="M4" s="2904"/>
      <c r="N4" s="2904"/>
      <c r="O4" s="2904"/>
      <c r="P4" s="2904"/>
      <c r="Q4" s="2904"/>
      <c r="R4" s="2904"/>
      <c r="S4" s="2904"/>
      <c r="T4" s="2904"/>
      <c r="U4" s="2904"/>
      <c r="V4" s="2904"/>
      <c r="W4" s="2904"/>
      <c r="X4" s="2904"/>
      <c r="Y4" s="2904"/>
      <c r="Z4" s="2904"/>
      <c r="AA4" s="2904"/>
      <c r="AB4" s="2904"/>
      <c r="AC4" s="2904"/>
    </row>
    <row r="5" s="2902" customFormat="1" ht="24.75" spans="1:29">
      <c r="A5" s="2925"/>
      <c r="B5" s="2171" t="s">
        <v>564</v>
      </c>
      <c r="C5" s="2928" t="s">
        <v>565</v>
      </c>
      <c r="D5" s="2924"/>
      <c r="E5" s="2929"/>
      <c r="F5" s="2171" t="s">
        <v>566</v>
      </c>
      <c r="G5" s="2930" t="s">
        <v>567</v>
      </c>
      <c r="H5" s="2904"/>
      <c r="I5" s="2904"/>
      <c r="J5" s="2904"/>
      <c r="K5" s="2904"/>
      <c r="L5" s="2904"/>
      <c r="M5" s="2904"/>
      <c r="N5" s="2904"/>
      <c r="O5" s="2904"/>
      <c r="P5" s="2904"/>
      <c r="Q5" s="2904"/>
      <c r="R5" s="2904"/>
      <c r="S5" s="2904"/>
      <c r="T5" s="2904"/>
      <c r="U5" s="2904"/>
      <c r="V5" s="2904"/>
      <c r="W5" s="2904"/>
      <c r="X5" s="2904"/>
      <c r="Y5" s="2904"/>
      <c r="Z5" s="2904"/>
      <c r="AA5" s="2904"/>
      <c r="AB5" s="2904"/>
      <c r="AC5" s="2904"/>
    </row>
    <row r="6" s="2902" customFormat="1" ht="36" spans="1:29">
      <c r="A6" s="2925"/>
      <c r="B6" s="2171" t="s">
        <v>562</v>
      </c>
      <c r="C6" s="2930" t="s">
        <v>563</v>
      </c>
      <c r="D6" s="2924"/>
      <c r="E6" s="2929"/>
      <c r="F6" s="2171" t="s">
        <v>568</v>
      </c>
      <c r="G6" s="2930" t="s">
        <v>569</v>
      </c>
      <c r="H6" s="2904"/>
      <c r="I6" s="2904"/>
      <c r="J6" s="2904"/>
      <c r="K6" s="2904"/>
      <c r="L6" s="2904"/>
      <c r="M6" s="2904"/>
      <c r="N6" s="2904"/>
      <c r="O6" s="2904"/>
      <c r="P6" s="2904"/>
      <c r="Q6" s="2904"/>
      <c r="R6" s="2904"/>
      <c r="S6" s="2904"/>
      <c r="T6" s="2904"/>
      <c r="U6" s="2904"/>
      <c r="V6" s="2904"/>
      <c r="W6" s="2904"/>
      <c r="X6" s="2904"/>
      <c r="Y6" s="2904"/>
      <c r="Z6" s="2904"/>
      <c r="AA6" s="2904"/>
      <c r="AB6" s="2904"/>
      <c r="AC6" s="2904"/>
    </row>
    <row r="7" s="2902" customFormat="1" ht="24.75" spans="1:29">
      <c r="A7" s="2925"/>
      <c r="B7" s="2171" t="s">
        <v>566</v>
      </c>
      <c r="C7" s="2930" t="s">
        <v>567</v>
      </c>
      <c r="D7" s="2554"/>
      <c r="E7" s="2931"/>
      <c r="F7" s="2932" t="s">
        <v>570</v>
      </c>
      <c r="G7" s="2933" t="s">
        <v>571</v>
      </c>
      <c r="H7" s="2904"/>
      <c r="I7" s="2904"/>
      <c r="J7" s="2904"/>
      <c r="K7" s="2904"/>
      <c r="L7" s="2904"/>
      <c r="M7" s="2904"/>
      <c r="N7" s="2904"/>
      <c r="O7" s="2904"/>
      <c r="P7" s="2904"/>
      <c r="Q7" s="2904"/>
      <c r="R7" s="2904"/>
      <c r="S7" s="2904"/>
      <c r="T7" s="2904"/>
      <c r="U7" s="2904"/>
      <c r="V7" s="2904"/>
      <c r="W7" s="2904"/>
      <c r="X7" s="2904"/>
      <c r="Y7" s="2904"/>
      <c r="Z7" s="2904"/>
      <c r="AA7" s="2904"/>
      <c r="AB7" s="2904"/>
      <c r="AC7" s="2904"/>
    </row>
    <row r="8" s="2902" customFormat="1" ht="12.75" spans="1:29">
      <c r="A8" s="2925"/>
      <c r="B8" s="2171" t="s">
        <v>568</v>
      </c>
      <c r="C8" s="2930" t="s">
        <v>569</v>
      </c>
      <c r="D8" s="2554"/>
      <c r="E8" s="2554"/>
      <c r="F8" s="2562"/>
      <c r="G8" s="2562"/>
      <c r="H8" s="2904"/>
      <c r="I8" s="2904"/>
      <c r="J8" s="2904"/>
      <c r="K8" s="2904"/>
      <c r="L8" s="2904"/>
      <c r="M8" s="2904"/>
      <c r="N8" s="2904"/>
      <c r="O8" s="2904"/>
      <c r="P8" s="2904"/>
      <c r="Q8" s="2904"/>
      <c r="R8" s="2904"/>
      <c r="S8" s="2904"/>
      <c r="T8" s="2904"/>
      <c r="U8" s="2904"/>
      <c r="V8" s="2904"/>
      <c r="W8" s="2904"/>
      <c r="X8" s="2904"/>
      <c r="Y8" s="2904"/>
      <c r="Z8" s="2904"/>
      <c r="AA8" s="2904"/>
      <c r="AB8" s="2904"/>
      <c r="AC8" s="2904"/>
    </row>
    <row r="9" s="2902" customFormat="1" ht="24" spans="1:29">
      <c r="A9" s="2925"/>
      <c r="B9" s="2171" t="s">
        <v>572</v>
      </c>
      <c r="C9" s="2928" t="s">
        <v>573</v>
      </c>
      <c r="D9" s="2924"/>
      <c r="E9" s="2554"/>
      <c r="F9" s="2562"/>
      <c r="G9" s="2562"/>
      <c r="H9" s="2904"/>
      <c r="I9" s="2904"/>
      <c r="J9" s="2904"/>
      <c r="K9" s="2904"/>
      <c r="L9" s="2904"/>
      <c r="M9" s="2904"/>
      <c r="N9" s="2904"/>
      <c r="O9" s="2904"/>
      <c r="P9" s="2904"/>
      <c r="Q9" s="2904"/>
      <c r="R9" s="2904"/>
      <c r="S9" s="2904"/>
      <c r="T9" s="2904"/>
      <c r="U9" s="2904"/>
      <c r="V9" s="2904"/>
      <c r="W9" s="2904"/>
      <c r="X9" s="2904"/>
      <c r="Y9" s="2904"/>
      <c r="Z9" s="2904"/>
      <c r="AA9" s="2904"/>
      <c r="AB9" s="2904"/>
      <c r="AC9" s="2904"/>
    </row>
    <row r="10" s="2903" customFormat="1" ht="13.5" spans="1:29">
      <c r="A10" s="2934"/>
      <c r="B10" s="2556" t="s">
        <v>574</v>
      </c>
      <c r="C10" s="2935"/>
      <c r="D10" s="2924"/>
      <c r="E10" s="2924"/>
      <c r="F10" s="2562"/>
      <c r="G10" s="2562"/>
      <c r="H10" s="2777"/>
      <c r="I10" s="2968"/>
      <c r="J10" s="2969"/>
      <c r="K10" s="2777"/>
      <c r="L10" s="2968"/>
      <c r="M10" s="2969"/>
      <c r="N10" s="2777"/>
      <c r="O10" s="2968"/>
      <c r="P10" s="2969"/>
      <c r="Q10" s="2777"/>
      <c r="R10" s="2968"/>
      <c r="S10" s="2904"/>
      <c r="T10" s="2904"/>
      <c r="U10" s="2904"/>
      <c r="V10" s="2904"/>
      <c r="W10" s="2904"/>
      <c r="X10" s="2904"/>
      <c r="Y10" s="2904"/>
      <c r="Z10" s="2904"/>
      <c r="AA10" s="2904"/>
      <c r="AB10" s="2904"/>
      <c r="AC10" s="2904"/>
    </row>
    <row r="11" s="2903" customFormat="1" ht="12.75" spans="1:29">
      <c r="A11" s="2936"/>
      <c r="B11" s="2554"/>
      <c r="C11" s="2924"/>
      <c r="D11" s="2924"/>
      <c r="E11" s="2924"/>
      <c r="F11" s="2554"/>
      <c r="G11" s="2937"/>
      <c r="H11" s="2777"/>
      <c r="I11" s="2968"/>
      <c r="J11" s="2969"/>
      <c r="K11" s="2777"/>
      <c r="L11" s="2968"/>
      <c r="M11" s="2969"/>
      <c r="N11" s="2777"/>
      <c r="O11" s="2968"/>
      <c r="P11" s="2969"/>
      <c r="Q11" s="2777"/>
      <c r="R11" s="2968"/>
      <c r="S11" s="2904"/>
      <c r="T11" s="2904"/>
      <c r="U11" s="2904"/>
      <c r="V11" s="2904"/>
      <c r="W11" s="2904"/>
      <c r="X11" s="2904"/>
      <c r="Y11" s="2904"/>
      <c r="Z11" s="2904"/>
      <c r="AA11" s="2904"/>
      <c r="AB11" s="2904"/>
      <c r="AC11" s="2904"/>
    </row>
    <row r="12" s="2901" customFormat="1" ht="18" spans="1:29">
      <c r="A12" s="2938"/>
      <c r="B12" s="2939"/>
      <c r="C12" s="2940"/>
      <c r="D12" s="2941"/>
      <c r="E12" s="2940"/>
      <c r="F12" s="2939"/>
      <c r="G12" s="2367"/>
      <c r="H12" s="2942"/>
      <c r="I12" s="2970"/>
      <c r="J12" s="2942"/>
      <c r="K12" s="2942"/>
      <c r="L12" s="2971"/>
      <c r="M12" s="2942"/>
      <c r="N12" s="2972"/>
      <c r="O12" s="2973"/>
      <c r="P12" s="2972"/>
      <c r="Q12" s="2972"/>
      <c r="R12" s="2976"/>
      <c r="S12" s="2977"/>
      <c r="T12" s="2977"/>
      <c r="U12" s="2977"/>
      <c r="V12" s="2977"/>
      <c r="W12" s="2977"/>
      <c r="X12" s="2977"/>
      <c r="Y12" s="2977"/>
      <c r="Z12" s="2977"/>
      <c r="AA12" s="2977"/>
      <c r="AB12" s="2977"/>
      <c r="AC12" s="2977"/>
    </row>
    <row r="13" ht="19.5" spans="1:7">
      <c r="A13" s="2943" t="s">
        <v>575</v>
      </c>
      <c r="B13" s="2941"/>
      <c r="C13" s="2941"/>
      <c r="D13" s="2944"/>
      <c r="E13" s="2941"/>
      <c r="F13" s="2941"/>
      <c r="G13" s="2941"/>
    </row>
    <row r="14" s="2902" customFormat="1" ht="13.5" spans="1:29">
      <c r="A14" s="2945"/>
      <c r="B14" s="2945"/>
      <c r="C14" s="2946" t="s">
        <v>553</v>
      </c>
      <c r="D14" s="2924"/>
      <c r="E14" s="2947"/>
      <c r="F14" s="2947"/>
      <c r="G14" s="2918" t="s">
        <v>554</v>
      </c>
      <c r="H14" s="2948"/>
      <c r="I14" s="2974"/>
      <c r="J14" s="2948"/>
      <c r="K14" s="2948"/>
      <c r="L14" s="2974"/>
      <c r="M14" s="2948"/>
      <c r="N14" s="2948"/>
      <c r="O14" s="2974"/>
      <c r="P14" s="2948"/>
      <c r="Q14" s="2948"/>
      <c r="R14" s="2978"/>
      <c r="S14" s="2904"/>
      <c r="T14" s="2904"/>
      <c r="U14" s="2904"/>
      <c r="V14" s="2904"/>
      <c r="W14" s="2904"/>
      <c r="X14" s="2904"/>
      <c r="Y14" s="2904"/>
      <c r="Z14" s="2904"/>
      <c r="AA14" s="2904"/>
      <c r="AB14" s="2904"/>
      <c r="AC14" s="2904"/>
    </row>
    <row r="15" s="2902" customFormat="1" ht="36" spans="1:29">
      <c r="A15" s="2949" t="s">
        <v>555</v>
      </c>
      <c r="B15" s="2950" t="s">
        <v>556</v>
      </c>
      <c r="C15" s="2951" t="str">
        <f>C3</f>
        <v>估价对象周边居住用地比例、居住小区规模和社区发展完善程度，综合评价居住社区成熟度一般</v>
      </c>
      <c r="D15" s="2924"/>
      <c r="E15" s="2952" t="s">
        <v>555</v>
      </c>
      <c r="F15" s="2950" t="s">
        <v>558</v>
      </c>
      <c r="G15" s="2953" t="str">
        <f>G3</f>
        <v>估价对象位于XX开发区，园区建设成熟度XX，产业集聚程度XX</v>
      </c>
      <c r="H15" s="2948"/>
      <c r="I15" s="2974"/>
      <c r="J15" s="2948"/>
      <c r="K15" s="2948"/>
      <c r="L15" s="2974"/>
      <c r="M15" s="2948"/>
      <c r="N15" s="2948"/>
      <c r="O15" s="2974"/>
      <c r="P15" s="2948"/>
      <c r="Q15" s="2948"/>
      <c r="R15" s="2978"/>
      <c r="S15" s="2904"/>
      <c r="T15" s="2904"/>
      <c r="U15" s="2904"/>
      <c r="V15" s="2904"/>
      <c r="W15" s="2904"/>
      <c r="X15" s="2904"/>
      <c r="Y15" s="2904"/>
      <c r="Z15" s="2904"/>
      <c r="AA15" s="2904"/>
      <c r="AB15" s="2904"/>
      <c r="AC15" s="2904"/>
    </row>
    <row r="16" s="2902" customFormat="1" ht="24.75" spans="1:29">
      <c r="A16" s="2954"/>
      <c r="B16" s="2545" t="s">
        <v>560</v>
      </c>
      <c r="C16" s="2955" t="str">
        <f>C4</f>
        <v>估价对象位于XX商圈，周边商业氛围成熟，人流量大，商业繁华度好</v>
      </c>
      <c r="D16" s="2924"/>
      <c r="E16" s="2956"/>
      <c r="F16" s="2547" t="s">
        <v>562</v>
      </c>
      <c r="G16" s="2957" t="str">
        <f>G4</f>
        <v>估价对象周边道路状况、公共交通通达情况、停车便捷程度，综合评价交通便捷度较好</v>
      </c>
      <c r="H16" s="2948"/>
      <c r="I16" s="2974"/>
      <c r="J16" s="2948"/>
      <c r="K16" s="2948"/>
      <c r="L16" s="2974"/>
      <c r="M16" s="2948"/>
      <c r="N16" s="2948"/>
      <c r="O16" s="2974"/>
      <c r="P16" s="2948"/>
      <c r="Q16" s="2948"/>
      <c r="R16" s="2978"/>
      <c r="S16" s="2904"/>
      <c r="T16" s="2904"/>
      <c r="U16" s="2904"/>
      <c r="V16" s="2904"/>
      <c r="W16" s="2904"/>
      <c r="X16" s="2904"/>
      <c r="Y16" s="2904"/>
      <c r="Z16" s="2904"/>
      <c r="AA16" s="2904"/>
      <c r="AB16" s="2904"/>
      <c r="AC16" s="2904"/>
    </row>
    <row r="17" s="2902" customFormat="1" ht="24.75" spans="1:29">
      <c r="A17" s="2954"/>
      <c r="B17" s="2545" t="s">
        <v>564</v>
      </c>
      <c r="C17" s="2955" t="str">
        <f>C5</f>
        <v>估价对象位于XX商圈，周边办公楼项目较多，入驻率高，办公集聚程度较好</v>
      </c>
      <c r="D17" s="2554"/>
      <c r="E17" s="2956"/>
      <c r="F17" s="2547" t="s">
        <v>576</v>
      </c>
      <c r="G17" s="2958"/>
      <c r="H17" s="2948"/>
      <c r="I17" s="2974"/>
      <c r="J17" s="2948"/>
      <c r="K17" s="2948"/>
      <c r="L17" s="2974"/>
      <c r="M17" s="2948"/>
      <c r="N17" s="2948"/>
      <c r="O17" s="2974"/>
      <c r="P17" s="2948"/>
      <c r="Q17" s="2948"/>
      <c r="R17" s="2978"/>
      <c r="S17" s="2904"/>
      <c r="T17" s="2904"/>
      <c r="U17" s="2904"/>
      <c r="V17" s="2904"/>
      <c r="W17" s="2904"/>
      <c r="X17" s="2904"/>
      <c r="Y17" s="2904"/>
      <c r="Z17" s="2904"/>
      <c r="AA17" s="2904"/>
      <c r="AB17" s="2904"/>
      <c r="AC17" s="2904"/>
    </row>
    <row r="18" s="2902" customFormat="1" ht="36" spans="1:29">
      <c r="A18" s="2954"/>
      <c r="B18" s="2547" t="s">
        <v>562</v>
      </c>
      <c r="C18" s="2957" t="str">
        <f>C6</f>
        <v>估价对象周边道路状况、公共交通通达情况、停车便捷程度，综合评价交通便捷度较好</v>
      </c>
      <c r="D18" s="2554"/>
      <c r="E18" s="2956"/>
      <c r="F18" s="2547" t="s">
        <v>570</v>
      </c>
      <c r="G18" s="2957" t="str">
        <f>G7</f>
        <v>该园区内是否有污染型企业，绿化情况，卫生条件，整体环境状况判断</v>
      </c>
      <c r="H18" s="2948"/>
      <c r="I18" s="2974"/>
      <c r="J18" s="2948"/>
      <c r="K18" s="2948"/>
      <c r="L18" s="2974"/>
      <c r="M18" s="2948"/>
      <c r="N18" s="2948"/>
      <c r="O18" s="2974"/>
      <c r="P18" s="2948"/>
      <c r="Q18" s="2948"/>
      <c r="R18" s="2978"/>
      <c r="S18" s="2904"/>
      <c r="T18" s="2904"/>
      <c r="U18" s="2904"/>
      <c r="V18" s="2904"/>
      <c r="W18" s="2904"/>
      <c r="X18" s="2904"/>
      <c r="Y18" s="2904"/>
      <c r="Z18" s="2904"/>
      <c r="AA18" s="2904"/>
      <c r="AB18" s="2904"/>
      <c r="AC18" s="2904"/>
    </row>
    <row r="19" s="2902" customFormat="1" ht="12.75" spans="1:29">
      <c r="A19" s="2954"/>
      <c r="B19" s="2547" t="s">
        <v>576</v>
      </c>
      <c r="C19" s="2958"/>
      <c r="D19" s="2924"/>
      <c r="E19" s="2956"/>
      <c r="F19" s="2171" t="s">
        <v>566</v>
      </c>
      <c r="G19" s="2957" t="str">
        <f>G5</f>
        <v>估价对象所在区域公共配套设施齐备情况</v>
      </c>
      <c r="H19" s="2948"/>
      <c r="I19" s="2974"/>
      <c r="J19" s="2948"/>
      <c r="K19" s="2948"/>
      <c r="L19" s="2974"/>
      <c r="M19" s="2948"/>
      <c r="N19" s="2948"/>
      <c r="O19" s="2974"/>
      <c r="P19" s="2948"/>
      <c r="Q19" s="2948"/>
      <c r="R19" s="2978"/>
      <c r="S19" s="2904"/>
      <c r="T19" s="2904"/>
      <c r="U19" s="2904"/>
      <c r="V19" s="2904"/>
      <c r="W19" s="2904"/>
      <c r="X19" s="2904"/>
      <c r="Y19" s="2904"/>
      <c r="Z19" s="2904"/>
      <c r="AA19" s="2904"/>
      <c r="AB19" s="2904"/>
      <c r="AC19" s="2904"/>
    </row>
    <row r="20" s="2902" customFormat="1" ht="24" spans="1:29">
      <c r="A20" s="2954"/>
      <c r="B20" s="2547" t="s">
        <v>577</v>
      </c>
      <c r="C20" s="2955" t="str">
        <f>C9</f>
        <v>区域自然环境：；人文环境；综合评价环境状况一般</v>
      </c>
      <c r="D20" s="2554"/>
      <c r="E20" s="2956"/>
      <c r="F20" s="2171" t="s">
        <v>568</v>
      </c>
      <c r="G20" s="2957" t="str">
        <f>G6</f>
        <v>估价对象所在区域基础设施水平</v>
      </c>
      <c r="H20" s="2948"/>
      <c r="I20" s="2974"/>
      <c r="J20" s="2948"/>
      <c r="K20" s="2948"/>
      <c r="L20" s="2974"/>
      <c r="M20" s="2948"/>
      <c r="N20" s="2948"/>
      <c r="O20" s="2974"/>
      <c r="P20" s="2948"/>
      <c r="Q20" s="2948"/>
      <c r="R20" s="2978"/>
      <c r="S20" s="2904"/>
      <c r="T20" s="2904"/>
      <c r="U20" s="2904"/>
      <c r="V20" s="2904"/>
      <c r="W20" s="2904"/>
      <c r="X20" s="2904"/>
      <c r="Y20" s="2904"/>
      <c r="Z20" s="2904"/>
      <c r="AA20" s="2904"/>
      <c r="AB20" s="2904"/>
      <c r="AC20" s="2904"/>
    </row>
    <row r="21" s="2902" customFormat="1" ht="24" spans="1:29">
      <c r="A21" s="2954"/>
      <c r="B21" s="2171" t="s">
        <v>566</v>
      </c>
      <c r="C21" s="2957" t="str">
        <f>C7</f>
        <v>估价对象所在区域公共配套设施齐备情况</v>
      </c>
      <c r="D21" s="2924"/>
      <c r="E21" s="2956"/>
      <c r="F21" s="2547" t="s">
        <v>578</v>
      </c>
      <c r="G21" s="2959"/>
      <c r="H21" s="2948"/>
      <c r="I21" s="2974"/>
      <c r="J21" s="2948"/>
      <c r="K21" s="2948"/>
      <c r="L21" s="2974"/>
      <c r="M21" s="2948"/>
      <c r="N21" s="2948"/>
      <c r="O21" s="2974"/>
      <c r="P21" s="2948"/>
      <c r="Q21" s="2948"/>
      <c r="R21" s="2978"/>
      <c r="S21" s="2904"/>
      <c r="T21" s="2904"/>
      <c r="U21" s="2904"/>
      <c r="V21" s="2904"/>
      <c r="W21" s="2904"/>
      <c r="X21" s="2904"/>
      <c r="Y21" s="2904"/>
      <c r="Z21" s="2904"/>
      <c r="AA21" s="2904"/>
      <c r="AB21" s="2904"/>
      <c r="AC21" s="2904"/>
    </row>
    <row r="22" s="2902" customFormat="1" ht="12.75" spans="1:29">
      <c r="A22" s="2954"/>
      <c r="B22" s="2171" t="s">
        <v>568</v>
      </c>
      <c r="C22" s="2957" t="str">
        <f>C8</f>
        <v>估价对象所在区域基础设施水平</v>
      </c>
      <c r="D22" s="2924"/>
      <c r="E22" s="2956"/>
      <c r="F22" s="2547" t="s">
        <v>574</v>
      </c>
      <c r="G22" s="2960"/>
      <c r="H22" s="2948"/>
      <c r="I22" s="2974"/>
      <c r="J22" s="2948"/>
      <c r="K22" s="2948"/>
      <c r="L22" s="2974"/>
      <c r="M22" s="2948"/>
      <c r="N22" s="2948"/>
      <c r="O22" s="2974"/>
      <c r="P22" s="2948"/>
      <c r="Q22" s="2948"/>
      <c r="R22" s="2978"/>
      <c r="S22" s="2904"/>
      <c r="T22" s="2904"/>
      <c r="U22" s="2904"/>
      <c r="V22" s="2904"/>
      <c r="W22" s="2904"/>
      <c r="X22" s="2904"/>
      <c r="Y22" s="2904"/>
      <c r="Z22" s="2904"/>
      <c r="AA22" s="2904"/>
      <c r="AB22" s="2904"/>
      <c r="AC22" s="2904"/>
    </row>
    <row r="23" s="2904" customFormat="1" ht="13.5" spans="1:18">
      <c r="A23" s="2954"/>
      <c r="B23" s="2547" t="s">
        <v>578</v>
      </c>
      <c r="C23" s="2959"/>
      <c r="D23" s="2948"/>
      <c r="E23" s="2961"/>
      <c r="F23" s="2555" t="s">
        <v>351</v>
      </c>
      <c r="G23" s="2962"/>
      <c r="H23" s="2948"/>
      <c r="I23" s="2974"/>
      <c r="J23" s="2948"/>
      <c r="K23" s="2948"/>
      <c r="L23" s="2974"/>
      <c r="M23" s="2948"/>
      <c r="N23" s="2948"/>
      <c r="O23" s="2974"/>
      <c r="P23" s="2948"/>
      <c r="Q23" s="2948"/>
      <c r="R23" s="2978"/>
    </row>
    <row r="24" s="2904" customFormat="1" ht="13.5" spans="1:18">
      <c r="A24" s="2963"/>
      <c r="B24" s="2555" t="s">
        <v>574</v>
      </c>
      <c r="C24" s="2964">
        <f>C10</f>
        <v>0</v>
      </c>
      <c r="D24" s="2948"/>
      <c r="E24" s="2965"/>
      <c r="F24" s="2965"/>
      <c r="G24" s="2966"/>
      <c r="H24" s="2948"/>
      <c r="I24" s="2974"/>
      <c r="J24" s="2948"/>
      <c r="K24" s="2948"/>
      <c r="L24" s="2974"/>
      <c r="M24" s="2948"/>
      <c r="N24" s="2948"/>
      <c r="O24" s="2974"/>
      <c r="P24" s="2948"/>
      <c r="Q24" s="2948"/>
      <c r="R24" s="2978"/>
    </row>
    <row r="25" s="2905" customFormat="1" spans="2:18">
      <c r="B25" s="2910"/>
      <c r="C25" s="2910"/>
      <c r="D25" s="2910"/>
      <c r="H25" s="2910"/>
      <c r="I25" s="2911"/>
      <c r="J25" s="2910"/>
      <c r="K25" s="2910"/>
      <c r="L25" s="2911"/>
      <c r="M25" s="2910"/>
      <c r="N25" s="2910"/>
      <c r="O25" s="2911"/>
      <c r="P25" s="2910"/>
      <c r="Q25" s="2910"/>
      <c r="R25" s="2912"/>
    </row>
    <row r="26" s="2905" customFormat="1" spans="2:18">
      <c r="B26" s="2910"/>
      <c r="C26" s="2910"/>
      <c r="D26" s="2910"/>
      <c r="H26" s="2910"/>
      <c r="I26" s="2911"/>
      <c r="J26" s="2910"/>
      <c r="K26" s="2910"/>
      <c r="L26" s="2911"/>
      <c r="M26" s="2910"/>
      <c r="N26" s="2910"/>
      <c r="O26" s="2911"/>
      <c r="P26" s="2910"/>
      <c r="Q26" s="2910"/>
      <c r="R26" s="2912"/>
    </row>
    <row r="27" s="2905" customFormat="1" spans="2:18">
      <c r="B27" s="2910"/>
      <c r="C27" s="2910"/>
      <c r="D27" s="2910"/>
      <c r="H27" s="2910"/>
      <c r="I27" s="2911"/>
      <c r="J27" s="2910"/>
      <c r="K27" s="2910"/>
      <c r="L27" s="2911"/>
      <c r="M27" s="2910"/>
      <c r="N27" s="2910"/>
      <c r="O27" s="2911"/>
      <c r="P27" s="2910"/>
      <c r="Q27" s="2910"/>
      <c r="R27" s="2912"/>
    </row>
    <row r="28" s="2905" customFormat="1" spans="2:18">
      <c r="B28" s="2910"/>
      <c r="C28" s="2910"/>
      <c r="D28" s="2910"/>
      <c r="H28" s="2910"/>
      <c r="I28" s="2911"/>
      <c r="J28" s="2910"/>
      <c r="K28" s="2910"/>
      <c r="L28" s="2911"/>
      <c r="M28" s="2910"/>
      <c r="N28" s="2910"/>
      <c r="O28" s="2911"/>
      <c r="P28" s="2910"/>
      <c r="Q28" s="2910"/>
      <c r="R28" s="2912"/>
    </row>
    <row r="29" s="2905" customFormat="1" spans="2:18">
      <c r="B29" s="2910"/>
      <c r="C29" s="2910"/>
      <c r="D29" s="2910"/>
      <c r="H29" s="2910"/>
      <c r="I29" s="2911"/>
      <c r="J29" s="2910"/>
      <c r="K29" s="2910"/>
      <c r="L29" s="2911"/>
      <c r="M29" s="2910"/>
      <c r="N29" s="2910"/>
      <c r="O29" s="2911"/>
      <c r="P29" s="2910"/>
      <c r="Q29" s="2910"/>
      <c r="R29" s="2912"/>
    </row>
    <row r="30" s="2905" customFormat="1" spans="2:18">
      <c r="B30" s="2910"/>
      <c r="C30" s="2910"/>
      <c r="D30" s="2910"/>
      <c r="H30" s="2910"/>
      <c r="I30" s="2911"/>
      <c r="J30" s="2910"/>
      <c r="K30" s="2910"/>
      <c r="L30" s="2911"/>
      <c r="M30" s="2910"/>
      <c r="N30" s="2910"/>
      <c r="O30" s="2911"/>
      <c r="P30" s="2910"/>
      <c r="Q30" s="2910"/>
      <c r="R30" s="2912"/>
    </row>
    <row r="31" s="2905" customFormat="1" spans="2:18">
      <c r="B31" s="2910"/>
      <c r="C31" s="2910"/>
      <c r="D31" s="2910"/>
      <c r="H31" s="2910"/>
      <c r="I31" s="2911"/>
      <c r="J31" s="2910"/>
      <c r="K31" s="2910"/>
      <c r="L31" s="2911"/>
      <c r="M31" s="2910"/>
      <c r="N31" s="2910"/>
      <c r="O31" s="2911"/>
      <c r="P31" s="2910"/>
      <c r="Q31" s="2910"/>
      <c r="R31" s="2912"/>
    </row>
    <row r="32" s="2905" customFormat="1" spans="2:18">
      <c r="B32" s="2910"/>
      <c r="C32" s="2910"/>
      <c r="D32" s="2910"/>
      <c r="H32" s="2910"/>
      <c r="I32" s="2911"/>
      <c r="J32" s="2910"/>
      <c r="K32" s="2910"/>
      <c r="L32" s="2911"/>
      <c r="M32" s="2910"/>
      <c r="N32" s="2910"/>
      <c r="O32" s="2911"/>
      <c r="P32" s="2910"/>
      <c r="Q32" s="2910"/>
      <c r="R32" s="2912"/>
    </row>
    <row r="33" s="2905" customFormat="1" spans="2:18">
      <c r="B33" s="2910"/>
      <c r="C33" s="2910"/>
      <c r="D33" s="2910"/>
      <c r="H33" s="2910"/>
      <c r="I33" s="2911"/>
      <c r="J33" s="2910"/>
      <c r="K33" s="2910"/>
      <c r="L33" s="2911"/>
      <c r="M33" s="2910"/>
      <c r="N33" s="2910"/>
      <c r="O33" s="2911"/>
      <c r="P33" s="2910"/>
      <c r="Q33" s="2910"/>
      <c r="R33" s="2912"/>
    </row>
    <row r="34" s="2905" customFormat="1" spans="2:18">
      <c r="B34" s="2910"/>
      <c r="C34" s="2910"/>
      <c r="D34" s="2910"/>
      <c r="H34" s="2910"/>
      <c r="I34" s="2911"/>
      <c r="J34" s="2910"/>
      <c r="K34" s="2910"/>
      <c r="L34" s="2911"/>
      <c r="M34" s="2910"/>
      <c r="N34" s="2910"/>
      <c r="O34" s="2911"/>
      <c r="P34" s="2910"/>
      <c r="Q34" s="2910"/>
      <c r="R34" s="2912"/>
    </row>
    <row r="35" s="2905" customFormat="1" spans="2:18">
      <c r="B35" s="2910"/>
      <c r="C35" s="2910"/>
      <c r="D35" s="2910"/>
      <c r="H35" s="2910"/>
      <c r="I35" s="2911"/>
      <c r="J35" s="2910"/>
      <c r="K35" s="2910"/>
      <c r="L35" s="2911"/>
      <c r="M35" s="2910"/>
      <c r="N35" s="2910"/>
      <c r="O35" s="2911"/>
      <c r="P35" s="2910"/>
      <c r="Q35" s="2910"/>
      <c r="R35" s="2912"/>
    </row>
    <row r="36" s="2905" customFormat="1" spans="2:18">
      <c r="B36" s="2910"/>
      <c r="C36" s="2910"/>
      <c r="D36" s="2910"/>
      <c r="H36" s="2910"/>
      <c r="I36" s="2911"/>
      <c r="J36" s="2910"/>
      <c r="K36" s="2910"/>
      <c r="L36" s="2911"/>
      <c r="M36" s="2910"/>
      <c r="N36" s="2910"/>
      <c r="O36" s="2911"/>
      <c r="P36" s="2910"/>
      <c r="Q36" s="2910"/>
      <c r="R36" s="2912"/>
    </row>
    <row r="37" s="2905" customFormat="1" spans="2:18">
      <c r="B37" s="2910"/>
      <c r="C37" s="2910"/>
      <c r="D37" s="2910"/>
      <c r="H37" s="2910"/>
      <c r="I37" s="2911"/>
      <c r="J37" s="2910"/>
      <c r="K37" s="2910"/>
      <c r="L37" s="2911"/>
      <c r="M37" s="2910"/>
      <c r="N37" s="2910"/>
      <c r="O37" s="2911"/>
      <c r="P37" s="2910"/>
      <c r="Q37" s="2910"/>
      <c r="R37" s="2912"/>
    </row>
    <row r="38" s="2905" customFormat="1" spans="2:18">
      <c r="B38" s="2910"/>
      <c r="C38" s="2910"/>
      <c r="D38" s="2910"/>
      <c r="E38" s="2910"/>
      <c r="F38" s="2910"/>
      <c r="G38" s="2911"/>
      <c r="H38" s="2910"/>
      <c r="I38" s="2911"/>
      <c r="J38" s="2910"/>
      <c r="K38" s="2910"/>
      <c r="L38" s="2911"/>
      <c r="M38" s="2910"/>
      <c r="N38" s="2910"/>
      <c r="O38" s="2911"/>
      <c r="P38" s="2910"/>
      <c r="Q38" s="2910"/>
      <c r="R38" s="2912"/>
    </row>
    <row r="39" s="2905" customFormat="1" spans="2:18">
      <c r="B39" s="2910"/>
      <c r="C39" s="2910"/>
      <c r="D39" s="2910"/>
      <c r="E39" s="2910"/>
      <c r="F39" s="2910"/>
      <c r="G39" s="2911"/>
      <c r="H39" s="2910"/>
      <c r="I39" s="2911"/>
      <c r="J39" s="2910"/>
      <c r="K39" s="2910"/>
      <c r="L39" s="2911"/>
      <c r="M39" s="2910"/>
      <c r="N39" s="2910"/>
      <c r="O39" s="2911"/>
      <c r="P39" s="2910"/>
      <c r="Q39" s="2910"/>
      <c r="R39" s="2912"/>
    </row>
    <row r="40" s="2905" customFormat="1" spans="2:18">
      <c r="B40" s="2910"/>
      <c r="C40" s="2910"/>
      <c r="D40" s="2910"/>
      <c r="E40" s="2910"/>
      <c r="F40" s="2910"/>
      <c r="G40" s="2911"/>
      <c r="H40" s="2910"/>
      <c r="I40" s="2911"/>
      <c r="J40" s="2910"/>
      <c r="K40" s="2910"/>
      <c r="L40" s="2911"/>
      <c r="M40" s="2910"/>
      <c r="N40" s="2910"/>
      <c r="O40" s="2911"/>
      <c r="P40" s="2910"/>
      <c r="Q40" s="2910"/>
      <c r="R40" s="2912"/>
    </row>
    <row r="41" s="2905" customFormat="1" spans="2:18">
      <c r="B41" s="2910"/>
      <c r="C41" s="2910"/>
      <c r="D41" s="2910"/>
      <c r="E41" s="2910"/>
      <c r="F41" s="2910"/>
      <c r="G41" s="2911"/>
      <c r="H41" s="2910"/>
      <c r="I41" s="2911"/>
      <c r="J41" s="2910"/>
      <c r="K41" s="2910"/>
      <c r="L41" s="2911"/>
      <c r="M41" s="2910"/>
      <c r="N41" s="2910"/>
      <c r="O41" s="2911"/>
      <c r="P41" s="2910"/>
      <c r="Q41" s="2910"/>
      <c r="R41" s="2912"/>
    </row>
    <row r="42" s="2905" customFormat="1" spans="2:18">
      <c r="B42" s="2910"/>
      <c r="C42" s="2910"/>
      <c r="D42" s="2910"/>
      <c r="E42" s="2910"/>
      <c r="F42" s="2910"/>
      <c r="G42" s="2911"/>
      <c r="H42" s="2910"/>
      <c r="I42" s="2911"/>
      <c r="J42" s="2910"/>
      <c r="K42" s="2910"/>
      <c r="L42" s="2911"/>
      <c r="M42" s="2910"/>
      <c r="N42" s="2910"/>
      <c r="O42" s="2911"/>
      <c r="P42" s="2910"/>
      <c r="Q42" s="2910"/>
      <c r="R42" s="2912"/>
    </row>
    <row r="43" s="2905" customFormat="1" spans="2:18">
      <c r="B43" s="2910"/>
      <c r="C43" s="2910"/>
      <c r="D43" s="2910"/>
      <c r="E43" s="2910"/>
      <c r="F43" s="2910"/>
      <c r="G43" s="2911"/>
      <c r="H43" s="2910"/>
      <c r="I43" s="2911"/>
      <c r="J43" s="2910"/>
      <c r="K43" s="2910"/>
      <c r="L43" s="2911"/>
      <c r="M43" s="2910"/>
      <c r="N43" s="2910"/>
      <c r="O43" s="2911"/>
      <c r="P43" s="2910"/>
      <c r="Q43" s="2910"/>
      <c r="R43" s="2912"/>
    </row>
    <row r="44" s="2905" customFormat="1" spans="2:18">
      <c r="B44" s="2910"/>
      <c r="C44" s="2910"/>
      <c r="D44" s="2910"/>
      <c r="E44" s="2910"/>
      <c r="F44" s="2910"/>
      <c r="G44" s="2911"/>
      <c r="H44" s="2910"/>
      <c r="I44" s="2911"/>
      <c r="J44" s="2910"/>
      <c r="K44" s="2910"/>
      <c r="L44" s="2911"/>
      <c r="M44" s="2910"/>
      <c r="N44" s="2910"/>
      <c r="O44" s="2911"/>
      <c r="P44" s="2910"/>
      <c r="Q44" s="2910"/>
      <c r="R44" s="2912"/>
    </row>
    <row r="45" s="2905" customFormat="1" spans="2:18">
      <c r="B45" s="2910"/>
      <c r="C45" s="2910"/>
      <c r="D45" s="2910"/>
      <c r="E45" s="2910"/>
      <c r="F45" s="2910"/>
      <c r="G45" s="2911"/>
      <c r="H45" s="2910"/>
      <c r="I45" s="2911"/>
      <c r="J45" s="2910"/>
      <c r="K45" s="2910"/>
      <c r="L45" s="2911"/>
      <c r="M45" s="2910"/>
      <c r="N45" s="2910"/>
      <c r="O45" s="2911"/>
      <c r="P45" s="2910"/>
      <c r="Q45" s="2910"/>
      <c r="R45" s="2912"/>
    </row>
    <row r="46" s="2905" customFormat="1" spans="2:18">
      <c r="B46" s="2910"/>
      <c r="C46" s="2910"/>
      <c r="D46" s="2910"/>
      <c r="E46" s="2910"/>
      <c r="F46" s="2910"/>
      <c r="G46" s="2911"/>
      <c r="H46" s="2910"/>
      <c r="I46" s="2911"/>
      <c r="J46" s="2910"/>
      <c r="K46" s="2910"/>
      <c r="L46" s="2911"/>
      <c r="M46" s="2910"/>
      <c r="N46" s="2910"/>
      <c r="O46" s="2911"/>
      <c r="P46" s="2910"/>
      <c r="Q46" s="2910"/>
      <c r="R46" s="2912"/>
    </row>
    <row r="47" s="2905" customFormat="1" spans="2:18">
      <c r="B47" s="2910"/>
      <c r="C47" s="2910"/>
      <c r="D47" s="2910"/>
      <c r="E47" s="2910"/>
      <c r="F47" s="2910"/>
      <c r="G47" s="2911"/>
      <c r="H47" s="2910"/>
      <c r="I47" s="2911"/>
      <c r="J47" s="2910"/>
      <c r="K47" s="2910"/>
      <c r="L47" s="2911"/>
      <c r="M47" s="2910"/>
      <c r="N47" s="2910"/>
      <c r="O47" s="2911"/>
      <c r="P47" s="2910"/>
      <c r="Q47" s="2910"/>
      <c r="R47" s="2912"/>
    </row>
    <row r="48" s="2905" customFormat="1" spans="2:18">
      <c r="B48" s="2910"/>
      <c r="C48" s="2910"/>
      <c r="D48" s="2910"/>
      <c r="E48" s="2910"/>
      <c r="F48" s="2910"/>
      <c r="G48" s="2911"/>
      <c r="H48" s="2910"/>
      <c r="I48" s="2911"/>
      <c r="J48" s="2910"/>
      <c r="K48" s="2910"/>
      <c r="L48" s="2911"/>
      <c r="M48" s="2910"/>
      <c r="N48" s="2910"/>
      <c r="O48" s="2911"/>
      <c r="P48" s="2910"/>
      <c r="Q48" s="2910"/>
      <c r="R48" s="2912"/>
    </row>
    <row r="49" s="2905" customFormat="1" spans="2:18">
      <c r="B49" s="2910"/>
      <c r="C49" s="2910"/>
      <c r="D49" s="2910"/>
      <c r="E49" s="2910"/>
      <c r="F49" s="2910"/>
      <c r="G49" s="2911"/>
      <c r="H49" s="2910"/>
      <c r="I49" s="2911"/>
      <c r="J49" s="2910"/>
      <c r="K49" s="2910"/>
      <c r="L49" s="2911"/>
      <c r="M49" s="2910"/>
      <c r="N49" s="2910"/>
      <c r="O49" s="2911"/>
      <c r="P49" s="2910"/>
      <c r="Q49" s="2910"/>
      <c r="R49" s="2912"/>
    </row>
    <row r="50" s="2905" customFormat="1" spans="2:18">
      <c r="B50" s="2910"/>
      <c r="C50" s="2910"/>
      <c r="D50" s="2910"/>
      <c r="E50" s="2910"/>
      <c r="F50" s="2910"/>
      <c r="G50" s="2911"/>
      <c r="H50" s="2910"/>
      <c r="I50" s="2911"/>
      <c r="J50" s="2910"/>
      <c r="K50" s="2910"/>
      <c r="L50" s="2911"/>
      <c r="M50" s="2910"/>
      <c r="N50" s="2910"/>
      <c r="O50" s="2911"/>
      <c r="P50" s="2910"/>
      <c r="Q50" s="2910"/>
      <c r="R50" s="2912"/>
    </row>
    <row r="51" s="2905" customFormat="1" spans="2:18">
      <c r="B51" s="2910"/>
      <c r="C51" s="2910"/>
      <c r="D51" s="2910"/>
      <c r="E51" s="2910"/>
      <c r="F51" s="2910"/>
      <c r="G51" s="2911"/>
      <c r="H51" s="2910"/>
      <c r="I51" s="2911"/>
      <c r="J51" s="2910"/>
      <c r="K51" s="2910"/>
      <c r="L51" s="2911"/>
      <c r="M51" s="2910"/>
      <c r="N51" s="2910"/>
      <c r="O51" s="2911"/>
      <c r="P51" s="2910"/>
      <c r="Q51" s="2910"/>
      <c r="R51" s="2912"/>
    </row>
    <row r="52" s="2905" customFormat="1" spans="2:18">
      <c r="B52" s="2910"/>
      <c r="C52" s="2910"/>
      <c r="D52" s="2910"/>
      <c r="E52" s="2910"/>
      <c r="F52" s="2910"/>
      <c r="G52" s="2911"/>
      <c r="H52" s="2910"/>
      <c r="I52" s="2911"/>
      <c r="J52" s="2910"/>
      <c r="K52" s="2910"/>
      <c r="L52" s="2911"/>
      <c r="M52" s="2910"/>
      <c r="N52" s="2910"/>
      <c r="O52" s="2911"/>
      <c r="P52" s="2910"/>
      <c r="Q52" s="2910"/>
      <c r="R52" s="2912"/>
    </row>
    <row r="53" s="2905" customFormat="1" spans="2:18">
      <c r="B53" s="2910"/>
      <c r="C53" s="2910"/>
      <c r="D53" s="2910"/>
      <c r="E53" s="2910"/>
      <c r="F53" s="2910"/>
      <c r="G53" s="2911"/>
      <c r="H53" s="2910"/>
      <c r="I53" s="2911"/>
      <c r="J53" s="2910"/>
      <c r="K53" s="2910"/>
      <c r="L53" s="2911"/>
      <c r="M53" s="2910"/>
      <c r="N53" s="2910"/>
      <c r="O53" s="2911"/>
      <c r="P53" s="2910"/>
      <c r="Q53" s="2910"/>
      <c r="R53" s="2912"/>
    </row>
    <row r="54" s="2905" customFormat="1" spans="2:18">
      <c r="B54" s="2910"/>
      <c r="C54" s="2910"/>
      <c r="D54" s="2910"/>
      <c r="E54" s="2910"/>
      <c r="F54" s="2910"/>
      <c r="G54" s="2911"/>
      <c r="H54" s="2910"/>
      <c r="I54" s="2911"/>
      <c r="J54" s="2910"/>
      <c r="K54" s="2910"/>
      <c r="L54" s="2911"/>
      <c r="M54" s="2910"/>
      <c r="N54" s="2910"/>
      <c r="O54" s="2911"/>
      <c r="P54" s="2910"/>
      <c r="Q54" s="2910"/>
      <c r="R54" s="2912"/>
    </row>
    <row r="55" s="2905" customFormat="1" spans="2:18">
      <c r="B55" s="2910"/>
      <c r="C55" s="2910"/>
      <c r="D55" s="2910"/>
      <c r="E55" s="2910"/>
      <c r="F55" s="2910"/>
      <c r="G55" s="2911"/>
      <c r="H55" s="2910"/>
      <c r="I55" s="2911"/>
      <c r="J55" s="2910"/>
      <c r="K55" s="2910"/>
      <c r="L55" s="2911"/>
      <c r="M55" s="2910"/>
      <c r="N55" s="2910"/>
      <c r="O55" s="2911"/>
      <c r="P55" s="2910"/>
      <c r="Q55" s="2910"/>
      <c r="R55" s="2912"/>
    </row>
    <row r="56" s="2905" customFormat="1" spans="2:18">
      <c r="B56" s="2910"/>
      <c r="C56" s="2910"/>
      <c r="D56" s="2910"/>
      <c r="E56" s="2910"/>
      <c r="F56" s="2910"/>
      <c r="G56" s="2911"/>
      <c r="H56" s="2910"/>
      <c r="I56" s="2911"/>
      <c r="J56" s="2910"/>
      <c r="K56" s="2910"/>
      <c r="L56" s="2911"/>
      <c r="M56" s="2910"/>
      <c r="N56" s="2910"/>
      <c r="O56" s="2911"/>
      <c r="P56" s="2910"/>
      <c r="Q56" s="2910"/>
      <c r="R56" s="2912"/>
    </row>
    <row r="57" s="2905" customFormat="1" spans="2:18">
      <c r="B57" s="2910"/>
      <c r="C57" s="2910"/>
      <c r="D57" s="2910"/>
      <c r="E57" s="2910"/>
      <c r="F57" s="2910"/>
      <c r="G57" s="2911"/>
      <c r="H57" s="2910"/>
      <c r="I57" s="2911"/>
      <c r="J57" s="2910"/>
      <c r="K57" s="2910"/>
      <c r="L57" s="2911"/>
      <c r="M57" s="2910"/>
      <c r="N57" s="2910"/>
      <c r="O57" s="2911"/>
      <c r="P57" s="2910"/>
      <c r="Q57" s="2910"/>
      <c r="R57" s="2912"/>
    </row>
    <row r="58" s="2905" customFormat="1" spans="2:18">
      <c r="B58" s="2910"/>
      <c r="C58" s="2910"/>
      <c r="D58" s="2910"/>
      <c r="E58" s="2910"/>
      <c r="F58" s="2910"/>
      <c r="G58" s="2911"/>
      <c r="H58" s="2910"/>
      <c r="I58" s="2911"/>
      <c r="J58" s="2910"/>
      <c r="K58" s="2910"/>
      <c r="L58" s="2911"/>
      <c r="M58" s="2910"/>
      <c r="N58" s="2910"/>
      <c r="O58" s="2911"/>
      <c r="P58" s="2910"/>
      <c r="Q58" s="2910"/>
      <c r="R58" s="2912"/>
    </row>
    <row r="59" s="2905" customFormat="1" spans="2:18">
      <c r="B59" s="2910"/>
      <c r="C59" s="2910"/>
      <c r="D59" s="2910"/>
      <c r="E59" s="2910"/>
      <c r="F59" s="2910"/>
      <c r="G59" s="2911"/>
      <c r="H59" s="2910"/>
      <c r="I59" s="2911"/>
      <c r="J59" s="2910"/>
      <c r="K59" s="2910"/>
      <c r="L59" s="2911"/>
      <c r="M59" s="2910"/>
      <c r="N59" s="2910"/>
      <c r="O59" s="2911"/>
      <c r="P59" s="2910"/>
      <c r="Q59" s="2910"/>
      <c r="R59" s="2912"/>
    </row>
    <row r="60" s="2905" customFormat="1" spans="2:18">
      <c r="B60" s="2910"/>
      <c r="C60" s="2910"/>
      <c r="D60" s="2910"/>
      <c r="E60" s="2910"/>
      <c r="F60" s="2910"/>
      <c r="G60" s="2911"/>
      <c r="H60" s="2910"/>
      <c r="I60" s="2911"/>
      <c r="J60" s="2910"/>
      <c r="K60" s="2910"/>
      <c r="L60" s="2911"/>
      <c r="M60" s="2910"/>
      <c r="N60" s="2910"/>
      <c r="O60" s="2911"/>
      <c r="P60" s="2910"/>
      <c r="Q60" s="2910"/>
      <c r="R60" s="2912"/>
    </row>
    <row r="61" s="2905" customFormat="1" spans="2:18">
      <c r="B61" s="2910"/>
      <c r="C61" s="2910"/>
      <c r="D61" s="2910"/>
      <c r="E61" s="2910"/>
      <c r="F61" s="2910"/>
      <c r="G61" s="2911"/>
      <c r="H61" s="2910"/>
      <c r="I61" s="2911"/>
      <c r="J61" s="2910"/>
      <c r="K61" s="2910"/>
      <c r="L61" s="2911"/>
      <c r="M61" s="2910"/>
      <c r="N61" s="2910"/>
      <c r="O61" s="2911"/>
      <c r="P61" s="2910"/>
      <c r="Q61" s="2910"/>
      <c r="R61" s="2912"/>
    </row>
    <row r="62" s="2905" customFormat="1" spans="2:18">
      <c r="B62" s="2910"/>
      <c r="C62" s="2910"/>
      <c r="D62" s="2910"/>
      <c r="E62" s="2910"/>
      <c r="F62" s="2910"/>
      <c r="G62" s="2911"/>
      <c r="H62" s="2910"/>
      <c r="I62" s="2911"/>
      <c r="J62" s="2910"/>
      <c r="K62" s="2910"/>
      <c r="L62" s="2911"/>
      <c r="M62" s="2910"/>
      <c r="N62" s="2910"/>
      <c r="O62" s="2911"/>
      <c r="P62" s="2910"/>
      <c r="Q62" s="2910"/>
      <c r="R62" s="2912"/>
    </row>
    <row r="63" s="2905" customFormat="1" spans="2:18">
      <c r="B63" s="2910"/>
      <c r="C63" s="2910"/>
      <c r="D63" s="2910"/>
      <c r="E63" s="2910"/>
      <c r="F63" s="2910"/>
      <c r="G63" s="2911"/>
      <c r="H63" s="2910"/>
      <c r="I63" s="2911"/>
      <c r="J63" s="2910"/>
      <c r="K63" s="2910"/>
      <c r="L63" s="2911"/>
      <c r="M63" s="2910"/>
      <c r="N63" s="2910"/>
      <c r="O63" s="2911"/>
      <c r="P63" s="2910"/>
      <c r="Q63" s="2910"/>
      <c r="R63" s="2912"/>
    </row>
    <row r="64" s="2905" customFormat="1" spans="2:18">
      <c r="B64" s="2910"/>
      <c r="C64" s="2910"/>
      <c r="D64" s="2910"/>
      <c r="E64" s="2910"/>
      <c r="F64" s="2910"/>
      <c r="G64" s="2911"/>
      <c r="H64" s="2910"/>
      <c r="I64" s="2911"/>
      <c r="J64" s="2910"/>
      <c r="K64" s="2910"/>
      <c r="L64" s="2911"/>
      <c r="M64" s="2910"/>
      <c r="N64" s="2910"/>
      <c r="O64" s="2911"/>
      <c r="P64" s="2910"/>
      <c r="Q64" s="2910"/>
      <c r="R64" s="2912"/>
    </row>
    <row r="65" s="2905" customFormat="1" spans="2:18">
      <c r="B65" s="2910"/>
      <c r="C65" s="2910"/>
      <c r="D65" s="2910"/>
      <c r="E65" s="2910"/>
      <c r="F65" s="2910"/>
      <c r="G65" s="2911"/>
      <c r="H65" s="2910"/>
      <c r="I65" s="2911"/>
      <c r="J65" s="2910"/>
      <c r="K65" s="2910"/>
      <c r="L65" s="2911"/>
      <c r="M65" s="2910"/>
      <c r="N65" s="2910"/>
      <c r="O65" s="2911"/>
      <c r="P65" s="2910"/>
      <c r="Q65" s="2910"/>
      <c r="R65" s="2912"/>
    </row>
    <row r="66" s="2905" customFormat="1" spans="2:18">
      <c r="B66" s="2910"/>
      <c r="C66" s="2910"/>
      <c r="D66" s="2910"/>
      <c r="E66" s="2910"/>
      <c r="F66" s="2910"/>
      <c r="G66" s="2911"/>
      <c r="H66" s="2910"/>
      <c r="I66" s="2911"/>
      <c r="J66" s="2910"/>
      <c r="K66" s="2910"/>
      <c r="L66" s="2911"/>
      <c r="M66" s="2910"/>
      <c r="N66" s="2910"/>
      <c r="O66" s="2911"/>
      <c r="P66" s="2910"/>
      <c r="Q66" s="2910"/>
      <c r="R66" s="2912"/>
    </row>
    <row r="67" s="2905" customFormat="1" spans="2:18">
      <c r="B67" s="2910"/>
      <c r="C67" s="2910"/>
      <c r="D67" s="2910"/>
      <c r="E67" s="2910"/>
      <c r="F67" s="2910"/>
      <c r="G67" s="2911"/>
      <c r="H67" s="2910"/>
      <c r="I67" s="2911"/>
      <c r="J67" s="2910"/>
      <c r="K67" s="2910"/>
      <c r="L67" s="2911"/>
      <c r="M67" s="2910"/>
      <c r="N67" s="2910"/>
      <c r="O67" s="2911"/>
      <c r="P67" s="2910"/>
      <c r="Q67" s="2910"/>
      <c r="R67" s="2912"/>
    </row>
    <row r="68" s="2905" customFormat="1" spans="2:18">
      <c r="B68" s="2910"/>
      <c r="C68" s="2910"/>
      <c r="D68" s="2910"/>
      <c r="E68" s="2910"/>
      <c r="F68" s="2910"/>
      <c r="G68" s="2911"/>
      <c r="H68" s="2910"/>
      <c r="I68" s="2911"/>
      <c r="J68" s="2910"/>
      <c r="K68" s="2910"/>
      <c r="L68" s="2911"/>
      <c r="M68" s="2910"/>
      <c r="N68" s="2910"/>
      <c r="O68" s="2911"/>
      <c r="P68" s="2910"/>
      <c r="Q68" s="2910"/>
      <c r="R68" s="2912"/>
    </row>
    <row r="69" s="2905" customFormat="1" spans="2:18">
      <c r="B69" s="2910"/>
      <c r="C69" s="2910"/>
      <c r="D69" s="2910"/>
      <c r="E69" s="2910"/>
      <c r="F69" s="2910"/>
      <c r="G69" s="2911"/>
      <c r="H69" s="2910"/>
      <c r="I69" s="2911"/>
      <c r="J69" s="2910"/>
      <c r="K69" s="2910"/>
      <c r="L69" s="2911"/>
      <c r="M69" s="2910"/>
      <c r="N69" s="2910"/>
      <c r="O69" s="2911"/>
      <c r="P69" s="2910"/>
      <c r="Q69" s="2910"/>
      <c r="R69" s="2912"/>
    </row>
    <row r="70" s="2905" customFormat="1" spans="2:18">
      <c r="B70" s="2910"/>
      <c r="C70" s="2910"/>
      <c r="D70" s="2910"/>
      <c r="E70" s="2910"/>
      <c r="F70" s="2910"/>
      <c r="G70" s="2911"/>
      <c r="H70" s="2910"/>
      <c r="I70" s="2911"/>
      <c r="J70" s="2910"/>
      <c r="K70" s="2910"/>
      <c r="L70" s="2911"/>
      <c r="M70" s="2910"/>
      <c r="N70" s="2910"/>
      <c r="O70" s="2911"/>
      <c r="P70" s="2910"/>
      <c r="Q70" s="2910"/>
      <c r="R70" s="2912"/>
    </row>
    <row r="71" s="2905" customFormat="1" spans="2:18">
      <c r="B71" s="2910"/>
      <c r="C71" s="2910"/>
      <c r="D71" s="2910"/>
      <c r="E71" s="2910"/>
      <c r="F71" s="2910"/>
      <c r="G71" s="2911"/>
      <c r="H71" s="2910"/>
      <c r="I71" s="2911"/>
      <c r="J71" s="2910"/>
      <c r="K71" s="2910"/>
      <c r="L71" s="2911"/>
      <c r="M71" s="2910"/>
      <c r="N71" s="2910"/>
      <c r="O71" s="2911"/>
      <c r="P71" s="2910"/>
      <c r="Q71" s="2910"/>
      <c r="R71" s="2912"/>
    </row>
    <row r="72" s="2905" customFormat="1" spans="2:18">
      <c r="B72" s="2910"/>
      <c r="C72" s="2910"/>
      <c r="D72" s="2910"/>
      <c r="E72" s="2910"/>
      <c r="F72" s="2910"/>
      <c r="G72" s="2911"/>
      <c r="H72" s="2910"/>
      <c r="I72" s="2911"/>
      <c r="J72" s="2910"/>
      <c r="K72" s="2910"/>
      <c r="L72" s="2911"/>
      <c r="M72" s="2910"/>
      <c r="N72" s="2910"/>
      <c r="O72" s="2911"/>
      <c r="P72" s="2910"/>
      <c r="Q72" s="2910"/>
      <c r="R72" s="2912"/>
    </row>
    <row r="73" s="2905" customFormat="1" spans="2:18">
      <c r="B73" s="2910"/>
      <c r="C73" s="2910"/>
      <c r="D73" s="2910"/>
      <c r="E73" s="2910"/>
      <c r="F73" s="2910"/>
      <c r="G73" s="2911"/>
      <c r="H73" s="2910"/>
      <c r="I73" s="2911"/>
      <c r="J73" s="2910"/>
      <c r="K73" s="2910"/>
      <c r="L73" s="2911"/>
      <c r="M73" s="2910"/>
      <c r="N73" s="2910"/>
      <c r="O73" s="2911"/>
      <c r="P73" s="2910"/>
      <c r="Q73" s="2910"/>
      <c r="R73" s="2912"/>
    </row>
    <row r="74" s="2905" customFormat="1" spans="2:18">
      <c r="B74" s="2910"/>
      <c r="C74" s="2910"/>
      <c r="D74" s="2910"/>
      <c r="E74" s="2910"/>
      <c r="F74" s="2910"/>
      <c r="G74" s="2911"/>
      <c r="H74" s="2910"/>
      <c r="I74" s="2911"/>
      <c r="J74" s="2910"/>
      <c r="K74" s="2910"/>
      <c r="L74" s="2911"/>
      <c r="M74" s="2910"/>
      <c r="N74" s="2910"/>
      <c r="O74" s="2911"/>
      <c r="P74" s="2910"/>
      <c r="Q74" s="2910"/>
      <c r="R74" s="2912"/>
    </row>
    <row r="75" s="2905" customFormat="1" spans="2:18">
      <c r="B75" s="2910"/>
      <c r="C75" s="2910"/>
      <c r="D75" s="2910"/>
      <c r="E75" s="2910"/>
      <c r="F75" s="2910"/>
      <c r="G75" s="2911"/>
      <c r="H75" s="2910"/>
      <c r="I75" s="2911"/>
      <c r="J75" s="2910"/>
      <c r="K75" s="2910"/>
      <c r="L75" s="2911"/>
      <c r="M75" s="2910"/>
      <c r="N75" s="2910"/>
      <c r="O75" s="2911"/>
      <c r="P75" s="2910"/>
      <c r="Q75" s="2910"/>
      <c r="R75" s="2912"/>
    </row>
    <row r="76" s="2905" customFormat="1" spans="2:18">
      <c r="B76" s="2910"/>
      <c r="C76" s="2910"/>
      <c r="D76" s="2910"/>
      <c r="E76" s="2910"/>
      <c r="F76" s="2910"/>
      <c r="G76" s="2911"/>
      <c r="H76" s="2910"/>
      <c r="I76" s="2911"/>
      <c r="J76" s="2910"/>
      <c r="K76" s="2910"/>
      <c r="L76" s="2911"/>
      <c r="M76" s="2910"/>
      <c r="N76" s="2910"/>
      <c r="O76" s="2911"/>
      <c r="P76" s="2910"/>
      <c r="Q76" s="2910"/>
      <c r="R76" s="2912"/>
    </row>
    <row r="77" s="2905" customFormat="1" spans="2:18">
      <c r="B77" s="2910"/>
      <c r="C77" s="2910"/>
      <c r="D77" s="2910"/>
      <c r="E77" s="2910"/>
      <c r="F77" s="2910"/>
      <c r="G77" s="2911"/>
      <c r="H77" s="2910"/>
      <c r="I77" s="2911"/>
      <c r="J77" s="2910"/>
      <c r="K77" s="2910"/>
      <c r="L77" s="2911"/>
      <c r="M77" s="2910"/>
      <c r="N77" s="2910"/>
      <c r="O77" s="2911"/>
      <c r="P77" s="2910"/>
      <c r="Q77" s="2910"/>
      <c r="R77" s="2912"/>
    </row>
    <row r="78" s="2905" customFormat="1" spans="2:18">
      <c r="B78" s="2910"/>
      <c r="C78" s="2910"/>
      <c r="D78" s="2910"/>
      <c r="E78" s="2910"/>
      <c r="F78" s="2910"/>
      <c r="G78" s="2911"/>
      <c r="H78" s="2910"/>
      <c r="I78" s="2911"/>
      <c r="J78" s="2910"/>
      <c r="K78" s="2910"/>
      <c r="L78" s="2911"/>
      <c r="M78" s="2910"/>
      <c r="N78" s="2910"/>
      <c r="O78" s="2911"/>
      <c r="P78" s="2910"/>
      <c r="Q78" s="2910"/>
      <c r="R78" s="2912"/>
    </row>
    <row r="79" s="2905" customFormat="1" spans="2:18">
      <c r="B79" s="2910"/>
      <c r="C79" s="2910"/>
      <c r="D79" s="2910"/>
      <c r="E79" s="2910"/>
      <c r="F79" s="2910"/>
      <c r="G79" s="2911"/>
      <c r="H79" s="2910"/>
      <c r="I79" s="2911"/>
      <c r="J79" s="2910"/>
      <c r="K79" s="2910"/>
      <c r="L79" s="2911"/>
      <c r="M79" s="2910"/>
      <c r="N79" s="2910"/>
      <c r="O79" s="2911"/>
      <c r="P79" s="2910"/>
      <c r="Q79" s="2910"/>
      <c r="R79" s="2912"/>
    </row>
    <row r="80" s="2905" customFormat="1" spans="2:18">
      <c r="B80" s="2910"/>
      <c r="C80" s="2910"/>
      <c r="D80" s="2910"/>
      <c r="E80" s="2910"/>
      <c r="F80" s="2910"/>
      <c r="G80" s="2911"/>
      <c r="H80" s="2910"/>
      <c r="I80" s="2911"/>
      <c r="J80" s="2910"/>
      <c r="K80" s="2910"/>
      <c r="L80" s="2911"/>
      <c r="M80" s="2910"/>
      <c r="N80" s="2910"/>
      <c r="O80" s="2911"/>
      <c r="P80" s="2910"/>
      <c r="Q80" s="2910"/>
      <c r="R80" s="2912"/>
    </row>
    <row r="81" s="2905" customFormat="1" spans="2:18">
      <c r="B81" s="2910"/>
      <c r="C81" s="2910"/>
      <c r="D81" s="2910"/>
      <c r="E81" s="2910"/>
      <c r="F81" s="2910"/>
      <c r="G81" s="2911"/>
      <c r="H81" s="2910"/>
      <c r="I81" s="2911"/>
      <c r="J81" s="2910"/>
      <c r="K81" s="2910"/>
      <c r="L81" s="2911"/>
      <c r="M81" s="2910"/>
      <c r="N81" s="2910"/>
      <c r="O81" s="2911"/>
      <c r="P81" s="2910"/>
      <c r="Q81" s="2910"/>
      <c r="R81" s="2912"/>
    </row>
    <row r="82" s="2905" customFormat="1" spans="2:18">
      <c r="B82" s="2910"/>
      <c r="C82" s="2910"/>
      <c r="D82" s="2910"/>
      <c r="E82" s="2910"/>
      <c r="F82" s="2910"/>
      <c r="G82" s="2911"/>
      <c r="H82" s="2910"/>
      <c r="I82" s="2911"/>
      <c r="J82" s="2910"/>
      <c r="K82" s="2910"/>
      <c r="L82" s="2911"/>
      <c r="M82" s="2910"/>
      <c r="N82" s="2910"/>
      <c r="O82" s="2911"/>
      <c r="P82" s="2910"/>
      <c r="Q82" s="2910"/>
      <c r="R82" s="2912"/>
    </row>
    <row r="83" s="2905" customFormat="1" spans="2:18">
      <c r="B83" s="2910"/>
      <c r="C83" s="2910"/>
      <c r="D83" s="2910"/>
      <c r="E83" s="2910"/>
      <c r="F83" s="2910"/>
      <c r="G83" s="2911"/>
      <c r="H83" s="2910"/>
      <c r="I83" s="2911"/>
      <c r="J83" s="2910"/>
      <c r="K83" s="2910"/>
      <c r="L83" s="2911"/>
      <c r="M83" s="2910"/>
      <c r="N83" s="2910"/>
      <c r="O83" s="2911"/>
      <c r="P83" s="2910"/>
      <c r="Q83" s="2910"/>
      <c r="R83" s="2912"/>
    </row>
    <row r="84" s="2905" customFormat="1" spans="2:18">
      <c r="B84" s="2910"/>
      <c r="C84" s="2910"/>
      <c r="D84" s="2910"/>
      <c r="E84" s="2910"/>
      <c r="F84" s="2910"/>
      <c r="G84" s="2911"/>
      <c r="H84" s="2910"/>
      <c r="I84" s="2911"/>
      <c r="J84" s="2910"/>
      <c r="K84" s="2910"/>
      <c r="L84" s="2911"/>
      <c r="M84" s="2910"/>
      <c r="N84" s="2910"/>
      <c r="O84" s="2911"/>
      <c r="P84" s="2910"/>
      <c r="Q84" s="2910"/>
      <c r="R84" s="2912"/>
    </row>
    <row r="85" s="2905" customFormat="1" spans="2:18">
      <c r="B85" s="2910"/>
      <c r="C85" s="2910"/>
      <c r="D85" s="2910"/>
      <c r="E85" s="2910"/>
      <c r="F85" s="2910"/>
      <c r="G85" s="2911"/>
      <c r="H85" s="2910"/>
      <c r="I85" s="2911"/>
      <c r="J85" s="2910"/>
      <c r="K85" s="2910"/>
      <c r="L85" s="2911"/>
      <c r="M85" s="2910"/>
      <c r="N85" s="2910"/>
      <c r="O85" s="2911"/>
      <c r="P85" s="2910"/>
      <c r="Q85" s="2910"/>
      <c r="R85" s="2912"/>
    </row>
    <row r="86" s="2905" customFormat="1" spans="2:18">
      <c r="B86" s="2910"/>
      <c r="C86" s="2910"/>
      <c r="D86" s="2910"/>
      <c r="E86" s="2910"/>
      <c r="F86" s="2910"/>
      <c r="G86" s="2911"/>
      <c r="H86" s="2910"/>
      <c r="I86" s="2911"/>
      <c r="J86" s="2910"/>
      <c r="K86" s="2910"/>
      <c r="L86" s="2911"/>
      <c r="M86" s="2910"/>
      <c r="N86" s="2910"/>
      <c r="O86" s="2911"/>
      <c r="P86" s="2910"/>
      <c r="Q86" s="2910"/>
      <c r="R86" s="2912"/>
    </row>
    <row r="87" s="2905" customFormat="1" spans="2:18">
      <c r="B87" s="2910"/>
      <c r="C87" s="2910"/>
      <c r="D87" s="2910"/>
      <c r="E87" s="2910"/>
      <c r="F87" s="2910"/>
      <c r="G87" s="2911"/>
      <c r="H87" s="2910"/>
      <c r="I87" s="2911"/>
      <c r="J87" s="2910"/>
      <c r="K87" s="2910"/>
      <c r="L87" s="2911"/>
      <c r="M87" s="2910"/>
      <c r="N87" s="2910"/>
      <c r="O87" s="2911"/>
      <c r="P87" s="2910"/>
      <c r="Q87" s="2910"/>
      <c r="R87" s="2912"/>
    </row>
    <row r="88" s="2905" customFormat="1" spans="2:18">
      <c r="B88" s="2910"/>
      <c r="C88" s="2910"/>
      <c r="D88" s="2910"/>
      <c r="E88" s="2910"/>
      <c r="F88" s="2910"/>
      <c r="G88" s="2911"/>
      <c r="H88" s="2910"/>
      <c r="I88" s="2911"/>
      <c r="J88" s="2910"/>
      <c r="K88" s="2910"/>
      <c r="L88" s="2911"/>
      <c r="M88" s="2910"/>
      <c r="N88" s="2910"/>
      <c r="O88" s="2911"/>
      <c r="P88" s="2910"/>
      <c r="Q88" s="2910"/>
      <c r="R88" s="2912"/>
    </row>
    <row r="89" s="2905" customFormat="1" spans="2:18">
      <c r="B89" s="2910"/>
      <c r="C89" s="2910"/>
      <c r="D89" s="2910"/>
      <c r="E89" s="2910"/>
      <c r="F89" s="2910"/>
      <c r="G89" s="2911"/>
      <c r="H89" s="2910"/>
      <c r="I89" s="2911"/>
      <c r="J89" s="2910"/>
      <c r="K89" s="2910"/>
      <c r="L89" s="2911"/>
      <c r="M89" s="2910"/>
      <c r="N89" s="2910"/>
      <c r="O89" s="2911"/>
      <c r="P89" s="2910"/>
      <c r="Q89" s="2910"/>
      <c r="R89" s="2912"/>
    </row>
    <row r="90" s="2905" customFormat="1" spans="2:18">
      <c r="B90" s="2910"/>
      <c r="C90" s="2910"/>
      <c r="D90" s="2910"/>
      <c r="E90" s="2910"/>
      <c r="F90" s="2910"/>
      <c r="G90" s="2911"/>
      <c r="H90" s="2910"/>
      <c r="I90" s="2911"/>
      <c r="J90" s="2910"/>
      <c r="K90" s="2910"/>
      <c r="L90" s="2911"/>
      <c r="M90" s="2910"/>
      <c r="N90" s="2910"/>
      <c r="O90" s="2911"/>
      <c r="P90" s="2910"/>
      <c r="Q90" s="2910"/>
      <c r="R90" s="2912"/>
    </row>
    <row r="91" s="2905" customFormat="1" spans="2:18">
      <c r="B91" s="2910"/>
      <c r="C91" s="2910"/>
      <c r="D91" s="2910"/>
      <c r="E91" s="2910"/>
      <c r="F91" s="2910"/>
      <c r="G91" s="2911"/>
      <c r="H91" s="2910"/>
      <c r="I91" s="2911"/>
      <c r="J91" s="2910"/>
      <c r="K91" s="2910"/>
      <c r="L91" s="2911"/>
      <c r="M91" s="2910"/>
      <c r="N91" s="2910"/>
      <c r="O91" s="2911"/>
      <c r="P91" s="2910"/>
      <c r="Q91" s="2910"/>
      <c r="R91" s="2912"/>
    </row>
    <row r="92" s="2905" customFormat="1" spans="2:18">
      <c r="B92" s="2910"/>
      <c r="C92" s="2910"/>
      <c r="D92" s="2910"/>
      <c r="E92" s="2910"/>
      <c r="F92" s="2910"/>
      <c r="G92" s="2911"/>
      <c r="H92" s="2910"/>
      <c r="I92" s="2911"/>
      <c r="J92" s="2910"/>
      <c r="K92" s="2910"/>
      <c r="L92" s="2911"/>
      <c r="M92" s="2910"/>
      <c r="N92" s="2910"/>
      <c r="O92" s="2911"/>
      <c r="P92" s="2910"/>
      <c r="Q92" s="2910"/>
      <c r="R92" s="2912"/>
    </row>
    <row r="93" s="2905" customFormat="1" spans="2:18">
      <c r="B93" s="2910"/>
      <c r="C93" s="2910"/>
      <c r="D93" s="2910"/>
      <c r="E93" s="2910"/>
      <c r="F93" s="2910"/>
      <c r="G93" s="2911"/>
      <c r="H93" s="2910"/>
      <c r="I93" s="2911"/>
      <c r="J93" s="2910"/>
      <c r="K93" s="2910"/>
      <c r="L93" s="2911"/>
      <c r="M93" s="2910"/>
      <c r="N93" s="2910"/>
      <c r="O93" s="2911"/>
      <c r="P93" s="2910"/>
      <c r="Q93" s="2910"/>
      <c r="R93" s="2912"/>
    </row>
    <row r="94" s="2905" customFormat="1" spans="2:18">
      <c r="B94" s="2910"/>
      <c r="C94" s="2910"/>
      <c r="D94" s="2910"/>
      <c r="E94" s="2910"/>
      <c r="F94" s="2910"/>
      <c r="G94" s="2911"/>
      <c r="H94" s="2910"/>
      <c r="I94" s="2911"/>
      <c r="J94" s="2910"/>
      <c r="K94" s="2910"/>
      <c r="L94" s="2911"/>
      <c r="M94" s="2910"/>
      <c r="N94" s="2910"/>
      <c r="O94" s="2911"/>
      <c r="P94" s="2910"/>
      <c r="Q94" s="2910"/>
      <c r="R94" s="2912"/>
    </row>
    <row r="95" s="2905" customFormat="1" spans="2:18">
      <c r="B95" s="2910"/>
      <c r="C95" s="2910"/>
      <c r="D95" s="2910"/>
      <c r="E95" s="2910"/>
      <c r="F95" s="2910"/>
      <c r="G95" s="2911"/>
      <c r="H95" s="2910"/>
      <c r="I95" s="2911"/>
      <c r="J95" s="2910"/>
      <c r="K95" s="2910"/>
      <c r="L95" s="2911"/>
      <c r="M95" s="2910"/>
      <c r="N95" s="2910"/>
      <c r="O95" s="2911"/>
      <c r="P95" s="2910"/>
      <c r="Q95" s="2910"/>
      <c r="R95" s="2912"/>
    </row>
    <row r="96" s="2905" customFormat="1" spans="2:18">
      <c r="B96" s="2910"/>
      <c r="C96" s="2910"/>
      <c r="D96" s="2910"/>
      <c r="E96" s="2910"/>
      <c r="F96" s="2910"/>
      <c r="G96" s="2911"/>
      <c r="H96" s="2910"/>
      <c r="I96" s="2911"/>
      <c r="J96" s="2910"/>
      <c r="K96" s="2910"/>
      <c r="L96" s="2911"/>
      <c r="M96" s="2910"/>
      <c r="N96" s="2910"/>
      <c r="O96" s="2911"/>
      <c r="P96" s="2910"/>
      <c r="Q96" s="2910"/>
      <c r="R96" s="2912"/>
    </row>
    <row r="97" s="2905" customFormat="1" spans="2:18">
      <c r="B97" s="2910"/>
      <c r="C97" s="2910"/>
      <c r="D97" s="2910"/>
      <c r="E97" s="2910"/>
      <c r="F97" s="2910"/>
      <c r="G97" s="2911"/>
      <c r="H97" s="2910"/>
      <c r="I97" s="2911"/>
      <c r="J97" s="2910"/>
      <c r="K97" s="2910"/>
      <c r="L97" s="2911"/>
      <c r="M97" s="2910"/>
      <c r="N97" s="2910"/>
      <c r="O97" s="2911"/>
      <c r="P97" s="2910"/>
      <c r="Q97" s="2910"/>
      <c r="R97" s="2912"/>
    </row>
    <row r="98" s="2905" customFormat="1" spans="2:18">
      <c r="B98" s="2910"/>
      <c r="C98" s="2910"/>
      <c r="D98" s="2910"/>
      <c r="E98" s="2910"/>
      <c r="F98" s="2910"/>
      <c r="G98" s="2911"/>
      <c r="H98" s="2910"/>
      <c r="I98" s="2911"/>
      <c r="J98" s="2910"/>
      <c r="K98" s="2910"/>
      <c r="L98" s="2911"/>
      <c r="M98" s="2910"/>
      <c r="N98" s="2910"/>
      <c r="O98" s="2911"/>
      <c r="P98" s="2910"/>
      <c r="Q98" s="2910"/>
      <c r="R98" s="2912"/>
    </row>
    <row r="99" s="2905" customFormat="1" spans="2:18">
      <c r="B99" s="2910"/>
      <c r="C99" s="2910"/>
      <c r="D99" s="2910"/>
      <c r="E99" s="2910"/>
      <c r="F99" s="2910"/>
      <c r="G99" s="2911"/>
      <c r="H99" s="2910"/>
      <c r="I99" s="2911"/>
      <c r="J99" s="2910"/>
      <c r="K99" s="2910"/>
      <c r="L99" s="2911"/>
      <c r="M99" s="2910"/>
      <c r="N99" s="2910"/>
      <c r="O99" s="2911"/>
      <c r="P99" s="2910"/>
      <c r="Q99" s="2910"/>
      <c r="R99" s="2912"/>
    </row>
    <row r="100" s="2905" customFormat="1" spans="2:18">
      <c r="B100" s="2910"/>
      <c r="C100" s="2910"/>
      <c r="D100" s="2910"/>
      <c r="E100" s="2910"/>
      <c r="F100" s="2910"/>
      <c r="G100" s="2911"/>
      <c r="H100" s="2910"/>
      <c r="I100" s="2911"/>
      <c r="J100" s="2910"/>
      <c r="K100" s="2910"/>
      <c r="L100" s="2911"/>
      <c r="M100" s="2910"/>
      <c r="N100" s="2910"/>
      <c r="O100" s="2911"/>
      <c r="P100" s="2910"/>
      <c r="Q100" s="2910"/>
      <c r="R100" s="2912"/>
    </row>
    <row r="101" s="2905" customFormat="1" spans="2:18">
      <c r="B101" s="2910"/>
      <c r="C101" s="2910"/>
      <c r="D101" s="2910"/>
      <c r="E101" s="2910"/>
      <c r="F101" s="2910"/>
      <c r="G101" s="2911"/>
      <c r="H101" s="2910"/>
      <c r="I101" s="2911"/>
      <c r="J101" s="2910"/>
      <c r="K101" s="2910"/>
      <c r="L101" s="2911"/>
      <c r="M101" s="2910"/>
      <c r="N101" s="2910"/>
      <c r="O101" s="2911"/>
      <c r="P101" s="2910"/>
      <c r="Q101" s="2910"/>
      <c r="R101" s="2912"/>
    </row>
    <row r="102" s="2905" customFormat="1" spans="2:18">
      <c r="B102" s="2910"/>
      <c r="C102" s="2910"/>
      <c r="D102" s="2910"/>
      <c r="E102" s="2910"/>
      <c r="F102" s="2910"/>
      <c r="G102" s="2911"/>
      <c r="H102" s="2910"/>
      <c r="I102" s="2911"/>
      <c r="J102" s="2910"/>
      <c r="K102" s="2910"/>
      <c r="L102" s="2911"/>
      <c r="M102" s="2910"/>
      <c r="N102" s="2910"/>
      <c r="O102" s="2911"/>
      <c r="P102" s="2910"/>
      <c r="Q102" s="2910"/>
      <c r="R102" s="2912"/>
    </row>
    <row r="103" s="2905" customFormat="1" spans="2:18">
      <c r="B103" s="2910"/>
      <c r="C103" s="2910"/>
      <c r="D103" s="2910"/>
      <c r="E103" s="2910"/>
      <c r="F103" s="2910"/>
      <c r="G103" s="2911"/>
      <c r="H103" s="2910"/>
      <c r="I103" s="2911"/>
      <c r="J103" s="2910"/>
      <c r="K103" s="2910"/>
      <c r="L103" s="2911"/>
      <c r="M103" s="2910"/>
      <c r="N103" s="2910"/>
      <c r="O103" s="2911"/>
      <c r="P103" s="2910"/>
      <c r="Q103" s="2910"/>
      <c r="R103" s="2912"/>
    </row>
    <row r="104" s="2905" customFormat="1" spans="2:18">
      <c r="B104" s="2910"/>
      <c r="C104" s="2910"/>
      <c r="D104" s="2910"/>
      <c r="E104" s="2910"/>
      <c r="F104" s="2910"/>
      <c r="G104" s="2911"/>
      <c r="H104" s="2910"/>
      <c r="I104" s="2911"/>
      <c r="J104" s="2910"/>
      <c r="K104" s="2910"/>
      <c r="L104" s="2911"/>
      <c r="M104" s="2910"/>
      <c r="N104" s="2910"/>
      <c r="O104" s="2911"/>
      <c r="P104" s="2910"/>
      <c r="Q104" s="2910"/>
      <c r="R104" s="2912"/>
    </row>
    <row r="105" s="2905" customFormat="1" spans="2:18">
      <c r="B105" s="2910"/>
      <c r="C105" s="2910"/>
      <c r="D105" s="2910"/>
      <c r="E105" s="2910"/>
      <c r="F105" s="2910"/>
      <c r="G105" s="2911"/>
      <c r="H105" s="2910"/>
      <c r="I105" s="2911"/>
      <c r="J105" s="2910"/>
      <c r="K105" s="2910"/>
      <c r="L105" s="2911"/>
      <c r="M105" s="2910"/>
      <c r="N105" s="2910"/>
      <c r="O105" s="2911"/>
      <c r="P105" s="2910"/>
      <c r="Q105" s="2910"/>
      <c r="R105" s="2912"/>
    </row>
    <row r="106" s="2905" customFormat="1" spans="2:18">
      <c r="B106" s="2910"/>
      <c r="C106" s="2910"/>
      <c r="D106" s="2910"/>
      <c r="E106" s="2910"/>
      <c r="F106" s="2910"/>
      <c r="G106" s="2911"/>
      <c r="H106" s="2910"/>
      <c r="I106" s="2911"/>
      <c r="J106" s="2910"/>
      <c r="K106" s="2910"/>
      <c r="L106" s="2911"/>
      <c r="M106" s="2910"/>
      <c r="N106" s="2910"/>
      <c r="O106" s="2911"/>
      <c r="P106" s="2910"/>
      <c r="Q106" s="2910"/>
      <c r="R106" s="2912"/>
    </row>
    <row r="107" s="2905" customFormat="1" spans="2:18">
      <c r="B107" s="2910"/>
      <c r="C107" s="2910"/>
      <c r="D107" s="2910"/>
      <c r="E107" s="2910"/>
      <c r="F107" s="2910"/>
      <c r="G107" s="2911"/>
      <c r="H107" s="2910"/>
      <c r="I107" s="2911"/>
      <c r="J107" s="2910"/>
      <c r="K107" s="2910"/>
      <c r="L107" s="2911"/>
      <c r="M107" s="2910"/>
      <c r="N107" s="2910"/>
      <c r="O107" s="2911"/>
      <c r="P107" s="2910"/>
      <c r="Q107" s="2910"/>
      <c r="R107" s="2912"/>
    </row>
    <row r="108" s="2905" customFormat="1" spans="2:18">
      <c r="B108" s="2910"/>
      <c r="C108" s="2910"/>
      <c r="D108" s="2910"/>
      <c r="E108" s="2910"/>
      <c r="F108" s="2910"/>
      <c r="G108" s="2911"/>
      <c r="H108" s="2910"/>
      <c r="I108" s="2911"/>
      <c r="J108" s="2910"/>
      <c r="K108" s="2910"/>
      <c r="L108" s="2911"/>
      <c r="M108" s="2910"/>
      <c r="N108" s="2910"/>
      <c r="O108" s="2911"/>
      <c r="P108" s="2910"/>
      <c r="Q108" s="2910"/>
      <c r="R108" s="2912"/>
    </row>
    <row r="109" s="2905" customFormat="1" spans="2:18">
      <c r="B109" s="2910"/>
      <c r="C109" s="2910"/>
      <c r="D109" s="2910"/>
      <c r="E109" s="2910"/>
      <c r="F109" s="2910"/>
      <c r="G109" s="2911"/>
      <c r="H109" s="2910"/>
      <c r="I109" s="2911"/>
      <c r="J109" s="2910"/>
      <c r="K109" s="2910"/>
      <c r="L109" s="2911"/>
      <c r="M109" s="2910"/>
      <c r="N109" s="2910"/>
      <c r="O109" s="2911"/>
      <c r="P109" s="2910"/>
      <c r="Q109" s="2910"/>
      <c r="R109" s="2912"/>
    </row>
    <row r="110" s="2905" customFormat="1" spans="2:18">
      <c r="B110" s="2910"/>
      <c r="C110" s="2910"/>
      <c r="D110" s="2910"/>
      <c r="E110" s="2910"/>
      <c r="F110" s="2910"/>
      <c r="G110" s="2911"/>
      <c r="H110" s="2910"/>
      <c r="I110" s="2911"/>
      <c r="J110" s="2910"/>
      <c r="K110" s="2910"/>
      <c r="L110" s="2911"/>
      <c r="M110" s="2910"/>
      <c r="N110" s="2910"/>
      <c r="O110" s="2911"/>
      <c r="P110" s="2910"/>
      <c r="Q110" s="2910"/>
      <c r="R110" s="2912"/>
    </row>
    <row r="111" s="2905" customFormat="1" spans="2:18">
      <c r="B111" s="2910"/>
      <c r="C111" s="2910"/>
      <c r="D111" s="2910"/>
      <c r="E111" s="2910"/>
      <c r="F111" s="2910"/>
      <c r="G111" s="2911"/>
      <c r="H111" s="2910"/>
      <c r="I111" s="2911"/>
      <c r="J111" s="2910"/>
      <c r="K111" s="2910"/>
      <c r="L111" s="2911"/>
      <c r="M111" s="2910"/>
      <c r="N111" s="2910"/>
      <c r="O111" s="2911"/>
      <c r="P111" s="2910"/>
      <c r="Q111" s="2910"/>
      <c r="R111" s="2912"/>
    </row>
    <row r="112" s="2905" customFormat="1" spans="2:18">
      <c r="B112" s="2910"/>
      <c r="C112" s="2910"/>
      <c r="D112" s="2910"/>
      <c r="E112" s="2910"/>
      <c r="F112" s="2910"/>
      <c r="G112" s="2911"/>
      <c r="H112" s="2910"/>
      <c r="I112" s="2911"/>
      <c r="J112" s="2910"/>
      <c r="K112" s="2910"/>
      <c r="L112" s="2911"/>
      <c r="M112" s="2910"/>
      <c r="N112" s="2910"/>
      <c r="O112" s="2911"/>
      <c r="P112" s="2910"/>
      <c r="Q112" s="2910"/>
      <c r="R112" s="2912"/>
    </row>
    <row r="113" s="2905" customFormat="1" spans="2:18">
      <c r="B113" s="2910"/>
      <c r="C113" s="2910"/>
      <c r="D113" s="2910"/>
      <c r="E113" s="2910"/>
      <c r="F113" s="2910"/>
      <c r="G113" s="2911"/>
      <c r="H113" s="2910"/>
      <c r="I113" s="2911"/>
      <c r="J113" s="2910"/>
      <c r="K113" s="2910"/>
      <c r="L113" s="2911"/>
      <c r="M113" s="2910"/>
      <c r="N113" s="2910"/>
      <c r="O113" s="2911"/>
      <c r="P113" s="2910"/>
      <c r="Q113" s="2910"/>
      <c r="R113" s="2912"/>
    </row>
    <row r="114" s="2905" customFormat="1" spans="2:18">
      <c r="B114" s="2910"/>
      <c r="C114" s="2910"/>
      <c r="D114" s="2910"/>
      <c r="E114" s="2910"/>
      <c r="F114" s="2910"/>
      <c r="G114" s="2911"/>
      <c r="H114" s="2910"/>
      <c r="I114" s="2911"/>
      <c r="J114" s="2910"/>
      <c r="K114" s="2910"/>
      <c r="L114" s="2911"/>
      <c r="M114" s="2910"/>
      <c r="N114" s="2910"/>
      <c r="O114" s="2911"/>
      <c r="P114" s="2910"/>
      <c r="Q114" s="2910"/>
      <c r="R114" s="2912"/>
    </row>
    <row r="115" s="2905" customFormat="1" spans="2:18">
      <c r="B115" s="2910"/>
      <c r="C115" s="2910"/>
      <c r="D115" s="2910"/>
      <c r="E115" s="2910"/>
      <c r="F115" s="2910"/>
      <c r="G115" s="2911"/>
      <c r="H115" s="2910"/>
      <c r="I115" s="2911"/>
      <c r="J115" s="2910"/>
      <c r="K115" s="2910"/>
      <c r="L115" s="2911"/>
      <c r="M115" s="2910"/>
      <c r="N115" s="2910"/>
      <c r="O115" s="2911"/>
      <c r="P115" s="2910"/>
      <c r="Q115" s="2910"/>
      <c r="R115" s="2912"/>
    </row>
    <row r="116" s="2905" customFormat="1" spans="2:18">
      <c r="B116" s="2910"/>
      <c r="C116" s="2910"/>
      <c r="D116" s="2910"/>
      <c r="E116" s="2910"/>
      <c r="F116" s="2910"/>
      <c r="G116" s="2911"/>
      <c r="H116" s="2910"/>
      <c r="I116" s="2911"/>
      <c r="J116" s="2910"/>
      <c r="K116" s="2910"/>
      <c r="L116" s="2911"/>
      <c r="M116" s="2910"/>
      <c r="N116" s="2910"/>
      <c r="O116" s="2911"/>
      <c r="P116" s="2910"/>
      <c r="Q116" s="2910"/>
      <c r="R116" s="2912"/>
    </row>
    <row r="117" s="2905" customFormat="1" spans="2:18">
      <c r="B117" s="2910"/>
      <c r="C117" s="2910"/>
      <c r="D117" s="2910"/>
      <c r="E117" s="2910"/>
      <c r="F117" s="2910"/>
      <c r="G117" s="2911"/>
      <c r="H117" s="2910"/>
      <c r="I117" s="2911"/>
      <c r="J117" s="2910"/>
      <c r="K117" s="2910"/>
      <c r="L117" s="2911"/>
      <c r="M117" s="2910"/>
      <c r="N117" s="2910"/>
      <c r="O117" s="2911"/>
      <c r="P117" s="2910"/>
      <c r="Q117" s="2910"/>
      <c r="R117" s="2912"/>
    </row>
    <row r="118" s="2905" customFormat="1" spans="2:18">
      <c r="B118" s="2910"/>
      <c r="C118" s="2910"/>
      <c r="D118" s="2910"/>
      <c r="E118" s="2910"/>
      <c r="F118" s="2910"/>
      <c r="G118" s="2911"/>
      <c r="H118" s="2910"/>
      <c r="I118" s="2911"/>
      <c r="J118" s="2910"/>
      <c r="K118" s="2910"/>
      <c r="L118" s="2911"/>
      <c r="M118" s="2910"/>
      <c r="N118" s="2910"/>
      <c r="O118" s="2911"/>
      <c r="P118" s="2910"/>
      <c r="Q118" s="2910"/>
      <c r="R118" s="2912"/>
    </row>
    <row r="119" s="2905" customFormat="1" spans="2:18">
      <c r="B119" s="2910"/>
      <c r="C119" s="2910"/>
      <c r="D119" s="2910"/>
      <c r="E119" s="2910"/>
      <c r="F119" s="2910"/>
      <c r="G119" s="2911"/>
      <c r="H119" s="2910"/>
      <c r="I119" s="2911"/>
      <c r="J119" s="2910"/>
      <c r="K119" s="2910"/>
      <c r="L119" s="2911"/>
      <c r="M119" s="2910"/>
      <c r="N119" s="2910"/>
      <c r="O119" s="2911"/>
      <c r="P119" s="2910"/>
      <c r="Q119" s="2910"/>
      <c r="R119" s="2912"/>
    </row>
    <row r="120" s="2905" customFormat="1" spans="2:18">
      <c r="B120" s="2910"/>
      <c r="C120" s="2910"/>
      <c r="D120" s="2910"/>
      <c r="E120" s="2910"/>
      <c r="F120" s="2910"/>
      <c r="G120" s="2911"/>
      <c r="H120" s="2910"/>
      <c r="I120" s="2911"/>
      <c r="J120" s="2910"/>
      <c r="K120" s="2910"/>
      <c r="L120" s="2911"/>
      <c r="M120" s="2910"/>
      <c r="N120" s="2910"/>
      <c r="O120" s="2911"/>
      <c r="P120" s="2910"/>
      <c r="Q120" s="2910"/>
      <c r="R120" s="2912"/>
    </row>
    <row r="121" s="2905" customFormat="1" spans="2:18">
      <c r="B121" s="2910"/>
      <c r="C121" s="2910"/>
      <c r="D121" s="2910"/>
      <c r="E121" s="2910"/>
      <c r="F121" s="2910"/>
      <c r="G121" s="2911"/>
      <c r="H121" s="2910"/>
      <c r="I121" s="2911"/>
      <c r="J121" s="2910"/>
      <c r="K121" s="2910"/>
      <c r="L121" s="2911"/>
      <c r="M121" s="2910"/>
      <c r="N121" s="2910"/>
      <c r="O121" s="2911"/>
      <c r="P121" s="2910"/>
      <c r="Q121" s="2910"/>
      <c r="R121" s="2912"/>
    </row>
    <row r="122" s="2905" customFormat="1" spans="2:18">
      <c r="B122" s="2910"/>
      <c r="C122" s="2910"/>
      <c r="D122" s="2910"/>
      <c r="E122" s="2910"/>
      <c r="F122" s="2910"/>
      <c r="G122" s="2911"/>
      <c r="H122" s="2910"/>
      <c r="I122" s="2911"/>
      <c r="J122" s="2910"/>
      <c r="K122" s="2910"/>
      <c r="L122" s="2911"/>
      <c r="M122" s="2910"/>
      <c r="N122" s="2910"/>
      <c r="O122" s="2911"/>
      <c r="P122" s="2910"/>
      <c r="Q122" s="2910"/>
      <c r="R122" s="2912"/>
    </row>
    <row r="123" s="2905" customFormat="1" spans="2:18">
      <c r="B123" s="2910"/>
      <c r="C123" s="2910"/>
      <c r="D123" s="2910"/>
      <c r="E123" s="2910"/>
      <c r="F123" s="2910"/>
      <c r="G123" s="2911"/>
      <c r="H123" s="2910"/>
      <c r="I123" s="2911"/>
      <c r="J123" s="2910"/>
      <c r="K123" s="2910"/>
      <c r="L123" s="2911"/>
      <c r="M123" s="2910"/>
      <c r="N123" s="2910"/>
      <c r="O123" s="2911"/>
      <c r="P123" s="2910"/>
      <c r="Q123" s="2910"/>
      <c r="R123" s="2912"/>
    </row>
    <row r="124" s="2905" customFormat="1" spans="2:18">
      <c r="B124" s="2910"/>
      <c r="C124" s="2910"/>
      <c r="D124" s="2910"/>
      <c r="E124" s="2910"/>
      <c r="F124" s="2910"/>
      <c r="G124" s="2911"/>
      <c r="H124" s="2910"/>
      <c r="I124" s="2911"/>
      <c r="J124" s="2910"/>
      <c r="K124" s="2910"/>
      <c r="L124" s="2911"/>
      <c r="M124" s="2910"/>
      <c r="N124" s="2910"/>
      <c r="O124" s="2911"/>
      <c r="P124" s="2910"/>
      <c r="Q124" s="2910"/>
      <c r="R124" s="2912"/>
    </row>
    <row r="125" s="2905" customFormat="1" spans="2:18">
      <c r="B125" s="2910"/>
      <c r="C125" s="2910"/>
      <c r="D125" s="2910"/>
      <c r="E125" s="2910"/>
      <c r="F125" s="2910"/>
      <c r="G125" s="2911"/>
      <c r="H125" s="2910"/>
      <c r="I125" s="2911"/>
      <c r="J125" s="2910"/>
      <c r="K125" s="2910"/>
      <c r="L125" s="2911"/>
      <c r="M125" s="2910"/>
      <c r="N125" s="2910"/>
      <c r="O125" s="2911"/>
      <c r="P125" s="2910"/>
      <c r="Q125" s="2910"/>
      <c r="R125" s="2912"/>
    </row>
    <row r="126" s="2905" customFormat="1" spans="2:18">
      <c r="B126" s="2910"/>
      <c r="C126" s="2910"/>
      <c r="D126" s="2910"/>
      <c r="E126" s="2910"/>
      <c r="F126" s="2910"/>
      <c r="G126" s="2911"/>
      <c r="H126" s="2910"/>
      <c r="I126" s="2911"/>
      <c r="J126" s="2910"/>
      <c r="K126" s="2910"/>
      <c r="L126" s="2911"/>
      <c r="M126" s="2910"/>
      <c r="N126" s="2910"/>
      <c r="O126" s="2911"/>
      <c r="P126" s="2910"/>
      <c r="Q126" s="2910"/>
      <c r="R126" s="2912"/>
    </row>
    <row r="127" s="2905" customFormat="1" spans="2:18">
      <c r="B127" s="2910"/>
      <c r="C127" s="2910"/>
      <c r="D127" s="2910"/>
      <c r="E127" s="2910"/>
      <c r="F127" s="2910"/>
      <c r="G127" s="2911"/>
      <c r="H127" s="2910"/>
      <c r="I127" s="2911"/>
      <c r="J127" s="2910"/>
      <c r="K127" s="2910"/>
      <c r="L127" s="2911"/>
      <c r="M127" s="2910"/>
      <c r="N127" s="2910"/>
      <c r="O127" s="2911"/>
      <c r="P127" s="2910"/>
      <c r="Q127" s="2910"/>
      <c r="R127" s="2912"/>
    </row>
    <row r="128" s="2905" customFormat="1" spans="2:18">
      <c r="B128" s="2910"/>
      <c r="C128" s="2910"/>
      <c r="D128" s="2910"/>
      <c r="E128" s="2910"/>
      <c r="F128" s="2910"/>
      <c r="G128" s="2911"/>
      <c r="H128" s="2910"/>
      <c r="I128" s="2911"/>
      <c r="J128" s="2910"/>
      <c r="K128" s="2910"/>
      <c r="L128" s="2911"/>
      <c r="M128" s="2910"/>
      <c r="N128" s="2910"/>
      <c r="O128" s="2911"/>
      <c r="P128" s="2910"/>
      <c r="Q128" s="2910"/>
      <c r="R128" s="2912"/>
    </row>
    <row r="129" s="2905" customFormat="1" spans="2:18">
      <c r="B129" s="2910"/>
      <c r="C129" s="2910"/>
      <c r="D129" s="2910"/>
      <c r="E129" s="2910"/>
      <c r="F129" s="2910"/>
      <c r="G129" s="2911"/>
      <c r="H129" s="2910"/>
      <c r="I129" s="2911"/>
      <c r="J129" s="2910"/>
      <c r="K129" s="2910"/>
      <c r="L129" s="2911"/>
      <c r="M129" s="2910"/>
      <c r="N129" s="2910"/>
      <c r="O129" s="2911"/>
      <c r="P129" s="2910"/>
      <c r="Q129" s="2910"/>
      <c r="R129" s="2912"/>
    </row>
    <row r="130" s="2905" customFormat="1" spans="2:18">
      <c r="B130" s="2910"/>
      <c r="C130" s="2910"/>
      <c r="D130" s="2910"/>
      <c r="E130" s="2910"/>
      <c r="F130" s="2910"/>
      <c r="G130" s="2911"/>
      <c r="H130" s="2910"/>
      <c r="I130" s="2911"/>
      <c r="J130" s="2910"/>
      <c r="K130" s="2910"/>
      <c r="L130" s="2911"/>
      <c r="M130" s="2910"/>
      <c r="N130" s="2910"/>
      <c r="O130" s="2911"/>
      <c r="P130" s="2910"/>
      <c r="Q130" s="2910"/>
      <c r="R130" s="2912"/>
    </row>
    <row r="131" s="2905" customFormat="1" spans="2:18">
      <c r="B131" s="2910"/>
      <c r="C131" s="2910"/>
      <c r="D131" s="2910"/>
      <c r="E131" s="2910"/>
      <c r="F131" s="2910"/>
      <c r="G131" s="2911"/>
      <c r="H131" s="2910"/>
      <c r="I131" s="2911"/>
      <c r="J131" s="2910"/>
      <c r="K131" s="2910"/>
      <c r="L131" s="2911"/>
      <c r="M131" s="2910"/>
      <c r="N131" s="2910"/>
      <c r="O131" s="2911"/>
      <c r="P131" s="2910"/>
      <c r="Q131" s="2910"/>
      <c r="R131" s="2912"/>
    </row>
    <row r="132" s="2905" customFormat="1" spans="2:18">
      <c r="B132" s="2910"/>
      <c r="C132" s="2910"/>
      <c r="D132" s="2910"/>
      <c r="E132" s="2910"/>
      <c r="F132" s="2910"/>
      <c r="G132" s="2911"/>
      <c r="H132" s="2910"/>
      <c r="I132" s="2911"/>
      <c r="J132" s="2910"/>
      <c r="K132" s="2910"/>
      <c r="L132" s="2911"/>
      <c r="M132" s="2910"/>
      <c r="N132" s="2910"/>
      <c r="O132" s="2911"/>
      <c r="P132" s="2910"/>
      <c r="Q132" s="2910"/>
      <c r="R132" s="2912"/>
    </row>
    <row r="133" s="2905" customFormat="1" spans="2:18">
      <c r="B133" s="2910"/>
      <c r="C133" s="2910"/>
      <c r="D133" s="2910"/>
      <c r="E133" s="2910"/>
      <c r="F133" s="2910"/>
      <c r="G133" s="2911"/>
      <c r="H133" s="2910"/>
      <c r="I133" s="2911"/>
      <c r="J133" s="2910"/>
      <c r="K133" s="2910"/>
      <c r="L133" s="2911"/>
      <c r="M133" s="2910"/>
      <c r="N133" s="2910"/>
      <c r="O133" s="2911"/>
      <c r="P133" s="2910"/>
      <c r="Q133" s="2910"/>
      <c r="R133" s="2912"/>
    </row>
    <row r="134" s="2905" customFormat="1" spans="2:18">
      <c r="B134" s="2910"/>
      <c r="C134" s="2910"/>
      <c r="D134" s="2910"/>
      <c r="E134" s="2910"/>
      <c r="F134" s="2910"/>
      <c r="G134" s="2911"/>
      <c r="H134" s="2910"/>
      <c r="I134" s="2911"/>
      <c r="J134" s="2910"/>
      <c r="K134" s="2910"/>
      <c r="L134" s="2911"/>
      <c r="M134" s="2910"/>
      <c r="N134" s="2910"/>
      <c r="O134" s="2911"/>
      <c r="P134" s="2910"/>
      <c r="Q134" s="2910"/>
      <c r="R134" s="2912"/>
    </row>
    <row r="135" s="2905" customFormat="1" spans="2:18">
      <c r="B135" s="2910"/>
      <c r="C135" s="2910"/>
      <c r="D135" s="2910"/>
      <c r="E135" s="2910"/>
      <c r="F135" s="2910"/>
      <c r="G135" s="2911"/>
      <c r="H135" s="2910"/>
      <c r="I135" s="2911"/>
      <c r="J135" s="2910"/>
      <c r="K135" s="2910"/>
      <c r="L135" s="2911"/>
      <c r="M135" s="2910"/>
      <c r="N135" s="2910"/>
      <c r="O135" s="2911"/>
      <c r="P135" s="2910"/>
      <c r="Q135" s="2910"/>
      <c r="R135" s="2912"/>
    </row>
    <row r="136" s="2905" customFormat="1" spans="2:18">
      <c r="B136" s="2910"/>
      <c r="C136" s="2910"/>
      <c r="D136" s="2910"/>
      <c r="E136" s="2910"/>
      <c r="F136" s="2910"/>
      <c r="G136" s="2911"/>
      <c r="H136" s="2910"/>
      <c r="I136" s="2911"/>
      <c r="J136" s="2910"/>
      <c r="K136" s="2910"/>
      <c r="L136" s="2911"/>
      <c r="M136" s="2910"/>
      <c r="N136" s="2910"/>
      <c r="O136" s="2911"/>
      <c r="P136" s="2910"/>
      <c r="Q136" s="2910"/>
      <c r="R136" s="2912"/>
    </row>
    <row r="137" s="2905" customFormat="1" spans="2:18">
      <c r="B137" s="2910"/>
      <c r="C137" s="2910"/>
      <c r="D137" s="2910"/>
      <c r="E137" s="2910"/>
      <c r="F137" s="2910"/>
      <c r="G137" s="2911"/>
      <c r="H137" s="2910"/>
      <c r="I137" s="2911"/>
      <c r="J137" s="2910"/>
      <c r="K137" s="2910"/>
      <c r="L137" s="2911"/>
      <c r="M137" s="2910"/>
      <c r="N137" s="2910"/>
      <c r="O137" s="2911"/>
      <c r="P137" s="2910"/>
      <c r="Q137" s="2910"/>
      <c r="R137" s="2912"/>
    </row>
    <row r="138" s="2905" customFormat="1" spans="2:18">
      <c r="B138" s="2910"/>
      <c r="C138" s="2910"/>
      <c r="D138" s="2910"/>
      <c r="E138" s="2910"/>
      <c r="F138" s="2910"/>
      <c r="G138" s="2911"/>
      <c r="H138" s="2910"/>
      <c r="I138" s="2911"/>
      <c r="J138" s="2910"/>
      <c r="K138" s="2910"/>
      <c r="L138" s="2911"/>
      <c r="M138" s="2910"/>
      <c r="N138" s="2910"/>
      <c r="O138" s="2911"/>
      <c r="P138" s="2910"/>
      <c r="Q138" s="2910"/>
      <c r="R138" s="2912"/>
    </row>
    <row r="139" s="2905" customFormat="1" spans="2:18">
      <c r="B139" s="2910"/>
      <c r="C139" s="2910"/>
      <c r="D139" s="2910"/>
      <c r="E139" s="2910"/>
      <c r="F139" s="2910"/>
      <c r="G139" s="2911"/>
      <c r="H139" s="2910"/>
      <c r="I139" s="2911"/>
      <c r="J139" s="2910"/>
      <c r="K139" s="2910"/>
      <c r="L139" s="2911"/>
      <c r="M139" s="2910"/>
      <c r="N139" s="2910"/>
      <c r="O139" s="2911"/>
      <c r="P139" s="2910"/>
      <c r="Q139" s="2910"/>
      <c r="R139" s="2912"/>
    </row>
    <row r="140" s="2905" customFormat="1" spans="2:18">
      <c r="B140" s="2910"/>
      <c r="C140" s="2910"/>
      <c r="D140" s="2910"/>
      <c r="E140" s="2910"/>
      <c r="F140" s="2910"/>
      <c r="G140" s="2911"/>
      <c r="H140" s="2910"/>
      <c r="I140" s="2911"/>
      <c r="J140" s="2910"/>
      <c r="K140" s="2910"/>
      <c r="L140" s="2911"/>
      <c r="M140" s="2910"/>
      <c r="N140" s="2910"/>
      <c r="O140" s="2911"/>
      <c r="P140" s="2910"/>
      <c r="Q140" s="2910"/>
      <c r="R140" s="2912"/>
    </row>
    <row r="141" s="2905" customFormat="1" spans="2:18">
      <c r="B141" s="2910"/>
      <c r="C141" s="2910"/>
      <c r="D141" s="2910"/>
      <c r="E141" s="2910"/>
      <c r="F141" s="2910"/>
      <c r="G141" s="2911"/>
      <c r="H141" s="2910"/>
      <c r="I141" s="2911"/>
      <c r="J141" s="2910"/>
      <c r="K141" s="2910"/>
      <c r="L141" s="2911"/>
      <c r="M141" s="2910"/>
      <c r="N141" s="2910"/>
      <c r="O141" s="2911"/>
      <c r="P141" s="2910"/>
      <c r="Q141" s="2910"/>
      <c r="R141" s="2912"/>
    </row>
    <row r="142" s="2905" customFormat="1" spans="2:18">
      <c r="B142" s="2910"/>
      <c r="C142" s="2910"/>
      <c r="D142" s="2910"/>
      <c r="E142" s="2910"/>
      <c r="F142" s="2910"/>
      <c r="G142" s="2911"/>
      <c r="H142" s="2910"/>
      <c r="I142" s="2911"/>
      <c r="J142" s="2910"/>
      <c r="K142" s="2910"/>
      <c r="L142" s="2911"/>
      <c r="M142" s="2910"/>
      <c r="N142" s="2910"/>
      <c r="O142" s="2911"/>
      <c r="P142" s="2910"/>
      <c r="Q142" s="2910"/>
      <c r="R142" s="2912"/>
    </row>
    <row r="143" s="2905" customFormat="1" spans="2:18">
      <c r="B143" s="2910"/>
      <c r="C143" s="2910"/>
      <c r="D143" s="2910"/>
      <c r="E143" s="2910"/>
      <c r="F143" s="2910"/>
      <c r="G143" s="2911"/>
      <c r="H143" s="2910"/>
      <c r="I143" s="2911"/>
      <c r="J143" s="2910"/>
      <c r="K143" s="2910"/>
      <c r="L143" s="2911"/>
      <c r="M143" s="2910"/>
      <c r="N143" s="2910"/>
      <c r="O143" s="2911"/>
      <c r="P143" s="2910"/>
      <c r="Q143" s="2910"/>
      <c r="R143" s="2912"/>
    </row>
    <row r="144" s="2905" customFormat="1" spans="2:18">
      <c r="B144" s="2910"/>
      <c r="C144" s="2910"/>
      <c r="D144" s="2910"/>
      <c r="E144" s="2910"/>
      <c r="F144" s="2910"/>
      <c r="G144" s="2911"/>
      <c r="H144" s="2910"/>
      <c r="I144" s="2911"/>
      <c r="J144" s="2910"/>
      <c r="K144" s="2910"/>
      <c r="L144" s="2911"/>
      <c r="M144" s="2910"/>
      <c r="N144" s="2910"/>
      <c r="O144" s="2911"/>
      <c r="P144" s="2910"/>
      <c r="Q144" s="2910"/>
      <c r="R144" s="2912"/>
    </row>
    <row r="145" s="2905" customFormat="1" spans="2:18">
      <c r="B145" s="2910"/>
      <c r="C145" s="2910"/>
      <c r="D145" s="2910"/>
      <c r="E145" s="2910"/>
      <c r="F145" s="2910"/>
      <c r="G145" s="2911"/>
      <c r="H145" s="2910"/>
      <c r="I145" s="2911"/>
      <c r="J145" s="2910"/>
      <c r="K145" s="2910"/>
      <c r="L145" s="2911"/>
      <c r="M145" s="2910"/>
      <c r="N145" s="2910"/>
      <c r="O145" s="2911"/>
      <c r="P145" s="2910"/>
      <c r="Q145" s="2910"/>
      <c r="R145" s="2912"/>
    </row>
    <row r="146" s="2905" customFormat="1" spans="2:18">
      <c r="B146" s="2910"/>
      <c r="C146" s="2910"/>
      <c r="D146" s="2910"/>
      <c r="E146" s="2910"/>
      <c r="F146" s="2910"/>
      <c r="G146" s="2911"/>
      <c r="H146" s="2910"/>
      <c r="I146" s="2911"/>
      <c r="J146" s="2910"/>
      <c r="K146" s="2910"/>
      <c r="L146" s="2911"/>
      <c r="M146" s="2910"/>
      <c r="N146" s="2910"/>
      <c r="O146" s="2911"/>
      <c r="P146" s="2910"/>
      <c r="Q146" s="2910"/>
      <c r="R146" s="2912"/>
    </row>
    <row r="147" s="2905" customFormat="1" spans="2:18">
      <c r="B147" s="2910"/>
      <c r="C147" s="2910"/>
      <c r="D147" s="2910"/>
      <c r="E147" s="2910"/>
      <c r="F147" s="2910"/>
      <c r="G147" s="2911"/>
      <c r="H147" s="2910"/>
      <c r="I147" s="2911"/>
      <c r="J147" s="2910"/>
      <c r="K147" s="2910"/>
      <c r="L147" s="2911"/>
      <c r="M147" s="2910"/>
      <c r="N147" s="2910"/>
      <c r="O147" s="2911"/>
      <c r="P147" s="2910"/>
      <c r="Q147" s="2910"/>
      <c r="R147" s="2912"/>
    </row>
    <row r="148" s="2905" customFormat="1" spans="2:18">
      <c r="B148" s="2910"/>
      <c r="C148" s="2910"/>
      <c r="D148" s="2910"/>
      <c r="E148" s="2910"/>
      <c r="F148" s="2910"/>
      <c r="G148" s="2911"/>
      <c r="H148" s="2910"/>
      <c r="I148" s="2911"/>
      <c r="J148" s="2910"/>
      <c r="K148" s="2910"/>
      <c r="L148" s="2911"/>
      <c r="M148" s="2910"/>
      <c r="N148" s="2910"/>
      <c r="O148" s="2911"/>
      <c r="P148" s="2910"/>
      <c r="Q148" s="2910"/>
      <c r="R148" s="2912"/>
    </row>
    <row r="149" s="2905" customFormat="1" spans="2:18">
      <c r="B149" s="2910"/>
      <c r="C149" s="2910"/>
      <c r="D149" s="2910"/>
      <c r="E149" s="2910"/>
      <c r="F149" s="2910"/>
      <c r="G149" s="2911"/>
      <c r="H149" s="2910"/>
      <c r="I149" s="2911"/>
      <c r="J149" s="2910"/>
      <c r="K149" s="2910"/>
      <c r="L149" s="2911"/>
      <c r="M149" s="2910"/>
      <c r="N149" s="2910"/>
      <c r="O149" s="2911"/>
      <c r="P149" s="2910"/>
      <c r="Q149" s="2910"/>
      <c r="R149" s="2912"/>
    </row>
    <row r="150" s="2905" customFormat="1" spans="2:18">
      <c r="B150" s="2910"/>
      <c r="C150" s="2910"/>
      <c r="D150" s="2910"/>
      <c r="E150" s="2910"/>
      <c r="F150" s="2910"/>
      <c r="G150" s="2911"/>
      <c r="H150" s="2910"/>
      <c r="I150" s="2911"/>
      <c r="J150" s="2910"/>
      <c r="K150" s="2910"/>
      <c r="L150" s="2911"/>
      <c r="M150" s="2910"/>
      <c r="N150" s="2910"/>
      <c r="O150" s="2911"/>
      <c r="P150" s="2910"/>
      <c r="Q150" s="2910"/>
      <c r="R150" s="2912"/>
    </row>
    <row r="151" s="2905" customFormat="1" spans="2:18">
      <c r="B151" s="2910"/>
      <c r="C151" s="2910"/>
      <c r="D151" s="2910"/>
      <c r="E151" s="2910"/>
      <c r="F151" s="2910"/>
      <c r="G151" s="2911"/>
      <c r="H151" s="2910"/>
      <c r="I151" s="2911"/>
      <c r="J151" s="2910"/>
      <c r="K151" s="2910"/>
      <c r="L151" s="2911"/>
      <c r="M151" s="2910"/>
      <c r="N151" s="2910"/>
      <c r="O151" s="2911"/>
      <c r="P151" s="2910"/>
      <c r="Q151" s="2910"/>
      <c r="R151" s="2912"/>
    </row>
    <row r="152" s="2905" customFormat="1" spans="2:18">
      <c r="B152" s="2910"/>
      <c r="C152" s="2910"/>
      <c r="D152" s="2910"/>
      <c r="E152" s="2910"/>
      <c r="F152" s="2910"/>
      <c r="G152" s="2911"/>
      <c r="H152" s="2910"/>
      <c r="I152" s="2911"/>
      <c r="J152" s="2910"/>
      <c r="K152" s="2910"/>
      <c r="L152" s="2911"/>
      <c r="M152" s="2910"/>
      <c r="N152" s="2910"/>
      <c r="O152" s="2911"/>
      <c r="P152" s="2910"/>
      <c r="Q152" s="2910"/>
      <c r="R152" s="2912"/>
    </row>
    <row r="153" s="2905" customFormat="1" spans="2:18">
      <c r="B153" s="2910"/>
      <c r="C153" s="2910"/>
      <c r="D153" s="2910"/>
      <c r="E153" s="2910"/>
      <c r="F153" s="2910"/>
      <c r="G153" s="2911"/>
      <c r="H153" s="2910"/>
      <c r="I153" s="2911"/>
      <c r="J153" s="2910"/>
      <c r="K153" s="2910"/>
      <c r="L153" s="2911"/>
      <c r="M153" s="2910"/>
      <c r="N153" s="2910"/>
      <c r="O153" s="2911"/>
      <c r="P153" s="2910"/>
      <c r="Q153" s="2910"/>
      <c r="R153" s="2912"/>
    </row>
    <row r="154" s="2905" customFormat="1" spans="2:18">
      <c r="B154" s="2910"/>
      <c r="C154" s="2910"/>
      <c r="D154" s="2910"/>
      <c r="E154" s="2910"/>
      <c r="F154" s="2910"/>
      <c r="G154" s="2911"/>
      <c r="H154" s="2910"/>
      <c r="I154" s="2911"/>
      <c r="J154" s="2910"/>
      <c r="K154" s="2910"/>
      <c r="L154" s="2911"/>
      <c r="M154" s="2910"/>
      <c r="N154" s="2910"/>
      <c r="O154" s="2911"/>
      <c r="P154" s="2910"/>
      <c r="Q154" s="2910"/>
      <c r="R154" s="2912"/>
    </row>
    <row r="155" s="2905" customFormat="1" spans="2:18">
      <c r="B155" s="2910"/>
      <c r="C155" s="2910"/>
      <c r="D155" s="2910"/>
      <c r="E155" s="2910"/>
      <c r="F155" s="2910"/>
      <c r="G155" s="2911"/>
      <c r="H155" s="2910"/>
      <c r="I155" s="2911"/>
      <c r="J155" s="2910"/>
      <c r="K155" s="2910"/>
      <c r="L155" s="2911"/>
      <c r="M155" s="2910"/>
      <c r="N155" s="2910"/>
      <c r="O155" s="2911"/>
      <c r="P155" s="2910"/>
      <c r="Q155" s="2910"/>
      <c r="R155" s="2912"/>
    </row>
    <row r="156" s="2905" customFormat="1" spans="2:18">
      <c r="B156" s="2910"/>
      <c r="C156" s="2910"/>
      <c r="D156" s="2910"/>
      <c r="E156" s="2910"/>
      <c r="F156" s="2910"/>
      <c r="G156" s="2911"/>
      <c r="H156" s="2910"/>
      <c r="I156" s="2911"/>
      <c r="J156" s="2910"/>
      <c r="K156" s="2910"/>
      <c r="L156" s="2911"/>
      <c r="M156" s="2910"/>
      <c r="N156" s="2910"/>
      <c r="O156" s="2911"/>
      <c r="P156" s="2910"/>
      <c r="Q156" s="2910"/>
      <c r="R156" s="2912"/>
    </row>
    <row r="157" s="2905" customFormat="1" spans="2:18">
      <c r="B157" s="2910"/>
      <c r="C157" s="2910"/>
      <c r="D157" s="2910"/>
      <c r="E157" s="2910"/>
      <c r="F157" s="2910"/>
      <c r="G157" s="2911"/>
      <c r="H157" s="2910"/>
      <c r="I157" s="2911"/>
      <c r="J157" s="2910"/>
      <c r="K157" s="2910"/>
      <c r="L157" s="2911"/>
      <c r="M157" s="2910"/>
      <c r="N157" s="2910"/>
      <c r="O157" s="2911"/>
      <c r="P157" s="2910"/>
      <c r="Q157" s="2910"/>
      <c r="R157" s="2912"/>
    </row>
    <row r="158" s="2905" customFormat="1" spans="2:18">
      <c r="B158" s="2910"/>
      <c r="C158" s="2910"/>
      <c r="D158" s="2910"/>
      <c r="E158" s="2910"/>
      <c r="F158" s="2910"/>
      <c r="G158" s="2911"/>
      <c r="H158" s="2910"/>
      <c r="I158" s="2911"/>
      <c r="J158" s="2910"/>
      <c r="K158" s="2910"/>
      <c r="L158" s="2911"/>
      <c r="M158" s="2910"/>
      <c r="N158" s="2910"/>
      <c r="O158" s="2911"/>
      <c r="P158" s="2910"/>
      <c r="Q158" s="2910"/>
      <c r="R158" s="2912"/>
    </row>
    <row r="159" s="2905" customFormat="1" spans="2:18">
      <c r="B159" s="2910"/>
      <c r="C159" s="2910"/>
      <c r="D159" s="2910"/>
      <c r="E159" s="2910"/>
      <c r="F159" s="2910"/>
      <c r="G159" s="2911"/>
      <c r="H159" s="2910"/>
      <c r="I159" s="2911"/>
      <c r="J159" s="2910"/>
      <c r="K159" s="2910"/>
      <c r="L159" s="2911"/>
      <c r="M159" s="2910"/>
      <c r="N159" s="2910"/>
      <c r="O159" s="2911"/>
      <c r="P159" s="2910"/>
      <c r="Q159" s="2910"/>
      <c r="R159" s="2912"/>
    </row>
    <row r="160" s="2905" customFormat="1" spans="2:18">
      <c r="B160" s="2910"/>
      <c r="C160" s="2910"/>
      <c r="D160" s="2910"/>
      <c r="E160" s="2910"/>
      <c r="F160" s="2910"/>
      <c r="G160" s="2911"/>
      <c r="H160" s="2910"/>
      <c r="I160" s="2911"/>
      <c r="J160" s="2910"/>
      <c r="K160" s="2910"/>
      <c r="L160" s="2911"/>
      <c r="M160" s="2910"/>
      <c r="N160" s="2910"/>
      <c r="O160" s="2911"/>
      <c r="P160" s="2910"/>
      <c r="Q160" s="2910"/>
      <c r="R160" s="2912"/>
    </row>
    <row r="161" s="2905" customFormat="1" spans="2:18">
      <c r="B161" s="2910"/>
      <c r="C161" s="2910"/>
      <c r="D161" s="2910"/>
      <c r="E161" s="2910"/>
      <c r="F161" s="2910"/>
      <c r="G161" s="2911"/>
      <c r="H161" s="2910"/>
      <c r="I161" s="2911"/>
      <c r="J161" s="2910"/>
      <c r="K161" s="2910"/>
      <c r="L161" s="2911"/>
      <c r="M161" s="2910"/>
      <c r="N161" s="2910"/>
      <c r="O161" s="2911"/>
      <c r="P161" s="2910"/>
      <c r="Q161" s="2910"/>
      <c r="R161" s="2912"/>
    </row>
    <row r="162" s="2905" customFormat="1" spans="2:18">
      <c r="B162" s="2910"/>
      <c r="C162" s="2910"/>
      <c r="D162" s="2910"/>
      <c r="E162" s="2910"/>
      <c r="F162" s="2910"/>
      <c r="G162" s="2911"/>
      <c r="H162" s="2910"/>
      <c r="I162" s="2911"/>
      <c r="J162" s="2910"/>
      <c r="K162" s="2910"/>
      <c r="L162" s="2911"/>
      <c r="M162" s="2910"/>
      <c r="N162" s="2910"/>
      <c r="O162" s="2911"/>
      <c r="P162" s="2910"/>
      <c r="Q162" s="2910"/>
      <c r="R162" s="2912"/>
    </row>
    <row r="163" s="2905" customFormat="1" spans="2:18">
      <c r="B163" s="2910"/>
      <c r="C163" s="2910"/>
      <c r="D163" s="2910"/>
      <c r="E163" s="2910"/>
      <c r="F163" s="2910"/>
      <c r="G163" s="2911"/>
      <c r="H163" s="2910"/>
      <c r="I163" s="2911"/>
      <c r="J163" s="2910"/>
      <c r="K163" s="2910"/>
      <c r="L163" s="2911"/>
      <c r="M163" s="2910"/>
      <c r="N163" s="2910"/>
      <c r="O163" s="2911"/>
      <c r="P163" s="2910"/>
      <c r="Q163" s="2910"/>
      <c r="R163" s="2912"/>
    </row>
    <row r="164" s="2905" customFormat="1" spans="2:18">
      <c r="B164" s="2910"/>
      <c r="C164" s="2910"/>
      <c r="D164" s="2910"/>
      <c r="E164" s="2910"/>
      <c r="F164" s="2910"/>
      <c r="G164" s="2911"/>
      <c r="H164" s="2910"/>
      <c r="I164" s="2911"/>
      <c r="J164" s="2910"/>
      <c r="K164" s="2910"/>
      <c r="L164" s="2911"/>
      <c r="M164" s="2910"/>
      <c r="N164" s="2910"/>
      <c r="O164" s="2911"/>
      <c r="P164" s="2910"/>
      <c r="Q164" s="2910"/>
      <c r="R164" s="2912"/>
    </row>
    <row r="165" s="2905" customFormat="1" spans="2:18">
      <c r="B165" s="2910"/>
      <c r="C165" s="2910"/>
      <c r="D165" s="2910"/>
      <c r="E165" s="2910"/>
      <c r="F165" s="2910"/>
      <c r="G165" s="2911"/>
      <c r="H165" s="2910"/>
      <c r="I165" s="2911"/>
      <c r="J165" s="2910"/>
      <c r="K165" s="2910"/>
      <c r="L165" s="2911"/>
      <c r="M165" s="2910"/>
      <c r="N165" s="2910"/>
      <c r="O165" s="2911"/>
      <c r="P165" s="2910"/>
      <c r="Q165" s="2910"/>
      <c r="R165" s="2912"/>
    </row>
    <row r="166" s="2905" customFormat="1" spans="2:18">
      <c r="B166" s="2910"/>
      <c r="C166" s="2910"/>
      <c r="D166" s="2910"/>
      <c r="E166" s="2910"/>
      <c r="F166" s="2910"/>
      <c r="G166" s="2911"/>
      <c r="H166" s="2910"/>
      <c r="I166" s="2911"/>
      <c r="J166" s="2910"/>
      <c r="K166" s="2910"/>
      <c r="L166" s="2911"/>
      <c r="M166" s="2910"/>
      <c r="N166" s="2910"/>
      <c r="O166" s="2911"/>
      <c r="P166" s="2910"/>
      <c r="Q166" s="2910"/>
      <c r="R166" s="2912"/>
    </row>
    <row r="167" s="2905" customFormat="1" spans="2:18">
      <c r="B167" s="2910"/>
      <c r="C167" s="2910"/>
      <c r="D167" s="2910"/>
      <c r="E167" s="2910"/>
      <c r="F167" s="2910"/>
      <c r="G167" s="2911"/>
      <c r="H167" s="2910"/>
      <c r="I167" s="2911"/>
      <c r="J167" s="2910"/>
      <c r="K167" s="2910"/>
      <c r="L167" s="2911"/>
      <c r="M167" s="2910"/>
      <c r="N167" s="2910"/>
      <c r="O167" s="2911"/>
      <c r="P167" s="2910"/>
      <c r="Q167" s="2910"/>
      <c r="R167" s="2912"/>
    </row>
    <row r="168" s="2905" customFormat="1" spans="2:18">
      <c r="B168" s="2910"/>
      <c r="C168" s="2910"/>
      <c r="D168" s="2910"/>
      <c r="E168" s="2910"/>
      <c r="F168" s="2910"/>
      <c r="G168" s="2911"/>
      <c r="H168" s="2910"/>
      <c r="I168" s="2911"/>
      <c r="J168" s="2910"/>
      <c r="K168" s="2910"/>
      <c r="L168" s="2911"/>
      <c r="M168" s="2910"/>
      <c r="N168" s="2910"/>
      <c r="O168" s="2911"/>
      <c r="P168" s="2910"/>
      <c r="Q168" s="2910"/>
      <c r="R168" s="2912"/>
    </row>
    <row r="169" s="2905" customFormat="1" spans="2:18">
      <c r="B169" s="2910"/>
      <c r="C169" s="2910"/>
      <c r="D169" s="2910"/>
      <c r="E169" s="2910"/>
      <c r="F169" s="2910"/>
      <c r="G169" s="2911"/>
      <c r="H169" s="2910"/>
      <c r="I169" s="2911"/>
      <c r="J169" s="2910"/>
      <c r="K169" s="2910"/>
      <c r="L169" s="2911"/>
      <c r="M169" s="2910"/>
      <c r="N169" s="2910"/>
      <c r="O169" s="2911"/>
      <c r="P169" s="2910"/>
      <c r="Q169" s="2910"/>
      <c r="R169" s="2912"/>
    </row>
    <row r="170" s="2905" customFormat="1" spans="2:18">
      <c r="B170" s="2910"/>
      <c r="C170" s="2910"/>
      <c r="D170" s="2910"/>
      <c r="E170" s="2910"/>
      <c r="F170" s="2910"/>
      <c r="G170" s="2911"/>
      <c r="H170" s="2910"/>
      <c r="I170" s="2911"/>
      <c r="J170" s="2910"/>
      <c r="K170" s="2910"/>
      <c r="L170" s="2911"/>
      <c r="M170" s="2910"/>
      <c r="N170" s="2910"/>
      <c r="O170" s="2911"/>
      <c r="P170" s="2910"/>
      <c r="Q170" s="2910"/>
      <c r="R170" s="2912"/>
    </row>
    <row r="171" s="2905" customFormat="1" spans="2:18">
      <c r="B171" s="2910"/>
      <c r="C171" s="2910"/>
      <c r="D171" s="2910"/>
      <c r="E171" s="2910"/>
      <c r="F171" s="2910"/>
      <c r="G171" s="2911"/>
      <c r="H171" s="2910"/>
      <c r="I171" s="2911"/>
      <c r="J171" s="2910"/>
      <c r="K171" s="2910"/>
      <c r="L171" s="2911"/>
      <c r="M171" s="2910"/>
      <c r="N171" s="2910"/>
      <c r="O171" s="2911"/>
      <c r="P171" s="2910"/>
      <c r="Q171" s="2910"/>
      <c r="R171" s="2912"/>
    </row>
    <row r="172" s="2905" customFormat="1" spans="2:18">
      <c r="B172" s="2910"/>
      <c r="C172" s="2910"/>
      <c r="D172" s="2910"/>
      <c r="E172" s="2910"/>
      <c r="F172" s="2910"/>
      <c r="G172" s="2911"/>
      <c r="H172" s="2910"/>
      <c r="I172" s="2911"/>
      <c r="J172" s="2910"/>
      <c r="K172" s="2910"/>
      <c r="L172" s="2911"/>
      <c r="M172" s="2910"/>
      <c r="N172" s="2910"/>
      <c r="O172" s="2911"/>
      <c r="P172" s="2910"/>
      <c r="Q172" s="2910"/>
      <c r="R172" s="2912"/>
    </row>
    <row r="173" s="2905" customFormat="1" spans="2:18">
      <c r="B173" s="2910"/>
      <c r="C173" s="2910"/>
      <c r="D173" s="2910"/>
      <c r="E173" s="2910"/>
      <c r="F173" s="2910"/>
      <c r="G173" s="2911"/>
      <c r="H173" s="2910"/>
      <c r="I173" s="2911"/>
      <c r="J173" s="2910"/>
      <c r="K173" s="2910"/>
      <c r="L173" s="2911"/>
      <c r="M173" s="2910"/>
      <c r="N173" s="2910"/>
      <c r="O173" s="2911"/>
      <c r="P173" s="2910"/>
      <c r="Q173" s="2910"/>
      <c r="R173" s="2912"/>
    </row>
    <row r="174" s="2905" customFormat="1" spans="2:18">
      <c r="B174" s="2910"/>
      <c r="C174" s="2910"/>
      <c r="D174" s="2910"/>
      <c r="E174" s="2910"/>
      <c r="F174" s="2910"/>
      <c r="G174" s="2911"/>
      <c r="H174" s="2910"/>
      <c r="I174" s="2911"/>
      <c r="J174" s="2910"/>
      <c r="K174" s="2910"/>
      <c r="L174" s="2911"/>
      <c r="M174" s="2910"/>
      <c r="N174" s="2910"/>
      <c r="O174" s="2911"/>
      <c r="P174" s="2910"/>
      <c r="Q174" s="2910"/>
      <c r="R174" s="2912"/>
    </row>
    <row r="175" s="2905" customFormat="1" spans="2:18">
      <c r="B175" s="2910"/>
      <c r="C175" s="2910"/>
      <c r="D175" s="2910"/>
      <c r="E175" s="2910"/>
      <c r="F175" s="2910"/>
      <c r="G175" s="2911"/>
      <c r="H175" s="2910"/>
      <c r="I175" s="2911"/>
      <c r="J175" s="2910"/>
      <c r="K175" s="2910"/>
      <c r="L175" s="2911"/>
      <c r="M175" s="2910"/>
      <c r="N175" s="2910"/>
      <c r="O175" s="2911"/>
      <c r="P175" s="2910"/>
      <c r="Q175" s="2910"/>
      <c r="R175" s="2912"/>
    </row>
    <row r="176" s="2905" customFormat="1" spans="2:18">
      <c r="B176" s="2910"/>
      <c r="C176" s="2910"/>
      <c r="D176" s="2910"/>
      <c r="E176" s="2910"/>
      <c r="F176" s="2910"/>
      <c r="G176" s="2911"/>
      <c r="H176" s="2910"/>
      <c r="I176" s="2911"/>
      <c r="J176" s="2910"/>
      <c r="K176" s="2910"/>
      <c r="L176" s="2911"/>
      <c r="M176" s="2910"/>
      <c r="N176" s="2910"/>
      <c r="O176" s="2911"/>
      <c r="P176" s="2910"/>
      <c r="Q176" s="2910"/>
      <c r="R176" s="2912"/>
    </row>
    <row r="177" s="2905" customFormat="1" spans="2:18">
      <c r="B177" s="2910"/>
      <c r="C177" s="2910"/>
      <c r="D177" s="2910"/>
      <c r="E177" s="2910"/>
      <c r="F177" s="2910"/>
      <c r="G177" s="2911"/>
      <c r="H177" s="2910"/>
      <c r="I177" s="2911"/>
      <c r="J177" s="2910"/>
      <c r="K177" s="2910"/>
      <c r="L177" s="2911"/>
      <c r="M177" s="2910"/>
      <c r="N177" s="2910"/>
      <c r="O177" s="2911"/>
      <c r="P177" s="2910"/>
      <c r="Q177" s="2910"/>
      <c r="R177" s="2912"/>
    </row>
    <row r="178" s="2905" customFormat="1" spans="2:18">
      <c r="B178" s="2910"/>
      <c r="C178" s="2910"/>
      <c r="D178" s="2910"/>
      <c r="E178" s="2910"/>
      <c r="F178" s="2910"/>
      <c r="G178" s="2911"/>
      <c r="H178" s="2910"/>
      <c r="I178" s="2911"/>
      <c r="J178" s="2910"/>
      <c r="K178" s="2910"/>
      <c r="L178" s="2911"/>
      <c r="M178" s="2910"/>
      <c r="N178" s="2910"/>
      <c r="O178" s="2911"/>
      <c r="P178" s="2910"/>
      <c r="Q178" s="2910"/>
      <c r="R178" s="2912"/>
    </row>
    <row r="179" s="2905" customFormat="1" spans="2:18">
      <c r="B179" s="2910"/>
      <c r="C179" s="2910"/>
      <c r="D179" s="2910"/>
      <c r="E179" s="2910"/>
      <c r="F179" s="2910"/>
      <c r="G179" s="2911"/>
      <c r="H179" s="2910"/>
      <c r="I179" s="2911"/>
      <c r="J179" s="2910"/>
      <c r="K179" s="2910"/>
      <c r="L179" s="2911"/>
      <c r="M179" s="2910"/>
      <c r="N179" s="2910"/>
      <c r="O179" s="2911"/>
      <c r="P179" s="2910"/>
      <c r="Q179" s="2910"/>
      <c r="R179" s="2912"/>
    </row>
    <row r="180" s="2905" customFormat="1" spans="2:18">
      <c r="B180" s="2910"/>
      <c r="C180" s="2910"/>
      <c r="D180" s="2910"/>
      <c r="E180" s="2910"/>
      <c r="F180" s="2910"/>
      <c r="G180" s="2911"/>
      <c r="H180" s="2910"/>
      <c r="I180" s="2911"/>
      <c r="J180" s="2910"/>
      <c r="K180" s="2910"/>
      <c r="L180" s="2911"/>
      <c r="M180" s="2910"/>
      <c r="N180" s="2910"/>
      <c r="O180" s="2911"/>
      <c r="P180" s="2910"/>
      <c r="Q180" s="2910"/>
      <c r="R180" s="2912"/>
    </row>
    <row r="181" s="2905" customFormat="1" spans="2:18">
      <c r="B181" s="2910"/>
      <c r="C181" s="2910"/>
      <c r="D181" s="2910"/>
      <c r="E181" s="2910"/>
      <c r="F181" s="2910"/>
      <c r="G181" s="2911"/>
      <c r="H181" s="2910"/>
      <c r="I181" s="2911"/>
      <c r="J181" s="2910"/>
      <c r="K181" s="2910"/>
      <c r="L181" s="2911"/>
      <c r="M181" s="2910"/>
      <c r="N181" s="2910"/>
      <c r="O181" s="2911"/>
      <c r="P181" s="2910"/>
      <c r="Q181" s="2910"/>
      <c r="R181" s="2912"/>
    </row>
    <row r="182" s="2905" customFormat="1" spans="2:18">
      <c r="B182" s="2910"/>
      <c r="C182" s="2910"/>
      <c r="D182" s="2910"/>
      <c r="E182" s="2910"/>
      <c r="F182" s="2910"/>
      <c r="G182" s="2911"/>
      <c r="H182" s="2910"/>
      <c r="I182" s="2911"/>
      <c r="J182" s="2910"/>
      <c r="K182" s="2910"/>
      <c r="L182" s="2911"/>
      <c r="M182" s="2910"/>
      <c r="N182" s="2910"/>
      <c r="O182" s="2911"/>
      <c r="P182" s="2910"/>
      <c r="Q182" s="2910"/>
      <c r="R182" s="2912"/>
    </row>
    <row r="183" s="2905" customFormat="1" spans="2:18">
      <c r="B183" s="2910"/>
      <c r="C183" s="2910"/>
      <c r="D183" s="2910"/>
      <c r="E183" s="2910"/>
      <c r="F183" s="2910"/>
      <c r="G183" s="2911"/>
      <c r="H183" s="2910"/>
      <c r="I183" s="2911"/>
      <c r="J183" s="2910"/>
      <c r="K183" s="2910"/>
      <c r="L183" s="2911"/>
      <c r="M183" s="2910"/>
      <c r="N183" s="2910"/>
      <c r="O183" s="2911"/>
      <c r="P183" s="2910"/>
      <c r="Q183" s="2910"/>
      <c r="R183" s="2912"/>
    </row>
    <row r="184" s="2905" customFormat="1" spans="2:18">
      <c r="B184" s="2910"/>
      <c r="C184" s="2910"/>
      <c r="D184" s="2910"/>
      <c r="E184" s="2910"/>
      <c r="F184" s="2910"/>
      <c r="G184" s="2911"/>
      <c r="H184" s="2910"/>
      <c r="I184" s="2911"/>
      <c r="J184" s="2910"/>
      <c r="K184" s="2910"/>
      <c r="L184" s="2911"/>
      <c r="M184" s="2910"/>
      <c r="N184" s="2910"/>
      <c r="O184" s="2911"/>
      <c r="P184" s="2910"/>
      <c r="Q184" s="2910"/>
      <c r="R184" s="2912"/>
    </row>
    <row r="185" s="2905" customFormat="1" spans="2:18">
      <c r="B185" s="2910"/>
      <c r="C185" s="2910"/>
      <c r="D185" s="2910"/>
      <c r="E185" s="2910"/>
      <c r="F185" s="2910"/>
      <c r="G185" s="2911"/>
      <c r="H185" s="2910"/>
      <c r="I185" s="2911"/>
      <c r="J185" s="2910"/>
      <c r="K185" s="2910"/>
      <c r="L185" s="2911"/>
      <c r="M185" s="2910"/>
      <c r="N185" s="2910"/>
      <c r="O185" s="2911"/>
      <c r="P185" s="2910"/>
      <c r="Q185" s="2910"/>
      <c r="R185" s="2912"/>
    </row>
    <row r="186" spans="1:7">
      <c r="A186" s="2905"/>
      <c r="B186" s="2910"/>
      <c r="C186" s="2910"/>
      <c r="E186" s="2910"/>
      <c r="F186" s="2910"/>
      <c r="G186" s="2911"/>
    </row>
    <row r="187" spans="1:7">
      <c r="A187" s="2905"/>
      <c r="B187" s="2910"/>
      <c r="C187" s="2910"/>
      <c r="E187" s="2910"/>
      <c r="F187" s="2910"/>
      <c r="G187" s="291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B20" sqref="B20"/>
    </sheetView>
  </sheetViews>
  <sheetFormatPr defaultColWidth="14.6666666666667" defaultRowHeight="13.5"/>
  <cols>
    <col min="1" max="1" width="24.3333333333333" style="2887" customWidth="1"/>
    <col min="2" max="16384" width="14.6666666666667" style="2887"/>
  </cols>
  <sheetData>
    <row r="1" ht="16.5" spans="1:7">
      <c r="A1" s="2888" t="s">
        <v>579</v>
      </c>
      <c r="B1" s="2888">
        <f>SUM(B14:B23)</f>
        <v>134.71</v>
      </c>
      <c r="C1" s="2889"/>
      <c r="D1" s="2889"/>
      <c r="E1" s="2889"/>
      <c r="F1" s="2889"/>
      <c r="G1" s="2890"/>
    </row>
    <row r="2" ht="16.5" spans="1:7">
      <c r="A2" s="2888" t="s">
        <v>580</v>
      </c>
      <c r="B2" s="2888">
        <f>SUM(C14:C23)</f>
        <v>0</v>
      </c>
      <c r="C2" s="2889"/>
      <c r="D2" s="2889"/>
      <c r="E2" s="2889"/>
      <c r="F2" s="2889"/>
      <c r="G2" s="2890"/>
    </row>
    <row r="3" ht="16.5" spans="1:7">
      <c r="A3" s="2888" t="s">
        <v>581</v>
      </c>
      <c r="B3" s="2891">
        <f>项目基本情况!D2</f>
        <v>44489</v>
      </c>
      <c r="C3" s="2889"/>
      <c r="D3" s="2889"/>
      <c r="E3" s="2889"/>
      <c r="F3" s="2889"/>
      <c r="G3" s="2890"/>
    </row>
    <row r="4" ht="33" spans="1:7">
      <c r="A4" s="2888" t="s">
        <v>582</v>
      </c>
      <c r="B4" s="2888" t="s">
        <v>583</v>
      </c>
      <c r="C4" s="2888" t="s">
        <v>584</v>
      </c>
      <c r="D4" s="2888" t="s">
        <v>585</v>
      </c>
      <c r="E4" s="2889"/>
      <c r="F4" s="2890"/>
      <c r="G4" s="2890"/>
    </row>
    <row r="5" ht="16.5" spans="1:7">
      <c r="A5" s="2888" t="s">
        <v>586</v>
      </c>
      <c r="B5" s="2888">
        <f ca="1">SUM(D14:D23)</f>
        <v>487.9196</v>
      </c>
      <c r="C5" s="2888">
        <f ca="1">ROUND(B5*10000/$B$1,0)</f>
        <v>36220</v>
      </c>
      <c r="D5" s="2888" t="e">
        <f ca="1">ROUND(B5*10000/$B$2,0)</f>
        <v>#DIV/0!</v>
      </c>
      <c r="E5" s="2889"/>
      <c r="F5" s="2890"/>
      <c r="G5" s="2890"/>
    </row>
    <row r="6" ht="16.5" spans="1:7">
      <c r="A6" s="2888" t="s">
        <v>587</v>
      </c>
      <c r="B6" s="2888">
        <f ca="1">SUM(G14:G23)</f>
        <v>487.9196</v>
      </c>
      <c r="C6" s="2888">
        <f ca="1" t="shared" ref="C6:C8" si="0">ROUND(B6*10000/$B$1,0)</f>
        <v>36220</v>
      </c>
      <c r="D6" s="2888" t="e">
        <f ca="1" t="shared" ref="D6:D8" si="1">ROUND(B6*10000/$B$2,0)</f>
        <v>#DIV/0!</v>
      </c>
      <c r="E6" s="2889"/>
      <c r="F6" s="2890"/>
      <c r="G6" s="2890"/>
    </row>
    <row r="7" ht="16.5" spans="1:7">
      <c r="A7" s="2888" t="s">
        <v>588</v>
      </c>
      <c r="B7" s="2888" t="e">
        <f ca="1">SUM(H14:H23)</f>
        <v>#VALUE!</v>
      </c>
      <c r="C7" s="2888" t="e">
        <f ca="1">ROUND(B7*10000/$B$1,0)</f>
        <v>#VALUE!</v>
      </c>
      <c r="D7" s="2888" t="e">
        <f ca="1" t="shared" si="1"/>
        <v>#VALUE!</v>
      </c>
      <c r="E7" s="2889"/>
      <c r="F7" s="2890"/>
      <c r="G7" s="2890"/>
    </row>
    <row r="8" ht="16.5" spans="1:7">
      <c r="A8" s="2888" t="s">
        <v>589</v>
      </c>
      <c r="B8" s="2888" t="e">
        <f ca="1">SUM(I14:I23)</f>
        <v>#VALUE!</v>
      </c>
      <c r="C8" s="2888" t="e">
        <f ca="1" t="shared" si="0"/>
        <v>#VALUE!</v>
      </c>
      <c r="D8" s="2888" t="e">
        <f ca="1" t="shared" si="1"/>
        <v>#VALUE!</v>
      </c>
      <c r="E8" s="2889"/>
      <c r="F8" s="2890"/>
      <c r="G8" s="2890"/>
    </row>
    <row r="9" ht="16.5" spans="1:7">
      <c r="A9" s="2888" t="s">
        <v>590</v>
      </c>
      <c r="B9" s="2892"/>
      <c r="C9" s="2889"/>
      <c r="D9" s="2889"/>
      <c r="E9" s="2889"/>
      <c r="F9" s="2890"/>
      <c r="G9" s="2890"/>
    </row>
    <row r="10" ht="16.5" spans="1:7">
      <c r="A10" s="2888" t="s">
        <v>591</v>
      </c>
      <c r="B10" s="2892"/>
      <c r="C10" s="2889"/>
      <c r="D10" s="2889"/>
      <c r="E10" s="2889"/>
      <c r="F10" s="2890"/>
      <c r="G10" s="2890"/>
    </row>
    <row r="11" ht="16.5" spans="1:7">
      <c r="A11" s="2888" t="s">
        <v>592</v>
      </c>
      <c r="B11" s="2892"/>
      <c r="C11" s="2889"/>
      <c r="D11" s="2889"/>
      <c r="E11" s="2889"/>
      <c r="F11" s="2890"/>
      <c r="G11" s="2890"/>
    </row>
    <row r="12" ht="16.5" spans="1:7">
      <c r="A12" s="2889"/>
      <c r="B12" s="2889"/>
      <c r="C12" s="2889"/>
      <c r="D12" s="2889"/>
      <c r="E12" s="2889"/>
      <c r="F12" s="2890"/>
      <c r="G12" s="2890"/>
    </row>
    <row r="13" ht="33" spans="1:9">
      <c r="A13" s="2893" t="s">
        <v>593</v>
      </c>
      <c r="B13" s="2894" t="s">
        <v>579</v>
      </c>
      <c r="C13" s="2894" t="s">
        <v>580</v>
      </c>
      <c r="D13" s="2894" t="s">
        <v>594</v>
      </c>
      <c r="E13" s="2888" t="s">
        <v>584</v>
      </c>
      <c r="F13" s="2888" t="s">
        <v>585</v>
      </c>
      <c r="G13" s="2894" t="s">
        <v>595</v>
      </c>
      <c r="H13" s="2894" t="s">
        <v>596</v>
      </c>
      <c r="I13" s="2894" t="s">
        <v>597</v>
      </c>
    </row>
    <row r="14" ht="16.5" spans="1:9">
      <c r="A14" s="2895" t="s">
        <v>598</v>
      </c>
      <c r="B14" s="2896">
        <f>项目基本情况!C12</f>
        <v>134.71</v>
      </c>
      <c r="C14" s="2896">
        <f>项目基本情况!C13</f>
        <v>0</v>
      </c>
      <c r="D14" s="2896">
        <f ca="1">IF('数据-取费表'!B3="万元",IF(A14="估价对象1（结果表）",结果表!H121,'结果表 (1修多)'!H125),IF(A14="估价对象1（结果表）",结果表!H121,'结果表 (1修多)'!H125)/10000)</f>
        <v>487.9196</v>
      </c>
      <c r="E14" s="2896">
        <f ca="1">ROUND(D14*10000/B14,0)</f>
        <v>36220</v>
      </c>
      <c r="F14" s="2896" t="e">
        <f ca="1">ROUND(D14*10000/C14,0)</f>
        <v>#DIV/0!</v>
      </c>
      <c r="G14" s="2896">
        <f ca="1">IF('数据-取费表'!B3="万元",IF(A14="估价对象1（结果表）",结果表!D125,'结果表 (1修多)'!D129),IF(A14="估价对象1（结果表）",结果表!D125,'结果表 (1修多)'!D129)/10000)</f>
        <v>487.9196</v>
      </c>
      <c r="H14" s="2896" t="e">
        <f ca="1">IF('数据-取费表'!B3="万元",IF(A14="估价对象1（结果表）",结果表!D127,'结果表 (1修多)'!D131),IF(A14="估价对象1（结果表）",结果表!D127,'结果表 (1修多)'!D131)/10000)</f>
        <v>#VALUE!</v>
      </c>
      <c r="I14" s="2896" t="e">
        <f ca="1">IF('数据-取费表'!B3="万元",IF(A14="估价对象1（结果表）",结果表!D129,'结果表 (1修多)'!D133),IF(A14="估价对象1（结果表）",结果表!D129,'结果表 (1修多)'!D133)/10000)</f>
        <v>#VALUE!</v>
      </c>
    </row>
    <row r="15" ht="16.5" spans="1:9">
      <c r="A15" s="2897" t="s">
        <v>599</v>
      </c>
      <c r="B15" s="2898"/>
      <c r="C15" s="2898"/>
      <c r="D15" s="2898"/>
      <c r="E15" s="2896" t="e">
        <f t="shared" ref="E15:E23" si="2">ROUND(D15*10000/B15,0)</f>
        <v>#DIV/0!</v>
      </c>
      <c r="F15" s="2896" t="e">
        <f t="shared" ref="F15:F23" si="3">ROUND(D15*10000/C15,0)</f>
        <v>#DIV/0!</v>
      </c>
      <c r="G15" s="2899"/>
      <c r="H15" s="2899"/>
      <c r="I15" s="2898"/>
    </row>
    <row r="16" ht="16.5" spans="1:9">
      <c r="A16" s="2897" t="s">
        <v>600</v>
      </c>
      <c r="B16" s="2898"/>
      <c r="C16" s="2898"/>
      <c r="D16" s="2898"/>
      <c r="E16" s="2896" t="e">
        <f t="shared" si="2"/>
        <v>#DIV/0!</v>
      </c>
      <c r="F16" s="2896" t="e">
        <f t="shared" si="3"/>
        <v>#DIV/0!</v>
      </c>
      <c r="G16" s="2899"/>
      <c r="H16" s="2899"/>
      <c r="I16" s="2898"/>
    </row>
    <row r="17" ht="16.5" spans="1:9">
      <c r="A17" s="2897" t="s">
        <v>601</v>
      </c>
      <c r="B17" s="2898"/>
      <c r="C17" s="2898"/>
      <c r="D17" s="2898"/>
      <c r="E17" s="2896" t="e">
        <f t="shared" si="2"/>
        <v>#DIV/0!</v>
      </c>
      <c r="F17" s="2896" t="e">
        <f t="shared" si="3"/>
        <v>#DIV/0!</v>
      </c>
      <c r="G17" s="2899"/>
      <c r="H17" s="2899"/>
      <c r="I17" s="2898"/>
    </row>
    <row r="18" ht="16.5" spans="1:9">
      <c r="A18" s="2897" t="s">
        <v>602</v>
      </c>
      <c r="B18" s="2898"/>
      <c r="C18" s="2898"/>
      <c r="D18" s="2898"/>
      <c r="E18" s="2896" t="e">
        <f t="shared" si="2"/>
        <v>#DIV/0!</v>
      </c>
      <c r="F18" s="2896" t="e">
        <f t="shared" si="3"/>
        <v>#DIV/0!</v>
      </c>
      <c r="G18" s="2898"/>
      <c r="H18" s="2898"/>
      <c r="I18" s="2898"/>
    </row>
    <row r="19" ht="16.5" spans="1:9">
      <c r="A19" s="2897" t="s">
        <v>603</v>
      </c>
      <c r="B19" s="2898"/>
      <c r="C19" s="2898"/>
      <c r="D19" s="2898"/>
      <c r="E19" s="2896" t="e">
        <f t="shared" si="2"/>
        <v>#DIV/0!</v>
      </c>
      <c r="F19" s="2896" t="e">
        <f t="shared" si="3"/>
        <v>#DIV/0!</v>
      </c>
      <c r="G19" s="2898"/>
      <c r="H19" s="2898"/>
      <c r="I19" s="2898"/>
    </row>
    <row r="20" ht="16.5" spans="1:9">
      <c r="A20" s="2897" t="s">
        <v>604</v>
      </c>
      <c r="B20" s="2898"/>
      <c r="C20" s="2898"/>
      <c r="D20" s="2898"/>
      <c r="E20" s="2896" t="e">
        <f t="shared" si="2"/>
        <v>#DIV/0!</v>
      </c>
      <c r="F20" s="2896" t="e">
        <f t="shared" si="3"/>
        <v>#DIV/0!</v>
      </c>
      <c r="G20" s="2898"/>
      <c r="H20" s="2898"/>
      <c r="I20" s="2898"/>
    </row>
    <row r="21" ht="16.5" spans="1:9">
      <c r="A21" s="2897" t="s">
        <v>605</v>
      </c>
      <c r="B21" s="2898"/>
      <c r="C21" s="2898"/>
      <c r="D21" s="2898"/>
      <c r="E21" s="2896" t="e">
        <f t="shared" si="2"/>
        <v>#DIV/0!</v>
      </c>
      <c r="F21" s="2896" t="e">
        <f t="shared" si="3"/>
        <v>#DIV/0!</v>
      </c>
      <c r="G21" s="2898"/>
      <c r="H21" s="2898"/>
      <c r="I21" s="2898"/>
    </row>
    <row r="22" ht="16.5" spans="1:9">
      <c r="A22" s="2897" t="s">
        <v>606</v>
      </c>
      <c r="B22" s="2898"/>
      <c r="C22" s="2898"/>
      <c r="D22" s="2898"/>
      <c r="E22" s="2896" t="e">
        <f t="shared" si="2"/>
        <v>#DIV/0!</v>
      </c>
      <c r="F22" s="2896" t="e">
        <f t="shared" si="3"/>
        <v>#DIV/0!</v>
      </c>
      <c r="G22" s="2898"/>
      <c r="H22" s="2898"/>
      <c r="I22" s="2898"/>
    </row>
    <row r="23" ht="16.5" spans="1:9">
      <c r="A23" s="2897" t="s">
        <v>607</v>
      </c>
      <c r="B23" s="2898"/>
      <c r="C23" s="2898"/>
      <c r="D23" s="2898"/>
      <c r="E23" s="2900" t="e">
        <f t="shared" si="2"/>
        <v>#DIV/0!</v>
      </c>
      <c r="F23" s="2900" t="e">
        <f t="shared" si="3"/>
        <v>#DIV/0!</v>
      </c>
      <c r="G23" s="2898"/>
      <c r="H23" s="2898"/>
      <c r="I23" s="289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5" sqref="F25"/>
    </sheetView>
  </sheetViews>
  <sheetFormatPr defaultColWidth="12.6666666666667" defaultRowHeight="21.75" customHeight="1"/>
  <cols>
    <col min="1" max="2" width="12.6666666666667" style="2430"/>
    <col min="3" max="4" width="12.6666666666667" style="2430" customWidth="1"/>
    <col min="5" max="9" width="12.6666666666667" style="2430"/>
    <col min="10" max="10" width="3.66666666666667" style="2431" customWidth="1"/>
    <col min="11" max="12" width="12.6666666666667" style="1712" customWidth="1"/>
    <col min="13" max="13" width="12.6666666666667" style="1712"/>
    <col min="14" max="14" width="14.1083333333333" style="1712" customWidth="1"/>
    <col min="15" max="27" width="12.6666666666667" style="1712"/>
    <col min="28" max="36" width="12.6666666666667" style="2429"/>
    <col min="37" max="16384" width="12.6666666666667" style="2430"/>
  </cols>
  <sheetData>
    <row r="1" customHeight="1" spans="1:9">
      <c r="A1" s="2432" t="s">
        <v>608</v>
      </c>
      <c r="B1" s="2433"/>
      <c r="C1" s="2433"/>
      <c r="D1" s="2433"/>
      <c r="E1" s="2433"/>
      <c r="F1" s="2433"/>
      <c r="G1" s="2433"/>
      <c r="H1" s="2433"/>
      <c r="I1" s="2433"/>
    </row>
    <row r="2" customHeight="1" spans="1:10">
      <c r="A2" s="2798" t="str">
        <f>项目基本情况!B1</f>
        <v>北京市预评估</v>
      </c>
      <c r="B2" s="2798"/>
      <c r="C2" s="2798"/>
      <c r="D2" s="2798"/>
      <c r="E2" s="2798"/>
      <c r="F2" s="2798"/>
      <c r="G2" s="2798"/>
      <c r="H2" s="2798"/>
      <c r="I2" s="2798"/>
      <c r="J2" s="2828"/>
    </row>
    <row r="3" ht="13.5" spans="1:10">
      <c r="A3" s="2435" t="s">
        <v>609</v>
      </c>
      <c r="B3" s="2167"/>
      <c r="C3" s="2167"/>
      <c r="D3" s="2167"/>
      <c r="E3" s="2167"/>
      <c r="F3" s="2167"/>
      <c r="G3" s="2167"/>
      <c r="H3" s="2167"/>
      <c r="I3" s="2167"/>
      <c r="J3" s="2566"/>
    </row>
    <row r="4" ht="14.25" spans="1:15">
      <c r="A4" s="2436" t="s">
        <v>610</v>
      </c>
      <c r="B4" s="2436" t="s">
        <v>611</v>
      </c>
      <c r="C4" s="2437" t="s">
        <v>612</v>
      </c>
      <c r="D4" s="2437" t="s">
        <v>613</v>
      </c>
      <c r="E4" s="2149" t="s">
        <v>614</v>
      </c>
      <c r="F4" s="2150"/>
      <c r="G4" s="2150"/>
      <c r="H4" s="2150"/>
      <c r="I4" s="2550"/>
      <c r="J4" s="2567"/>
      <c r="L4" s="2433" t="str">
        <f>IF(ISNUMBER(FIND("比较法",结果表!C4)),"比较法",IF(ISNUMBER(FIND("成本法",结果表!C4)),"成本法",IF(ISNUMBER(FIND("假设开发法",结果表!C4)),"假设开发法",IF(ISNUMBER(FIND("收益法",结果表!C4)),"收益法","基准地价系数修正法"))))</f>
        <v>收益法</v>
      </c>
      <c r="M4" s="2433" t="str">
        <f>IF(ISNUMBER(FIND("比较法",结果表!D4)),"比较法",IF(ISNUMBER(FIND("成本法",结果表!D4)),"成本法",IF(ISNUMBER(FIND("假设开发法",结果表!D4)),"假设开发法",IF(ISNUMBER(FIND("收益法",结果表!D4)),"收益法","基准地价系数修正法"))))</f>
        <v>比较法</v>
      </c>
      <c r="N4" s="2433"/>
      <c r="O4" s="2433"/>
    </row>
    <row r="5" ht="13.5" spans="1:10">
      <c r="A5" s="1294" t="s">
        <v>615</v>
      </c>
      <c r="B5" s="1294">
        <v>25</v>
      </c>
      <c r="C5" s="2438"/>
      <c r="D5" s="2439"/>
      <c r="E5" s="2228" t="s">
        <v>616</v>
      </c>
      <c r="F5" s="2150"/>
      <c r="G5" s="2150"/>
      <c r="H5" s="2150"/>
      <c r="I5" s="2550"/>
      <c r="J5" s="2567"/>
    </row>
    <row r="6" ht="13.5" spans="1:10">
      <c r="A6" s="1294"/>
      <c r="B6" s="1294"/>
      <c r="C6" s="2440"/>
      <c r="D6" s="2439"/>
      <c r="E6" s="2228" t="s">
        <v>617</v>
      </c>
      <c r="F6" s="2150"/>
      <c r="G6" s="2150"/>
      <c r="H6" s="2150"/>
      <c r="I6" s="2550"/>
      <c r="J6" s="2567"/>
    </row>
    <row r="7" ht="13.5" spans="1:10">
      <c r="A7" s="1294"/>
      <c r="B7" s="1294"/>
      <c r="C7" s="2441"/>
      <c r="D7" s="2439"/>
      <c r="E7" s="2228" t="s">
        <v>618</v>
      </c>
      <c r="F7" s="2150"/>
      <c r="G7" s="2150"/>
      <c r="H7" s="2150"/>
      <c r="I7" s="2550"/>
      <c r="J7" s="2567"/>
    </row>
    <row r="8" ht="13.5" spans="1:10">
      <c r="A8" s="1294" t="s">
        <v>619</v>
      </c>
      <c r="B8" s="1294">
        <v>15</v>
      </c>
      <c r="C8" s="2438"/>
      <c r="D8" s="2439"/>
      <c r="E8" s="2228" t="s">
        <v>620</v>
      </c>
      <c r="F8" s="2150"/>
      <c r="G8" s="2150"/>
      <c r="H8" s="2150"/>
      <c r="I8" s="2550"/>
      <c r="J8" s="2567"/>
    </row>
    <row r="9" ht="13.5" spans="1:10">
      <c r="A9" s="1294"/>
      <c r="B9" s="1294"/>
      <c r="C9" s="2441"/>
      <c r="D9" s="2439"/>
      <c r="E9" s="2228" t="s">
        <v>621</v>
      </c>
      <c r="F9" s="2150"/>
      <c r="G9" s="2150"/>
      <c r="H9" s="2150"/>
      <c r="I9" s="2550"/>
      <c r="J9" s="2567"/>
    </row>
    <row r="10" ht="13.5" spans="1:10">
      <c r="A10" s="1294" t="s">
        <v>622</v>
      </c>
      <c r="B10" s="1294">
        <v>15</v>
      </c>
      <c r="C10" s="2438"/>
      <c r="D10" s="2439"/>
      <c r="E10" s="2228" t="s">
        <v>623</v>
      </c>
      <c r="F10" s="2150"/>
      <c r="G10" s="2150"/>
      <c r="H10" s="2150"/>
      <c r="I10" s="2550"/>
      <c r="J10" s="2567"/>
    </row>
    <row r="11" ht="13.5" spans="1:10">
      <c r="A11" s="1294"/>
      <c r="B11" s="1294"/>
      <c r="C11" s="2441"/>
      <c r="D11" s="2439"/>
      <c r="E11" s="2228" t="s">
        <v>624</v>
      </c>
      <c r="F11" s="2150"/>
      <c r="G11" s="2150"/>
      <c r="H11" s="2150"/>
      <c r="I11" s="2550"/>
      <c r="J11" s="2567"/>
    </row>
    <row r="12" ht="13.5" spans="1:10">
      <c r="A12" s="1294" t="s">
        <v>625</v>
      </c>
      <c r="B12" s="1294">
        <v>15</v>
      </c>
      <c r="C12" s="2438"/>
      <c r="D12" s="2439"/>
      <c r="E12" s="2228" t="s">
        <v>626</v>
      </c>
      <c r="F12" s="2150"/>
      <c r="G12" s="2150"/>
      <c r="H12" s="2150"/>
      <c r="I12" s="2550"/>
      <c r="J12" s="2567"/>
    </row>
    <row r="13" ht="13.5" spans="1:10">
      <c r="A13" s="1294"/>
      <c r="B13" s="1294"/>
      <c r="C13" s="2441"/>
      <c r="D13" s="2439"/>
      <c r="E13" s="2228" t="s">
        <v>627</v>
      </c>
      <c r="F13" s="2150"/>
      <c r="G13" s="2150"/>
      <c r="H13" s="2150"/>
      <c r="I13" s="2550"/>
      <c r="J13" s="2567"/>
    </row>
    <row r="14" ht="13.5" spans="1:10">
      <c r="A14" s="1294" t="s">
        <v>628</v>
      </c>
      <c r="B14" s="1294">
        <v>30</v>
      </c>
      <c r="C14" s="2438">
        <v>2</v>
      </c>
      <c r="D14" s="2439">
        <v>8</v>
      </c>
      <c r="E14" s="2228" t="s">
        <v>629</v>
      </c>
      <c r="F14" s="2150"/>
      <c r="G14" s="2150"/>
      <c r="H14" s="2150"/>
      <c r="I14" s="2550"/>
      <c r="J14" s="2567"/>
    </row>
    <row r="15" ht="13.5" spans="1:10">
      <c r="A15" s="1294"/>
      <c r="B15" s="1294"/>
      <c r="C15" s="2440"/>
      <c r="D15" s="2439"/>
      <c r="E15" s="2228" t="s">
        <v>630</v>
      </c>
      <c r="F15" s="2150"/>
      <c r="G15" s="2150"/>
      <c r="H15" s="2150"/>
      <c r="I15" s="2550"/>
      <c r="J15" s="2567"/>
    </row>
    <row r="16" ht="13.5" spans="1:10">
      <c r="A16" s="1294"/>
      <c r="B16" s="1294"/>
      <c r="C16" s="2441"/>
      <c r="D16" s="2439"/>
      <c r="E16" s="2228" t="s">
        <v>631</v>
      </c>
      <c r="F16" s="2150"/>
      <c r="G16" s="2150"/>
      <c r="H16" s="2150"/>
      <c r="I16" s="2550"/>
      <c r="J16" s="2567"/>
    </row>
    <row r="17" ht="14.25" spans="1:10">
      <c r="A17" s="2442" t="s">
        <v>632</v>
      </c>
      <c r="B17" s="1293"/>
      <c r="C17" s="2443">
        <f>SUM(C5:C16)</f>
        <v>2</v>
      </c>
      <c r="D17" s="2443">
        <f>SUM(D5:D16)</f>
        <v>8</v>
      </c>
      <c r="E17" s="2444"/>
      <c r="F17" s="2444"/>
      <c r="G17" s="2444"/>
      <c r="H17" s="2444"/>
      <c r="I17" s="2444"/>
      <c r="J17" s="2568"/>
    </row>
    <row r="18" ht="30" customHeight="1" spans="1:10">
      <c r="A18" s="2445" t="s">
        <v>633</v>
      </c>
      <c r="B18" s="2446"/>
      <c r="C18" s="2447">
        <f>ROUND(C17/SUM(C17:D17),2)</f>
        <v>0.2</v>
      </c>
      <c r="D18" s="2447">
        <f>1-C18</f>
        <v>0.8</v>
      </c>
      <c r="E18" s="2448" t="s">
        <v>634</v>
      </c>
      <c r="F18" s="2449"/>
      <c r="G18" s="2449"/>
      <c r="H18" s="2449"/>
      <c r="I18" s="2449"/>
      <c r="J18" s="2568"/>
    </row>
    <row r="19" ht="14.25" spans="1:10">
      <c r="A19" s="2450" t="s">
        <v>635</v>
      </c>
      <c r="B19" s="2451" t="s">
        <v>636</v>
      </c>
      <c r="C19" s="2452">
        <f ca="1">SUMIF(INDIRECT("'"&amp;C4&amp;"'"&amp;"!A:A"),结果表!B19,INDIRECT("'"&amp;C4&amp;"'"&amp;"!B:B"))</f>
        <v>1662548</v>
      </c>
      <c r="D19" s="2453">
        <f ca="1">SUMIF(INDIRECT("'"&amp;D4&amp;"'"&amp;"!A:A"),结果表!B19,INDIRECT("'"&amp;D4&amp;"'"&amp;"!B:B"))</f>
        <v>5683415</v>
      </c>
      <c r="E19" s="2450" t="s">
        <v>637</v>
      </c>
      <c r="F19" s="2451" t="s">
        <v>636</v>
      </c>
      <c r="G19" s="2454">
        <f ca="1">ROUND(C19*$C$18+D19*$D$18,0)</f>
        <v>4879242</v>
      </c>
      <c r="H19" s="2455" t="str">
        <f>'数据-取费表'!B3</f>
        <v>元</v>
      </c>
      <c r="I19" s="2829"/>
      <c r="J19" s="2830"/>
    </row>
    <row r="20" ht="15" spans="1:10">
      <c r="A20" s="2456"/>
      <c r="B20" s="1311" t="s">
        <v>638</v>
      </c>
      <c r="C20" s="1218">
        <f ca="1">SUMIF(INDIRECT("'"&amp;C4&amp;"'"&amp;"!A:A"),结果表!B20,INDIRECT("'"&amp;C4&amp;"'"&amp;"!B:B"))</f>
        <v>12342</v>
      </c>
      <c r="D20" s="2393">
        <f ca="1">SUMIF(INDIRECT("'"&amp;D4&amp;"'"&amp;"!A:A"),结果表!B20,INDIRECT("'"&amp;D4&amp;"'"&amp;"!B:B"))</f>
        <v>42190</v>
      </c>
      <c r="E20" s="2456"/>
      <c r="F20" s="1311" t="s">
        <v>638</v>
      </c>
      <c r="G20" s="1242">
        <f ca="1">ROUND(C20*$C$18+D20*$D$18,0)</f>
        <v>36220</v>
      </c>
      <c r="H20" s="2457" t="s">
        <v>639</v>
      </c>
      <c r="I20" s="2444"/>
      <c r="J20" s="2568"/>
    </row>
    <row r="21" ht="15" customHeight="1" spans="1:10">
      <c r="A21" s="2458"/>
      <c r="B21" s="2459"/>
      <c r="C21" s="2459"/>
      <c r="D21" s="2460"/>
      <c r="E21" s="2458"/>
      <c r="F21" s="2459"/>
      <c r="G21" s="2461"/>
      <c r="H21" s="2462"/>
      <c r="I21" s="2444"/>
      <c r="J21" s="2568"/>
    </row>
    <row r="22" ht="15" spans="1:10">
      <c r="A22" s="2463" t="s">
        <v>640</v>
      </c>
      <c r="B22" s="2464"/>
      <c r="C22" s="2465"/>
      <c r="D22" s="2466">
        <f ca="1">IF(C19&lt;D19,D19/C19-1,C19/D19-1)</f>
        <v>2.41849678926563</v>
      </c>
      <c r="E22" s="2266"/>
      <c r="F22" s="2266"/>
      <c r="G22" s="2266"/>
      <c r="H22" s="2266"/>
      <c r="I22" s="2266"/>
      <c r="J22" s="2568"/>
    </row>
    <row r="23" ht="14.25" spans="1:10">
      <c r="A23" s="2444"/>
      <c r="B23" s="2444"/>
      <c r="C23" s="2444"/>
      <c r="D23" s="2444"/>
      <c r="E23" s="2266"/>
      <c r="F23" s="2266"/>
      <c r="G23" s="2266"/>
      <c r="H23" s="2266"/>
      <c r="I23" s="2266"/>
      <c r="J23" s="2568"/>
    </row>
    <row r="24" customHeight="1" spans="1:10">
      <c r="A24" s="1122" t="s">
        <v>641</v>
      </c>
      <c r="B24" s="2451" t="s">
        <v>636</v>
      </c>
      <c r="C24" s="2454">
        <f>D30</f>
        <v>0</v>
      </c>
      <c r="D24" s="2467"/>
      <c r="E24" s="2266"/>
      <c r="F24" s="2266"/>
      <c r="G24" s="2266"/>
      <c r="H24" s="2266"/>
      <c r="I24" s="2266"/>
      <c r="J24" s="2568"/>
    </row>
    <row r="25" customHeight="1" spans="1:10">
      <c r="A25" s="2468"/>
      <c r="B25" s="1311" t="s">
        <v>638</v>
      </c>
      <c r="C25" s="2469">
        <f>IF(B30=0,0,C30)</f>
        <v>0</v>
      </c>
      <c r="D25" s="2470"/>
      <c r="E25" s="2266"/>
      <c r="F25" s="2266"/>
      <c r="G25" s="2266"/>
      <c r="H25" s="2266"/>
      <c r="I25" s="2266"/>
      <c r="J25" s="2568"/>
    </row>
    <row r="26" ht="13.5" customHeight="1" spans="1:10">
      <c r="A26" s="2471" t="s">
        <v>642</v>
      </c>
      <c r="B26" s="2472" t="s">
        <v>643</v>
      </c>
      <c r="C26" s="2472" t="s">
        <v>644</v>
      </c>
      <c r="D26" s="2473" t="s">
        <v>645</v>
      </c>
      <c r="E26" s="2266"/>
      <c r="F26" s="2266"/>
      <c r="G26" s="2266"/>
      <c r="H26" s="2266"/>
      <c r="I26" s="2266"/>
      <c r="J26" s="2568"/>
    </row>
    <row r="27" ht="14.25" spans="1:10">
      <c r="A27" s="2474"/>
      <c r="B27" s="2472">
        <v>0</v>
      </c>
      <c r="C27" s="2472">
        <v>0</v>
      </c>
      <c r="D27" s="2473">
        <f>ROUND(C27*B27/10000,0)</f>
        <v>0</v>
      </c>
      <c r="E27" s="2266"/>
      <c r="F27" s="2266"/>
      <c r="G27" s="2266"/>
      <c r="H27" s="2266"/>
      <c r="I27" s="2266"/>
      <c r="J27" s="2568"/>
    </row>
    <row r="28" ht="14.25" spans="1:10">
      <c r="A28" s="2471"/>
      <c r="B28" s="2472"/>
      <c r="C28" s="2472"/>
      <c r="D28" s="2473">
        <f t="shared" ref="D28:D29" si="0">ROUND(C28*B28/10000,0)</f>
        <v>0</v>
      </c>
      <c r="E28" s="2266"/>
      <c r="F28" s="2266"/>
      <c r="G28" s="2266"/>
      <c r="H28" s="2266"/>
      <c r="I28" s="2266"/>
      <c r="J28" s="2568"/>
    </row>
    <row r="29" ht="14.25" spans="1:10">
      <c r="A29" s="2471"/>
      <c r="B29" s="2472"/>
      <c r="C29" s="2472"/>
      <c r="D29" s="2473">
        <f t="shared" si="0"/>
        <v>0</v>
      </c>
      <c r="E29" s="2266"/>
      <c r="F29" s="2266"/>
      <c r="G29" s="2266"/>
      <c r="H29" s="2266"/>
      <c r="I29" s="2266"/>
      <c r="J29" s="2568"/>
    </row>
    <row r="30" ht="15" spans="1:10">
      <c r="A30" s="2476" t="s">
        <v>646</v>
      </c>
      <c r="B30" s="2476"/>
      <c r="C30" s="2476"/>
      <c r="D30" s="2476"/>
      <c r="E30" s="2477" t="s">
        <v>647</v>
      </c>
      <c r="F30" s="2444"/>
      <c r="G30" s="2444"/>
      <c r="H30" s="2444"/>
      <c r="I30" s="2444"/>
      <c r="J30" s="2568"/>
    </row>
    <row r="31" s="2426" customFormat="1" ht="26.4" customHeight="1" spans="1:36">
      <c r="A31" s="2478"/>
      <c r="B31" s="2479"/>
      <c r="C31" s="2479"/>
      <c r="D31" s="2479"/>
      <c r="E31" s="2479"/>
      <c r="F31" s="2479"/>
      <c r="G31" s="2479"/>
      <c r="H31" s="2479"/>
      <c r="I31" s="2569" t="s">
        <v>648</v>
      </c>
      <c r="J31" s="2570"/>
      <c r="K31" s="2571"/>
      <c r="L31" s="2571"/>
      <c r="M31" s="2571"/>
      <c r="N31" s="2571"/>
      <c r="O31" s="2571"/>
      <c r="P31" s="2571"/>
      <c r="Q31" s="2571"/>
      <c r="R31" s="2571"/>
      <c r="S31" s="2571"/>
      <c r="T31" s="2571"/>
      <c r="U31" s="2571"/>
      <c r="V31" s="2571"/>
      <c r="W31" s="2571"/>
      <c r="X31" s="2571"/>
      <c r="Y31" s="2571"/>
      <c r="Z31" s="2571"/>
      <c r="AA31" s="2571"/>
      <c r="AB31" s="2616"/>
      <c r="AC31" s="2616"/>
      <c r="AD31" s="2616"/>
      <c r="AE31" s="2616"/>
      <c r="AF31" s="2616"/>
      <c r="AG31" s="2616"/>
      <c r="AH31" s="2616"/>
      <c r="AI31" s="2616"/>
      <c r="AJ31" s="2616"/>
    </row>
    <row r="32" s="2797" customFormat="1" ht="16.5" spans="1:36">
      <c r="A32" s="2799" t="s">
        <v>649</v>
      </c>
      <c r="B32" s="2800" t="str">
        <f>'数据-取费表'!B4</f>
        <v>楼面单价</v>
      </c>
      <c r="C32" s="2801">
        <f ca="1">IF(B32="总价",G19-C24,G20-C25)</f>
        <v>36220</v>
      </c>
      <c r="D32" s="2802" t="str">
        <f>IF(B32="楼面单价","元/平方米",H19)</f>
        <v>元/平方米</v>
      </c>
      <c r="E32" s="2803"/>
      <c r="F32" s="2803"/>
      <c r="G32" s="2803"/>
      <c r="H32" s="2803"/>
      <c r="I32" s="2803"/>
      <c r="J32" s="2831"/>
      <c r="K32" s="2832"/>
      <c r="L32" s="2832"/>
      <c r="M32" s="2832"/>
      <c r="N32" s="2832"/>
      <c r="O32" s="2832"/>
      <c r="P32" s="2832"/>
      <c r="Q32" s="2832"/>
      <c r="R32" s="2832"/>
      <c r="S32" s="2832"/>
      <c r="T32" s="2832"/>
      <c r="U32" s="2832"/>
      <c r="V32" s="2832"/>
      <c r="W32" s="2832"/>
      <c r="X32" s="2832"/>
      <c r="Y32" s="2832"/>
      <c r="Z32" s="2832"/>
      <c r="AA32" s="2832"/>
      <c r="AB32" s="2867"/>
      <c r="AC32" s="2867"/>
      <c r="AD32" s="2867"/>
      <c r="AE32" s="2867"/>
      <c r="AF32" s="2867"/>
      <c r="AG32" s="2867"/>
      <c r="AH32" s="2867"/>
      <c r="AI32" s="2867"/>
      <c r="AJ32" s="2867"/>
    </row>
    <row r="33" ht="15" spans="1:10">
      <c r="A33" s="2804" t="s">
        <v>650</v>
      </c>
      <c r="B33" s="2152"/>
      <c r="C33" s="2805"/>
      <c r="D33" s="2806"/>
      <c r="E33" s="2807" t="s">
        <v>651</v>
      </c>
      <c r="F33" s="2808" t="str">
        <f>IF(B32="楼面单价","取值（单价）","取值（总价）")</f>
        <v>取值（单价）</v>
      </c>
      <c r="G33" s="2266"/>
      <c r="H33" s="2266"/>
      <c r="I33" s="2266"/>
      <c r="J33" s="2568"/>
    </row>
    <row r="34" ht="15" spans="1:10">
      <c r="A34" s="2809"/>
      <c r="B34" s="2810" t="s">
        <v>652</v>
      </c>
      <c r="C34" s="2811">
        <f ca="1">IF(D33="自定义",F34,C32-C35)</f>
        <v>25100</v>
      </c>
      <c r="D34" s="2812">
        <f ca="1">IF(D33="自定义",ROUND(C34/C32,3),1-D35)</f>
        <v>0.693</v>
      </c>
      <c r="E34" s="2813" t="s">
        <v>653</v>
      </c>
      <c r="F34" s="2814">
        <v>2000</v>
      </c>
      <c r="G34" s="2266"/>
      <c r="H34" s="2266"/>
      <c r="I34" s="2266"/>
      <c r="J34" s="2568"/>
    </row>
    <row r="35" ht="15.75" spans="1:10">
      <c r="A35" s="2493"/>
      <c r="B35" s="2815" t="s">
        <v>654</v>
      </c>
      <c r="C35" s="2816">
        <f ca="1">IF(D33="自定义",F35,ROUND(C32*D35,0))</f>
        <v>11120</v>
      </c>
      <c r="D35" s="2817">
        <f ca="1">IF(D33="自定义",ROUND(C35/C32,3),IF(D33="成本法成本比率",成本法!C56,IF(D33="收益法收益比率",收益法!J38,收益法!J41)))</f>
        <v>0.307</v>
      </c>
      <c r="E35" s="2818" t="s">
        <v>655</v>
      </c>
      <c r="F35" s="2514">
        <v>4460</v>
      </c>
      <c r="G35" s="2266"/>
      <c r="H35" s="2266"/>
      <c r="I35" s="2266"/>
      <c r="J35" s="2568"/>
    </row>
    <row r="36" ht="15.75" spans="1:10">
      <c r="A36" s="1122" t="s">
        <v>656</v>
      </c>
      <c r="B36" s="2491" t="s">
        <v>657</v>
      </c>
      <c r="C36" s="2496">
        <v>0</v>
      </c>
      <c r="D36" s="2497"/>
      <c r="E36" s="2498"/>
      <c r="F36" s="2498"/>
      <c r="G36" s="2266"/>
      <c r="H36" s="2266"/>
      <c r="I36" s="2266"/>
      <c r="J36" s="2568"/>
    </row>
    <row r="37" ht="15.75" spans="1:10">
      <c r="A37" s="1134"/>
      <c r="B37" s="1293" t="s">
        <v>658</v>
      </c>
      <c r="C37" s="2499">
        <v>0</v>
      </c>
      <c r="D37" s="2500"/>
      <c r="E37" s="2500"/>
      <c r="F37" s="2498"/>
      <c r="G37" s="2500"/>
      <c r="H37" s="2500"/>
      <c r="I37" s="2500"/>
      <c r="J37" s="2573"/>
    </row>
    <row r="38" ht="15.75" spans="1:10">
      <c r="A38" s="2501"/>
      <c r="B38" s="2494" t="s">
        <v>659</v>
      </c>
      <c r="C38" s="2502">
        <v>0</v>
      </c>
      <c r="D38" s="2503" t="s">
        <v>660</v>
      </c>
      <c r="E38" s="2500"/>
      <c r="F38" s="2498"/>
      <c r="G38" s="2500"/>
      <c r="H38" s="2500"/>
      <c r="I38" s="2500"/>
      <c r="J38" s="2573"/>
    </row>
    <row r="39" ht="14.25" spans="1:10">
      <c r="A39" s="2456" t="s">
        <v>661</v>
      </c>
      <c r="B39" s="2504" t="s">
        <v>643</v>
      </c>
      <c r="C39" s="2505" t="s">
        <v>644</v>
      </c>
      <c r="D39" s="2505" t="s">
        <v>662</v>
      </c>
      <c r="E39" s="2506" t="s">
        <v>645</v>
      </c>
      <c r="F39" s="2498"/>
      <c r="G39" s="2500"/>
      <c r="H39" s="2500"/>
      <c r="I39" s="2500"/>
      <c r="J39" s="2573"/>
    </row>
    <row r="40" ht="14.25" spans="1:10">
      <c r="A40" s="2507" t="s">
        <v>663</v>
      </c>
      <c r="B40" s="2508"/>
      <c r="C40" s="2509"/>
      <c r="D40" s="2509"/>
      <c r="E40" s="2510"/>
      <c r="F40" s="2498"/>
      <c r="G40" s="2500"/>
      <c r="H40" s="2500"/>
      <c r="I40" s="2500"/>
      <c r="J40" s="2573"/>
    </row>
    <row r="41" ht="14.25" spans="1:10">
      <c r="A41" s="2507" t="s">
        <v>664</v>
      </c>
      <c r="B41" s="2508"/>
      <c r="C41" s="2509"/>
      <c r="D41" s="2509"/>
      <c r="E41" s="2510"/>
      <c r="F41" s="2498"/>
      <c r="G41" s="2500"/>
      <c r="H41" s="2500"/>
      <c r="I41" s="2500"/>
      <c r="J41" s="2573"/>
    </row>
    <row r="42" ht="15" spans="1:10">
      <c r="A42" s="2511"/>
      <c r="B42" s="2512"/>
      <c r="C42" s="2513"/>
      <c r="D42" s="2513"/>
      <c r="E42" s="2514"/>
      <c r="F42" s="2498"/>
      <c r="G42" s="2500"/>
      <c r="H42" s="2500"/>
      <c r="I42" s="2500"/>
      <c r="J42" s="2573"/>
    </row>
    <row r="43" ht="13.5" spans="1:10">
      <c r="A43" s="2562"/>
      <c r="B43" s="2562"/>
      <c r="C43" s="2562"/>
      <c r="D43" s="2562"/>
      <c r="E43" s="2562"/>
      <c r="F43" s="2819"/>
      <c r="G43" s="2819"/>
      <c r="H43" s="2819"/>
      <c r="I43" s="2833"/>
      <c r="J43" s="2575"/>
    </row>
    <row r="44" ht="18.75" spans="1:17">
      <c r="A44" s="2517" t="s">
        <v>665</v>
      </c>
      <c r="B44" s="2518"/>
      <c r="C44" s="2518"/>
      <c r="D44" s="2820"/>
      <c r="E44" s="2820"/>
      <c r="F44" s="2821"/>
      <c r="G44" s="2821"/>
      <c r="H44" s="2821"/>
      <c r="I44" s="2576" t="s">
        <v>666</v>
      </c>
      <c r="J44" s="2834"/>
      <c r="K44" s="2578" t="s">
        <v>667</v>
      </c>
      <c r="L44" s="2579"/>
      <c r="M44" s="2579"/>
      <c r="N44" s="2579"/>
      <c r="O44" s="2579"/>
      <c r="P44" s="2579"/>
      <c r="Q44" s="2429"/>
    </row>
    <row r="45" ht="14.25" customHeight="1" spans="1:17">
      <c r="A45" s="2520" t="s">
        <v>668</v>
      </c>
      <c r="B45" s="2521"/>
      <c r="C45" s="2522"/>
      <c r="D45" s="2128">
        <f ca="1">ROUND(I102*F45,0)</f>
        <v>4879196</v>
      </c>
      <c r="E45" s="2216" t="s">
        <v>669</v>
      </c>
      <c r="F45" s="2523">
        <v>1</v>
      </c>
      <c r="G45" s="2524" t="s">
        <v>670</v>
      </c>
      <c r="H45" s="2266"/>
      <c r="I45" s="2266"/>
      <c r="J45" s="2568"/>
      <c r="K45" s="2835" t="s">
        <v>671</v>
      </c>
      <c r="L45" s="2835"/>
      <c r="M45" s="2835"/>
      <c r="N45" s="2835"/>
      <c r="O45" s="2835"/>
      <c r="P45" s="2835"/>
      <c r="Q45" s="2429"/>
    </row>
    <row r="46" ht="14.25" customHeight="1" spans="1:17">
      <c r="A46" s="2525" t="s">
        <v>672</v>
      </c>
      <c r="B46" s="2526"/>
      <c r="C46" s="2526"/>
      <c r="D46" s="2526"/>
      <c r="E46" s="2526"/>
      <c r="F46" s="2526"/>
      <c r="G46" s="2527"/>
      <c r="H46" s="2528"/>
      <c r="I46" s="2266"/>
      <c r="J46" s="2568"/>
      <c r="K46" s="2836">
        <v>1</v>
      </c>
      <c r="L46" s="2837" t="s">
        <v>97</v>
      </c>
      <c r="M46" s="2837"/>
      <c r="N46" s="2838" t="str">
        <f>项目基本情况!B1</f>
        <v>北京市预评估</v>
      </c>
      <c r="O46" s="2838"/>
      <c r="P46" s="2838"/>
      <c r="Q46" s="2429"/>
    </row>
    <row r="47" ht="12" customHeight="1" spans="1:17">
      <c r="A47" s="2529" t="s">
        <v>673</v>
      </c>
      <c r="B47" s="2530"/>
      <c r="C47" s="2531"/>
      <c r="D47" s="2166" t="s">
        <v>674</v>
      </c>
      <c r="E47" s="2116" t="s">
        <v>675</v>
      </c>
      <c r="F47" s="2327" t="s">
        <v>676</v>
      </c>
      <c r="G47" s="2532" t="s">
        <v>677</v>
      </c>
      <c r="H47" s="2528"/>
      <c r="I47" s="2266"/>
      <c r="J47" s="2568"/>
      <c r="K47" s="2836">
        <v>2</v>
      </c>
      <c r="L47" s="2837" t="s">
        <v>678</v>
      </c>
      <c r="M47" s="2837"/>
      <c r="N47" s="2839">
        <f>'数据-取费表'!B2</f>
        <v>44489</v>
      </c>
      <c r="O47" s="2839"/>
      <c r="P47" s="2839"/>
      <c r="Q47" s="2429"/>
    </row>
    <row r="48" ht="24.75" spans="1:17">
      <c r="A48" s="2533" t="s">
        <v>679</v>
      </c>
      <c r="B48" s="2171"/>
      <c r="C48" s="2171"/>
      <c r="D48" s="2228">
        <f ca="1">IF(H48="情况1",0,IF(H48="情况2",D52,IF(H48="情况3",D53,IF(H48="情况4",D54))))</f>
        <v>260224</v>
      </c>
      <c r="E48" s="2171" t="str">
        <f>IF(H48="情况4","(销售额-原购置价)×税（费）率","销售额×税（费）率")</f>
        <v>销售额×税（费）率</v>
      </c>
      <c r="F48" s="2534">
        <f>IF(H48="情况1","免征",'数据-取费表'!E29)</f>
        <v>0.056</v>
      </c>
      <c r="G48" s="2535" t="s">
        <v>680</v>
      </c>
      <c r="H48" s="2536" t="s">
        <v>681</v>
      </c>
      <c r="I48" s="2528"/>
      <c r="J48" s="2585"/>
      <c r="K48" s="2836">
        <v>3</v>
      </c>
      <c r="L48" s="2837" t="s">
        <v>682</v>
      </c>
      <c r="M48" s="2837"/>
      <c r="N48" s="2838">
        <f ca="1">I102</f>
        <v>4879196</v>
      </c>
      <c r="O48" s="2838"/>
      <c r="P48" s="2838"/>
      <c r="Q48" s="2429"/>
    </row>
    <row r="49" ht="25.5" customHeight="1" spans="1:17">
      <c r="A49" s="2533" t="s">
        <v>683</v>
      </c>
      <c r="B49" s="2150" t="s">
        <v>684</v>
      </c>
      <c r="C49" s="2150"/>
      <c r="D49" s="2537">
        <v>0</v>
      </c>
      <c r="E49" s="2177" t="s">
        <v>685</v>
      </c>
      <c r="F49" s="2538" t="s">
        <v>121</v>
      </c>
      <c r="G49" s="2539"/>
      <c r="H49" s="2540" t="s">
        <v>686</v>
      </c>
      <c r="I49" s="2587"/>
      <c r="J49" s="2588"/>
      <c r="K49" s="2836">
        <v>4</v>
      </c>
      <c r="L49" s="2837" t="str">
        <f>IF(项目基本情况!F5="房地产抵押价值","房地产抵押价值","抵押担保权已注销时的房地产抵押价值")</f>
        <v>抵押担保权已注销时的房地产抵押价值</v>
      </c>
      <c r="M49" s="2837"/>
      <c r="N49" s="2838" t="str">
        <f ca="1">IF(项目基本情况!F5="房地产抵押价值",I110,I112)</f>
        <v>——</v>
      </c>
      <c r="O49" s="2838"/>
      <c r="P49" s="2838"/>
      <c r="Q49" s="2429"/>
    </row>
    <row r="50" ht="25.5" customHeight="1" spans="1:17">
      <c r="A50" s="2541"/>
      <c r="B50" s="2150" t="s">
        <v>687</v>
      </c>
      <c r="C50" s="2150"/>
      <c r="D50" s="2542"/>
      <c r="E50" s="2187"/>
      <c r="F50" s="2538"/>
      <c r="G50" s="2543"/>
      <c r="H50" s="2544" t="s">
        <v>688</v>
      </c>
      <c r="I50" s="2587"/>
      <c r="J50" s="2588"/>
      <c r="K50" s="2837" t="s">
        <v>689</v>
      </c>
      <c r="L50" s="2837"/>
      <c r="M50" s="2837"/>
      <c r="N50" s="2837"/>
      <c r="O50" s="2837"/>
      <c r="P50" s="2837"/>
      <c r="Q50" s="2429"/>
    </row>
    <row r="51" ht="20.4" customHeight="1" spans="1:17">
      <c r="A51" s="2545"/>
      <c r="B51" s="2150" t="s">
        <v>690</v>
      </c>
      <c r="C51" s="2150"/>
      <c r="D51" s="2166"/>
      <c r="E51" s="447"/>
      <c r="F51" s="2538"/>
      <c r="G51" s="2546"/>
      <c r="H51" s="2544" t="s">
        <v>691</v>
      </c>
      <c r="I51" s="2587"/>
      <c r="J51" s="2588"/>
      <c r="K51" s="2837" t="s">
        <v>692</v>
      </c>
      <c r="L51" s="2837" t="s">
        <v>693</v>
      </c>
      <c r="M51" s="2837"/>
      <c r="N51" s="2837" t="s">
        <v>694</v>
      </c>
      <c r="O51" s="2837" t="s">
        <v>695</v>
      </c>
      <c r="P51" s="2837" t="s">
        <v>696</v>
      </c>
      <c r="Q51" s="2429"/>
    </row>
    <row r="52" ht="24" customHeight="1" spans="1:17">
      <c r="A52" s="2547" t="s">
        <v>697</v>
      </c>
      <c r="B52" s="2150" t="s">
        <v>698</v>
      </c>
      <c r="C52" s="2150"/>
      <c r="D52" s="2166">
        <f ca="1">ROUND(D45*'数据-取费表'!E29/(1+'数据-取费表'!F30),0)</f>
        <v>260224</v>
      </c>
      <c r="E52" s="2171" t="s">
        <v>699</v>
      </c>
      <c r="F52" s="2548">
        <f>'数据-取费表'!E29</f>
        <v>0.056</v>
      </c>
      <c r="G52" s="2549"/>
      <c r="H52" s="2266"/>
      <c r="I52" s="2589"/>
      <c r="J52" s="2588"/>
      <c r="K52" s="2836">
        <v>1</v>
      </c>
      <c r="L52" s="2836" t="s">
        <v>700</v>
      </c>
      <c r="M52" s="2836"/>
      <c r="N52" s="2840">
        <f ca="1">D48</f>
        <v>260224</v>
      </c>
      <c r="O52" s="2836" t="str">
        <f>E48</f>
        <v>销售额×税（费）率</v>
      </c>
      <c r="P52" s="2841">
        <f>F48</f>
        <v>0.056</v>
      </c>
      <c r="Q52" s="2429"/>
    </row>
    <row r="53" ht="12" customHeight="1" spans="1:17">
      <c r="A53" s="2547" t="s">
        <v>701</v>
      </c>
      <c r="B53" s="2149" t="s">
        <v>702</v>
      </c>
      <c r="C53" s="2550"/>
      <c r="D53" s="2166">
        <f ca="1">ROUND(D45*'数据-取费表'!E29/(1+'数据-取费表'!F30),0)</f>
        <v>260224</v>
      </c>
      <c r="E53" s="2171" t="s">
        <v>699</v>
      </c>
      <c r="F53" s="2548">
        <f>'数据-取费表'!E29</f>
        <v>0.056</v>
      </c>
      <c r="G53" s="2549"/>
      <c r="H53" s="2266"/>
      <c r="I53" s="2589"/>
      <c r="J53" s="2588"/>
      <c r="K53" s="2836">
        <v>2</v>
      </c>
      <c r="L53" s="2836" t="s">
        <v>703</v>
      </c>
      <c r="M53" s="2836"/>
      <c r="N53" s="2840">
        <f ca="1" t="shared" ref="N53:P54" si="1">D55</f>
        <v>0</v>
      </c>
      <c r="O53" s="2836" t="str">
        <f t="shared" si="1"/>
        <v>销售额×税（费）率</v>
      </c>
      <c r="P53" s="2841" t="str">
        <f t="shared" si="1"/>
        <v>免征</v>
      </c>
      <c r="Q53" s="2429"/>
    </row>
    <row r="54" ht="12" customHeight="1" spans="1:17">
      <c r="A54" s="2547" t="s">
        <v>704</v>
      </c>
      <c r="B54" s="2149" t="s">
        <v>705</v>
      </c>
      <c r="C54" s="2550"/>
      <c r="D54" s="2166">
        <f ca="1">C68</f>
        <v>260224</v>
      </c>
      <c r="E54" s="447" t="s">
        <v>706</v>
      </c>
      <c r="F54" s="2548">
        <f>'数据-取费表'!E29</f>
        <v>0.056</v>
      </c>
      <c r="G54" s="2549"/>
      <c r="H54" s="2551"/>
      <c r="I54" s="2589"/>
      <c r="J54" s="2588"/>
      <c r="K54" s="2836">
        <v>3</v>
      </c>
      <c r="L54" s="2836" t="s">
        <v>707</v>
      </c>
      <c r="M54" s="2836"/>
      <c r="N54" s="2840">
        <f ca="1" t="shared" si="1"/>
        <v>0</v>
      </c>
      <c r="O54" s="2836" t="str">
        <f t="shared" si="1"/>
        <v>增值额×税（费）率</v>
      </c>
      <c r="P54" s="2842" t="str">
        <f t="shared" si="1"/>
        <v>免征</v>
      </c>
      <c r="Q54" s="2429"/>
    </row>
    <row r="55" ht="24" customHeight="1" spans="1:17">
      <c r="A55" s="2547" t="s">
        <v>708</v>
      </c>
      <c r="B55" s="2171"/>
      <c r="C55" s="2171"/>
      <c r="D55" s="2228">
        <f ca="1">IF(H55="个人住宅",0,ROUND(D45*I55,0))</f>
        <v>0</v>
      </c>
      <c r="E55" s="2171" t="s">
        <v>709</v>
      </c>
      <c r="F55" s="2548" t="str">
        <f>IF(H55="正常",I55,"免征")</f>
        <v>免征</v>
      </c>
      <c r="G55" s="2549"/>
      <c r="H55" s="2536" t="s">
        <v>710</v>
      </c>
      <c r="I55" s="2593">
        <f>'数据-取费表'!E37</f>
        <v>0.0005</v>
      </c>
      <c r="J55" s="2588"/>
      <c r="K55" s="2836" t="str">
        <f>IF(H59="非个人房产","",4)</f>
        <v/>
      </c>
      <c r="L55" s="2836" t="str">
        <f>IF(H59="非个人房产","——","个人所得税")</f>
        <v>——</v>
      </c>
      <c r="M55" s="2836"/>
      <c r="N55" s="2843" t="str">
        <f ca="1">D59</f>
        <v>——</v>
      </c>
      <c r="O55" s="2844" t="str">
        <f>E59</f>
        <v>——</v>
      </c>
      <c r="P55" s="2845" t="str">
        <f>F59</f>
        <v>——</v>
      </c>
      <c r="Q55" s="2429"/>
    </row>
    <row r="56" ht="24.75" spans="1:17">
      <c r="A56" s="2547" t="s">
        <v>711</v>
      </c>
      <c r="B56" s="2171"/>
      <c r="C56" s="2171"/>
      <c r="D56" s="2228">
        <f ca="1">IF(H56="个人住宅",D57,D58)</f>
        <v>0</v>
      </c>
      <c r="E56" s="2171" t="s">
        <v>712</v>
      </c>
      <c r="F56" s="2548" t="str">
        <f>IF(H56="正常",F58,"免征")</f>
        <v>免征</v>
      </c>
      <c r="G56" s="2552" t="s">
        <v>713</v>
      </c>
      <c r="H56" s="2553" t="s">
        <v>710</v>
      </c>
      <c r="I56" s="2554"/>
      <c r="J56" s="2588"/>
      <c r="K56" s="2836" t="str">
        <f>IF(项目基本情况!I6="上海银行",IF(K55="",4,K55+1),"")</f>
        <v/>
      </c>
      <c r="L56" s="2846" t="str">
        <f>IF(项目基本情况!I6="上海银行","其他处置费用","")</f>
        <v/>
      </c>
      <c r="M56" s="2847"/>
      <c r="N56" s="2840" t="str">
        <f ca="1">IF(项目基本情况!I6="上海银行",N69,"")</f>
        <v/>
      </c>
      <c r="O56" s="2846" t="str">
        <f>IF(项目基本情况!I6="上海银行","包含处置中涉及的律师、诉讼、拍卖、评估等费用","")</f>
        <v/>
      </c>
      <c r="P56" s="2848"/>
      <c r="Q56" s="2429"/>
    </row>
    <row r="57" ht="13.5" spans="1:17">
      <c r="A57" s="2547" t="s">
        <v>683</v>
      </c>
      <c r="B57" s="2149" t="s">
        <v>714</v>
      </c>
      <c r="C57" s="2550"/>
      <c r="D57" s="2537">
        <v>0</v>
      </c>
      <c r="E57" s="2177" t="s">
        <v>685</v>
      </c>
      <c r="F57" s="2116"/>
      <c r="G57" s="2549"/>
      <c r="H57" s="2554"/>
      <c r="I57" s="2554"/>
      <c r="J57" s="2588"/>
      <c r="K57" s="2836">
        <f>IF(AND(K55="",K56=""),4,IF(项目基本情况!I6="上海银行",K56+1,K55+1))</f>
        <v>4</v>
      </c>
      <c r="L57" s="2836" t="s">
        <v>433</v>
      </c>
      <c r="M57" s="2849" t="s">
        <v>715</v>
      </c>
      <c r="N57" s="2850"/>
      <c r="O57" s="2851">
        <f ca="1">SUMIF(N52:N56,"&lt;9e307")</f>
        <v>260224</v>
      </c>
      <c r="P57" s="2852"/>
      <c r="Q57" s="2615" t="e">
        <f ca="1">O57/N49</f>
        <v>#VALUE!</v>
      </c>
    </row>
    <row r="58" ht="24.75" spans="1:17">
      <c r="A58" s="2547" t="s">
        <v>697</v>
      </c>
      <c r="B58" s="2149" t="s">
        <v>716</v>
      </c>
      <c r="C58" s="2150"/>
      <c r="D58" s="2228">
        <f ca="1">IF(H58="转让取得",C81,C97)</f>
        <v>2761625</v>
      </c>
      <c r="E58" s="2171" t="s">
        <v>712</v>
      </c>
      <c r="F58" s="2116" t="s">
        <v>121</v>
      </c>
      <c r="G58" s="2549"/>
      <c r="H58" s="2553" t="s">
        <v>717</v>
      </c>
      <c r="I58" s="2554"/>
      <c r="J58" s="2588"/>
      <c r="K58" s="2836"/>
      <c r="L58" s="2836"/>
      <c r="M58" s="2849" t="s">
        <v>718</v>
      </c>
      <c r="N58" s="2853"/>
      <c r="O58" s="2854" t="str">
        <f ca="1">IF(H19="元",NUMBERSTRING(INT(O57),2)&amp;"元整",NUMBERSTRING(INT(O57*10000),2)&amp;"元整")</f>
        <v>贰拾陆万零贰佰贰拾肆元整</v>
      </c>
      <c r="P58" s="2855"/>
      <c r="Q58" s="2429"/>
    </row>
    <row r="59" ht="24.75" spans="1:17">
      <c r="A59" s="2555" t="s">
        <v>719</v>
      </c>
      <c r="B59" s="2556"/>
      <c r="C59" s="2556"/>
      <c r="D59" s="2822" t="str">
        <f ca="1">IF(H59="非个人房产","——",IF(H59="个人住宅（满五唯一有凭证）",0,IF(H59="个人其他（无凭证）",ROUND(D45*F59,0),ROUND(C67*F59,0))))</f>
        <v>——</v>
      </c>
      <c r="E59" s="2556" t="str">
        <f>IF(H59="非个人房产","——",IF(H59="个人其他（无凭证）","销售额×税（费）率",IF(H59="个人住宅（满五唯一有凭证）","免征","差额计税")))</f>
        <v>——</v>
      </c>
      <c r="F59" s="2823" t="str">
        <f>IF(OR(H59="非个人房产",H59="个人住宅（满五唯一有凭证）"),"——",IF(H59="个人其他（有凭证）",20%,1%))</f>
        <v>——</v>
      </c>
      <c r="G59" s="2559" t="s">
        <v>720</v>
      </c>
      <c r="H59" s="2560" t="s">
        <v>721</v>
      </c>
      <c r="I59" s="2856" t="s">
        <v>722</v>
      </c>
      <c r="J59" s="2588"/>
      <c r="K59" s="2844">
        <f>K57+1</f>
        <v>5</v>
      </c>
      <c r="L59" s="2836" t="s">
        <v>589</v>
      </c>
      <c r="M59" s="2836" t="s">
        <v>715</v>
      </c>
      <c r="N59" s="2857"/>
      <c r="O59" s="2858" t="e">
        <f ca="1">N49-O57</f>
        <v>#VALUE!</v>
      </c>
      <c r="P59" s="2859"/>
      <c r="Q59" s="2429"/>
    </row>
    <row r="60" ht="12" customHeight="1" spans="1:17">
      <c r="A60" s="2561"/>
      <c r="B60" s="2433"/>
      <c r="C60" s="2433"/>
      <c r="D60" s="2433"/>
      <c r="E60" s="2671"/>
      <c r="F60" s="2824"/>
      <c r="G60" s="2824"/>
      <c r="H60" s="2825"/>
      <c r="I60" s="1756"/>
      <c r="K60" s="2860"/>
      <c r="L60" s="2836"/>
      <c r="M60" s="2849" t="s">
        <v>718</v>
      </c>
      <c r="N60" s="2853"/>
      <c r="O60" s="2854" t="e">
        <f ca="1">IF(H19="元",NUMBERSTRING(INT(O59),2)&amp;"元整",NUMBERSTRING(INT(O59*10000),2)&amp;"元整")</f>
        <v>#VALUE!</v>
      </c>
      <c r="P60" s="2855"/>
      <c r="Q60" s="2429"/>
    </row>
    <row r="61" ht="14.25" spans="1:17">
      <c r="A61" s="2826" t="s">
        <v>723</v>
      </c>
      <c r="B61" s="2826"/>
      <c r="C61" s="2826"/>
      <c r="D61" s="2826"/>
      <c r="E61" s="2826"/>
      <c r="F61" s="2824"/>
      <c r="G61" s="2824"/>
      <c r="H61" s="2827"/>
      <c r="I61" s="1756"/>
      <c r="K61" s="2836">
        <f>K59+1</f>
        <v>6</v>
      </c>
      <c r="L61" s="2836" t="s">
        <v>724</v>
      </c>
      <c r="M61" s="2836"/>
      <c r="N61" s="2861"/>
      <c r="O61" s="2862" t="e">
        <f ca="1">IF(H19="元",ROUND(O59/项目基本情况!C12,0),ROUND(O59*10000/项目基本情况!C12,0))</f>
        <v>#VALUE!</v>
      </c>
      <c r="P61" s="2863"/>
      <c r="Q61" s="2429"/>
    </row>
    <row r="62" ht="13.5" spans="1:17">
      <c r="A62" s="459" t="s">
        <v>725</v>
      </c>
      <c r="B62" s="425"/>
      <c r="C62" s="425"/>
      <c r="D62" s="425" t="s">
        <v>726</v>
      </c>
      <c r="E62" s="2564" t="s">
        <v>677</v>
      </c>
      <c r="F62" s="2824"/>
      <c r="G62" s="2824"/>
      <c r="H62" s="2827"/>
      <c r="I62" s="1756"/>
      <c r="K62" s="2864"/>
      <c r="L62" s="2864"/>
      <c r="M62" s="2864"/>
      <c r="N62" s="2864"/>
      <c r="O62" s="2864"/>
      <c r="P62" s="2864"/>
      <c r="Q62" s="2429"/>
    </row>
    <row r="63" ht="13.5" spans="1:17">
      <c r="A63" s="2617">
        <v>1</v>
      </c>
      <c r="B63" s="2618" t="s">
        <v>727</v>
      </c>
      <c r="C63" s="2619">
        <f ca="1">ROUND((C64+C65)/(1+'数据-取费表'!F30),0)</f>
        <v>4646853</v>
      </c>
      <c r="D63" s="2618"/>
      <c r="E63" s="2620"/>
      <c r="F63" s="2824"/>
      <c r="G63" s="2824"/>
      <c r="H63" s="2827"/>
      <c r="I63" s="1756"/>
      <c r="K63" s="2865" t="s">
        <v>728</v>
      </c>
      <c r="L63" s="2865" t="s">
        <v>729</v>
      </c>
      <c r="M63" s="2865" t="e">
        <f ca="1">IF(N49&gt;10000,N49*0.5%,IF(AND(N49&gt;1000,N49&lt;=10000),N49*1%,IF(AND(N49&gt;100,N49&lt;=1000),N49*3%,IF(AND(N49&gt;10,N49&lt;=100),N49*5%,N49*8%))))</f>
        <v>#VALUE!</v>
      </c>
      <c r="N63" s="2866" t="e">
        <f ca="1">ROUND(M63,1)</f>
        <v>#VALUE!</v>
      </c>
      <c r="O63" s="2864"/>
      <c r="P63" s="2864"/>
      <c r="Q63" s="2429"/>
    </row>
    <row r="64" ht="13.5" spans="1:17">
      <c r="A64" s="2621" t="s">
        <v>730</v>
      </c>
      <c r="B64" s="410" t="s">
        <v>731</v>
      </c>
      <c r="C64" s="2622">
        <f ca="1">D45</f>
        <v>4879196</v>
      </c>
      <c r="D64" s="410" t="s">
        <v>121</v>
      </c>
      <c r="E64" s="2623"/>
      <c r="F64" s="2824"/>
      <c r="G64" s="2824"/>
      <c r="H64" s="2827"/>
      <c r="I64" s="1756"/>
      <c r="K64" s="2865"/>
      <c r="L64" s="2865" t="s">
        <v>732</v>
      </c>
      <c r="M64" s="2865" t="e">
        <f ca="1">IF(N49&gt;2000,N49*0.5%,IF(AND(N49&gt;1000,N49&lt;=2000),N49*0.6%,IF(AND(N49&gt;500,N49&lt;=1000),N49*0.7%,IF(AND(N49&gt;200,N49&lt;=500),N49*0.8%,IF(AND(N49&gt;100,N49&lt;=200),N49*0.9%,IF(AND(N49&gt;50,N49&lt;=100),N49*1%,IF(AND(N49&gt;20,N49&lt;=50),N49*1.5%,IF(AND(N49&gt;10,N49&lt;=20),N49*2%,IF(AND(N49&gt;1,N49&lt;=10),N49*2.5%)))))))))</f>
        <v>#VALUE!</v>
      </c>
      <c r="N64" s="2866" t="e">
        <f ca="1" t="shared" ref="N64:N65" si="2">ROUND(M64,1)</f>
        <v>#VALUE!</v>
      </c>
      <c r="O64" s="2864" t="s">
        <v>733</v>
      </c>
      <c r="P64" s="2864"/>
      <c r="Q64" s="2429"/>
    </row>
    <row r="65" ht="13.5" spans="1:17">
      <c r="A65" s="2621" t="s">
        <v>734</v>
      </c>
      <c r="B65" s="410" t="s">
        <v>735</v>
      </c>
      <c r="C65" s="2624"/>
      <c r="D65" s="410"/>
      <c r="E65" s="2623"/>
      <c r="F65" s="2824"/>
      <c r="G65" s="2824"/>
      <c r="H65" s="2827"/>
      <c r="I65" s="1756"/>
      <c r="K65" s="2865"/>
      <c r="L65" s="2865" t="s">
        <v>736</v>
      </c>
      <c r="M65" s="2865" t="e">
        <f ca="1">IF(N49&gt;1000,N49*0.1%,IF(AND(N49&gt;500,N49&lt;=1000),N49*0.5%,IF(AND(N49&gt;50,N49&lt;=500),N49*1%,IF(AND(N49&gt;1,N49&lt;=50),N49*1.5%))))</f>
        <v>#VALUE!</v>
      </c>
      <c r="N65" s="2866" t="e">
        <f ca="1" t="shared" si="2"/>
        <v>#VALUE!</v>
      </c>
      <c r="O65" s="2864" t="s">
        <v>733</v>
      </c>
      <c r="P65" s="2864"/>
      <c r="Q65" s="2429"/>
    </row>
    <row r="66" ht="13.5" spans="1:17">
      <c r="A66" s="2625" t="s">
        <v>737</v>
      </c>
      <c r="B66" s="516" t="s">
        <v>738</v>
      </c>
      <c r="C66" s="2626"/>
      <c r="D66" s="516" t="s">
        <v>121</v>
      </c>
      <c r="E66" s="2627" t="s">
        <v>739</v>
      </c>
      <c r="F66" s="2824"/>
      <c r="G66" s="2824"/>
      <c r="H66" s="2827"/>
      <c r="I66" s="1756"/>
      <c r="K66" s="2865"/>
      <c r="L66" s="2865" t="s">
        <v>740</v>
      </c>
      <c r="M66" s="2865" t="e">
        <f ca="1">N49*0.5%</f>
        <v>#VALUE!</v>
      </c>
      <c r="N66" s="2866" t="e">
        <f ca="1">IF(M66&gt;0.5,0.5,ROUND(M66,0))</f>
        <v>#VALUE!</v>
      </c>
      <c r="O66" s="2864" t="s">
        <v>741</v>
      </c>
      <c r="P66" s="2864"/>
      <c r="Q66" s="2429"/>
    </row>
    <row r="67" ht="13.5" spans="1:17">
      <c r="A67" s="2625" t="s">
        <v>742</v>
      </c>
      <c r="B67" s="516" t="s">
        <v>743</v>
      </c>
      <c r="C67" s="2628">
        <f ca="1">C63-C66</f>
        <v>4646853</v>
      </c>
      <c r="D67" s="410" t="s">
        <v>121</v>
      </c>
      <c r="E67" s="2623"/>
      <c r="F67" s="2824"/>
      <c r="G67" s="2824"/>
      <c r="H67" s="2827"/>
      <c r="I67" s="1756"/>
      <c r="K67" s="2865"/>
      <c r="L67" s="2865" t="s">
        <v>744</v>
      </c>
      <c r="M67" s="2865" t="e">
        <f ca="1">IF(N49&gt;=10000,(8.25+(N49-10000)*0.01%),IF(AND(N49&gt;=8000,N49&lt;10000),(7.85+(N49-8000)*0.02%),IF(AND(N49&gt;=5000,N49&lt;8000),(6.65+(N49-5000)*0.04%),IF(AND(N49&gt;=2000,N49&lt;5000),(4.25+(PN49-2000)*0.08%),IF(AND(N49&gt;=1000,N49&lt;2000),(2.75+(N49-1000)*0.15%),IF(AND(N49&gt;=100,N49&lt;1000),(0.5+(N49-100)*0.25%),IF(AND(N49&gt;0,N49&lt;100),N49*0.5%)))))))</f>
        <v>#VALUE!</v>
      </c>
      <c r="N67" s="2866" t="e">
        <f ca="1">ROUND(M67*0.9,1)</f>
        <v>#VALUE!</v>
      </c>
      <c r="O67" s="2864"/>
      <c r="P67" s="2864"/>
      <c r="Q67" s="2429"/>
    </row>
    <row r="68" ht="14.25" spans="1:17">
      <c r="A68" s="2629" t="s">
        <v>745</v>
      </c>
      <c r="B68" s="537" t="s">
        <v>746</v>
      </c>
      <c r="C68" s="2630">
        <f ca="1">IF(C67&lt;=0,0,ROUND(C67*D68,0))</f>
        <v>260224</v>
      </c>
      <c r="D68" s="631">
        <f>'数据-取费表'!E29</f>
        <v>0.056</v>
      </c>
      <c r="E68" s="2631"/>
      <c r="F68" s="2824"/>
      <c r="G68" s="2824"/>
      <c r="H68" s="2827"/>
      <c r="I68" s="1756"/>
      <c r="K68" s="2865"/>
      <c r="L68" s="2865" t="s">
        <v>747</v>
      </c>
      <c r="M68" s="2865" t="e">
        <f ca="1">IF(N49&gt;10000,N49*0.5%,IF(AND(N49&gt;5000,N49&lt;=10000),N49*1%,IF(AND(N49&gt;1000,N49&lt;=5000),N49*2%,IF(AND(N49&gt;200,N49&lt;=1000),N49*3%,N49*5%))))</f>
        <v>#VALUE!</v>
      </c>
      <c r="N68" s="2866" t="e">
        <f ca="1">ROUND(M68,1)</f>
        <v>#VALUE!</v>
      </c>
      <c r="O68" s="2864"/>
      <c r="P68" s="2864"/>
      <c r="Q68" s="2429"/>
    </row>
    <row r="69" s="2427" customFormat="1" ht="7.5" customHeight="1" spans="1:36">
      <c r="A69" s="2632"/>
      <c r="B69" s="507"/>
      <c r="C69" s="2868"/>
      <c r="D69" s="2869"/>
      <c r="E69" s="2515"/>
      <c r="F69" s="2671"/>
      <c r="G69" s="2671"/>
      <c r="H69" s="2672"/>
      <c r="I69" s="2433"/>
      <c r="J69" s="2431"/>
      <c r="K69" s="2865"/>
      <c r="L69" s="2865" t="s">
        <v>436</v>
      </c>
      <c r="M69" s="2865"/>
      <c r="N69" s="2866" t="e">
        <f ca="1">ROUND(SUM(N63:N68),0)</f>
        <v>#VALUE!</v>
      </c>
      <c r="O69" s="2878" t="e">
        <f ca="1">N69/N49</f>
        <v>#VALUE!</v>
      </c>
      <c r="P69" s="2864"/>
      <c r="Q69" s="2429"/>
      <c r="R69" s="1712"/>
      <c r="S69" s="1712"/>
      <c r="T69" s="1712"/>
      <c r="U69" s="1712"/>
      <c r="V69" s="1712"/>
      <c r="W69" s="1712"/>
      <c r="X69" s="1712"/>
      <c r="Y69" s="1712"/>
      <c r="Z69" s="1712"/>
      <c r="AA69" s="1712"/>
      <c r="AB69" s="2429"/>
      <c r="AC69" s="2429"/>
      <c r="AD69" s="2429"/>
      <c r="AE69" s="2429"/>
      <c r="AF69" s="2429"/>
      <c r="AG69" s="2429"/>
      <c r="AH69" s="2429"/>
      <c r="AI69" s="2429"/>
      <c r="AJ69" s="2429"/>
    </row>
    <row r="70" s="2428" customFormat="1" ht="15" spans="1:36">
      <c r="A70" s="2870" t="s">
        <v>748</v>
      </c>
      <c r="B70" s="2871"/>
      <c r="C70" s="2871"/>
      <c r="D70" s="2871"/>
      <c r="E70" s="2871"/>
      <c r="F70" s="2871"/>
      <c r="G70" s="2871"/>
      <c r="H70" s="2871"/>
      <c r="I70" s="2734"/>
      <c r="J70" s="2735"/>
      <c r="P70" s="367"/>
      <c r="Q70" s="367"/>
      <c r="R70" s="367"/>
      <c r="S70" s="367"/>
      <c r="T70" s="367"/>
      <c r="U70" s="367"/>
      <c r="V70" s="367"/>
      <c r="W70" s="367"/>
      <c r="X70" s="367"/>
      <c r="Y70" s="367"/>
      <c r="Z70" s="367"/>
      <c r="AA70" s="367"/>
      <c r="AB70" s="2741"/>
      <c r="AC70" s="2741"/>
      <c r="AD70" s="2741"/>
      <c r="AE70" s="2741"/>
      <c r="AF70" s="2741"/>
      <c r="AG70" s="2741"/>
      <c r="AH70" s="2741"/>
      <c r="AI70" s="2741"/>
      <c r="AJ70" s="2741"/>
    </row>
    <row r="71" s="2428" customFormat="1" ht="14.25" spans="1:36">
      <c r="A71" s="459" t="s">
        <v>725</v>
      </c>
      <c r="B71" s="425"/>
      <c r="C71" s="425"/>
      <c r="D71" s="425" t="s">
        <v>726</v>
      </c>
      <c r="E71" s="2635" t="s">
        <v>677</v>
      </c>
      <c r="F71" s="2636"/>
      <c r="G71" s="2636"/>
      <c r="H71" s="2637"/>
      <c r="I71" s="2879"/>
      <c r="J71" s="2880"/>
      <c r="P71" s="367"/>
      <c r="Q71" s="367"/>
      <c r="R71" s="367"/>
      <c r="S71" s="367"/>
      <c r="T71" s="367"/>
      <c r="U71" s="367"/>
      <c r="V71" s="367"/>
      <c r="W71" s="367"/>
      <c r="X71" s="367"/>
      <c r="Y71" s="367"/>
      <c r="Z71" s="367"/>
      <c r="AA71" s="367"/>
      <c r="AB71" s="2741"/>
      <c r="AC71" s="2741"/>
      <c r="AD71" s="2741"/>
      <c r="AE71" s="2741"/>
      <c r="AF71" s="2741"/>
      <c r="AG71" s="2741"/>
      <c r="AH71" s="2741"/>
      <c r="AI71" s="2741"/>
      <c r="AJ71" s="2741"/>
    </row>
    <row r="72" s="2428" customFormat="1" ht="14.25" spans="1:36">
      <c r="A72" s="2638">
        <v>1</v>
      </c>
      <c r="B72" s="516" t="s">
        <v>749</v>
      </c>
      <c r="C72" s="2628">
        <f ca="1">ROUND(D45/(1+'数据-取费表'!F30),0)</f>
        <v>4646853</v>
      </c>
      <c r="D72" s="410" t="s">
        <v>121</v>
      </c>
      <c r="E72" s="2228" t="s">
        <v>750</v>
      </c>
      <c r="F72" s="2150"/>
      <c r="G72" s="2150"/>
      <c r="H72" s="2639"/>
      <c r="I72" s="2879"/>
      <c r="J72" s="2880"/>
      <c r="P72" s="367"/>
      <c r="Q72" s="367"/>
      <c r="R72" s="367"/>
      <c r="S72" s="367"/>
      <c r="T72" s="367"/>
      <c r="U72" s="367"/>
      <c r="V72" s="367"/>
      <c r="W72" s="367"/>
      <c r="X72" s="367"/>
      <c r="Y72" s="367"/>
      <c r="Z72" s="367"/>
      <c r="AA72" s="367"/>
      <c r="AB72" s="2741"/>
      <c r="AC72" s="2741"/>
      <c r="AD72" s="2741"/>
      <c r="AE72" s="2741"/>
      <c r="AF72" s="2741"/>
      <c r="AG72" s="2741"/>
      <c r="AH72" s="2741"/>
      <c r="AI72" s="2741"/>
      <c r="AJ72" s="2741"/>
    </row>
    <row r="73" s="2428" customFormat="1" ht="14.25" spans="1:36">
      <c r="A73" s="2640">
        <v>2</v>
      </c>
      <c r="B73" s="2327" t="s">
        <v>751</v>
      </c>
      <c r="C73" s="2628">
        <f ca="1">C74+C78</f>
        <v>27881</v>
      </c>
      <c r="D73" s="410" t="s">
        <v>121</v>
      </c>
      <c r="E73" s="2149"/>
      <c r="F73" s="2150"/>
      <c r="G73" s="2150"/>
      <c r="H73" s="2639"/>
      <c r="I73" s="2879"/>
      <c r="J73" s="2880"/>
      <c r="P73" s="367"/>
      <c r="Q73" s="367"/>
      <c r="R73" s="367"/>
      <c r="S73" s="367"/>
      <c r="T73" s="367"/>
      <c r="U73" s="367"/>
      <c r="V73" s="367"/>
      <c r="W73" s="367"/>
      <c r="X73" s="367"/>
      <c r="Y73" s="367"/>
      <c r="Z73" s="367"/>
      <c r="AA73" s="367"/>
      <c r="AB73" s="2741"/>
      <c r="AC73" s="2741"/>
      <c r="AD73" s="2741"/>
      <c r="AE73" s="2741"/>
      <c r="AF73" s="2741"/>
      <c r="AG73" s="2741"/>
      <c r="AH73" s="2741"/>
      <c r="AI73" s="2741"/>
      <c r="AJ73" s="2741"/>
    </row>
    <row r="74" s="2428" customFormat="1" ht="24" spans="1:36">
      <c r="A74" s="2621" t="s">
        <v>752</v>
      </c>
      <c r="B74" s="410" t="s">
        <v>753</v>
      </c>
      <c r="C74" s="410">
        <f>ROUND(IF(G77="2016年5月1日后购买",C75/(1+'数据-取费表'!F30)+C76+C77,C75+C76+C77),0)</f>
        <v>0</v>
      </c>
      <c r="D74" s="410" t="s">
        <v>121</v>
      </c>
      <c r="E74" s="2149"/>
      <c r="F74" s="2150"/>
      <c r="G74" s="2150"/>
      <c r="H74" s="2639"/>
      <c r="I74" s="2879"/>
      <c r="J74" s="2880"/>
      <c r="P74" s="367"/>
      <c r="Q74" s="367"/>
      <c r="R74" s="367"/>
      <c r="S74" s="367"/>
      <c r="T74" s="367"/>
      <c r="U74" s="367"/>
      <c r="V74" s="367"/>
      <c r="W74" s="367"/>
      <c r="X74" s="367"/>
      <c r="Y74" s="367"/>
      <c r="Z74" s="367"/>
      <c r="AA74" s="367"/>
      <c r="AB74" s="2741"/>
      <c r="AC74" s="2741"/>
      <c r="AD74" s="2741"/>
      <c r="AE74" s="2741"/>
      <c r="AF74" s="2741"/>
      <c r="AG74" s="2741"/>
      <c r="AH74" s="2741"/>
      <c r="AI74" s="2741"/>
      <c r="AJ74" s="2741"/>
    </row>
    <row r="75" s="2428" customFormat="1" ht="14.25" spans="1:36">
      <c r="A75" s="2621" t="s">
        <v>754</v>
      </c>
      <c r="B75" s="410" t="s">
        <v>755</v>
      </c>
      <c r="C75" s="540"/>
      <c r="D75" s="410" t="s">
        <v>121</v>
      </c>
      <c r="E75" s="2641" t="s">
        <v>756</v>
      </c>
      <c r="F75" s="2642" t="s">
        <v>757</v>
      </c>
      <c r="G75" s="2641" t="s">
        <v>758</v>
      </c>
      <c r="H75" s="2643"/>
      <c r="I75" s="2745"/>
      <c r="J75" s="2746"/>
      <c r="P75" s="367"/>
      <c r="Q75" s="367"/>
      <c r="R75" s="367"/>
      <c r="S75" s="367"/>
      <c r="T75" s="367"/>
      <c r="U75" s="367"/>
      <c r="V75" s="367"/>
      <c r="W75" s="367"/>
      <c r="X75" s="367"/>
      <c r="Y75" s="367"/>
      <c r="Z75" s="367"/>
      <c r="AA75" s="367"/>
      <c r="AB75" s="2741"/>
      <c r="AC75" s="2741"/>
      <c r="AD75" s="2741"/>
      <c r="AE75" s="2741"/>
      <c r="AF75" s="2741"/>
      <c r="AG75" s="2741"/>
      <c r="AH75" s="2741"/>
      <c r="AI75" s="2741"/>
      <c r="AJ75" s="2741"/>
    </row>
    <row r="76" s="2428" customFormat="1" ht="24.75" customHeight="1" spans="1:36">
      <c r="A76" s="2621" t="s">
        <v>759</v>
      </c>
      <c r="B76" s="432" t="s">
        <v>760</v>
      </c>
      <c r="C76" s="410">
        <f>IF(F75="购房发票",ROUND(C75*H75*D76,0),0)</f>
        <v>0</v>
      </c>
      <c r="D76" s="2644">
        <v>0.05</v>
      </c>
      <c r="E76" s="2149" t="s">
        <v>761</v>
      </c>
      <c r="F76" s="2150"/>
      <c r="G76" s="2150"/>
      <c r="H76" s="2645"/>
      <c r="I76" s="2879"/>
      <c r="J76" s="2880"/>
      <c r="P76" s="367"/>
      <c r="Q76" s="367"/>
      <c r="R76" s="367"/>
      <c r="S76" s="367"/>
      <c r="T76" s="367"/>
      <c r="U76" s="367"/>
      <c r="V76" s="367"/>
      <c r="W76" s="367"/>
      <c r="X76" s="367"/>
      <c r="Y76" s="367"/>
      <c r="Z76" s="367"/>
      <c r="AA76" s="367"/>
      <c r="AB76" s="2741"/>
      <c r="AC76" s="2741"/>
      <c r="AD76" s="2741"/>
      <c r="AE76" s="2741"/>
      <c r="AF76" s="2741"/>
      <c r="AG76" s="2741"/>
      <c r="AH76" s="2741"/>
      <c r="AI76" s="2741"/>
      <c r="AJ76" s="2741"/>
    </row>
    <row r="77" s="2428" customFormat="1" ht="24.75" customHeight="1" spans="1:36">
      <c r="A77" s="2621" t="s">
        <v>762</v>
      </c>
      <c r="B77" s="410" t="s">
        <v>763</v>
      </c>
      <c r="C77" s="410">
        <f>ROUND(IF(G77="个人住宅",0,IF(G77="2016年5月1日前购买",C75*D77,C75*D77/(1+'数据-取费表'!F30))),0)</f>
        <v>0</v>
      </c>
      <c r="D77" s="2646">
        <f>'数据-取费表'!E36+'数据-取费表'!E37</f>
        <v>0.0305</v>
      </c>
      <c r="E77" s="2228" t="s">
        <v>764</v>
      </c>
      <c r="F77" s="1289"/>
      <c r="G77" s="2647" t="s">
        <v>765</v>
      </c>
      <c r="H77" s="2645" t="str">
        <f>IF(G77="个人买卖住房","免征印花税"," ")</f>
        <v> </v>
      </c>
      <c r="I77" s="2879"/>
      <c r="J77" s="2880"/>
      <c r="K77" s="367"/>
      <c r="L77" s="367"/>
      <c r="M77" s="367"/>
      <c r="N77" s="367"/>
      <c r="O77" s="367"/>
      <c r="P77" s="367"/>
      <c r="Q77" s="367"/>
      <c r="R77" s="367"/>
      <c r="S77" s="367"/>
      <c r="T77" s="367"/>
      <c r="U77" s="367"/>
      <c r="V77" s="367"/>
      <c r="W77" s="367"/>
      <c r="X77" s="367"/>
      <c r="Y77" s="367"/>
      <c r="Z77" s="367"/>
      <c r="AA77" s="367"/>
      <c r="AB77" s="2741"/>
      <c r="AC77" s="2741"/>
      <c r="AD77" s="2741"/>
      <c r="AE77" s="2741"/>
      <c r="AF77" s="2741"/>
      <c r="AG77" s="2741"/>
      <c r="AH77" s="2741"/>
      <c r="AI77" s="2741"/>
      <c r="AJ77" s="2741"/>
    </row>
    <row r="78" s="2428" customFormat="1" ht="24.75" customHeight="1" spans="1:36">
      <c r="A78" s="2621" t="s">
        <v>766</v>
      </c>
      <c r="B78" s="410" t="s">
        <v>767</v>
      </c>
      <c r="C78" s="2648">
        <f ca="1">ROUND(D45*D78/(1+'数据-取费表'!F30),0)</f>
        <v>27881</v>
      </c>
      <c r="D78" s="2649">
        <f>'数据-取费表'!E31</f>
        <v>0.006</v>
      </c>
      <c r="E78" s="2650" t="s">
        <v>768</v>
      </c>
      <c r="F78" s="2651"/>
      <c r="G78" s="2651"/>
      <c r="H78" s="2652"/>
      <c r="I78" s="2881"/>
      <c r="J78" s="2882"/>
      <c r="K78" s="367"/>
      <c r="L78" s="367"/>
      <c r="M78" s="367"/>
      <c r="N78" s="367"/>
      <c r="O78" s="367"/>
      <c r="P78" s="367"/>
      <c r="Q78" s="367"/>
      <c r="R78" s="367"/>
      <c r="S78" s="367"/>
      <c r="T78" s="367"/>
      <c r="U78" s="367"/>
      <c r="V78" s="367"/>
      <c r="W78" s="367"/>
      <c r="X78" s="367"/>
      <c r="Y78" s="367"/>
      <c r="Z78" s="367"/>
      <c r="AA78" s="367"/>
      <c r="AB78" s="2741"/>
      <c r="AC78" s="2741"/>
      <c r="AD78" s="2741"/>
      <c r="AE78" s="2741"/>
      <c r="AF78" s="2741"/>
      <c r="AG78" s="2741"/>
      <c r="AH78" s="2741"/>
      <c r="AI78" s="2741"/>
      <c r="AJ78" s="2741"/>
    </row>
    <row r="79" s="2428" customFormat="1" ht="14.25" spans="1:36">
      <c r="A79" s="2625" t="s">
        <v>742</v>
      </c>
      <c r="B79" s="516" t="s">
        <v>769</v>
      </c>
      <c r="C79" s="2628">
        <f ca="1">C72-C73</f>
        <v>4618972</v>
      </c>
      <c r="D79" s="410" t="s">
        <v>121</v>
      </c>
      <c r="E79" s="2149"/>
      <c r="F79" s="2150"/>
      <c r="G79" s="2150"/>
      <c r="H79" s="2639"/>
      <c r="I79" s="2879"/>
      <c r="J79" s="2880"/>
      <c r="K79" s="367"/>
      <c r="L79" s="367"/>
      <c r="M79" s="367"/>
      <c r="N79" s="367"/>
      <c r="O79" s="367"/>
      <c r="P79" s="367"/>
      <c r="Q79" s="367"/>
      <c r="R79" s="367"/>
      <c r="S79" s="367"/>
      <c r="T79" s="367"/>
      <c r="U79" s="367"/>
      <c r="V79" s="367"/>
      <c r="W79" s="367"/>
      <c r="X79" s="367"/>
      <c r="Y79" s="367"/>
      <c r="Z79" s="367"/>
      <c r="AA79" s="367"/>
      <c r="AB79" s="2741"/>
      <c r="AC79" s="2741"/>
      <c r="AD79" s="2741"/>
      <c r="AE79" s="2741"/>
      <c r="AF79" s="2741"/>
      <c r="AG79" s="2741"/>
      <c r="AH79" s="2741"/>
      <c r="AI79" s="2741"/>
      <c r="AJ79" s="2741"/>
    </row>
    <row r="80" s="2428" customFormat="1" ht="24" spans="1:36">
      <c r="A80" s="2625" t="s">
        <v>745</v>
      </c>
      <c r="B80" s="516" t="s">
        <v>770</v>
      </c>
      <c r="C80" s="2653">
        <f ca="1">IF(C79&lt;=0,0,C79/C73)</f>
        <v>165.667372045479</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39"/>
      <c r="I80" s="2879"/>
      <c r="J80" s="2880"/>
      <c r="K80" s="367"/>
      <c r="L80" s="367"/>
      <c r="M80" s="367"/>
      <c r="N80" s="367"/>
      <c r="O80" s="367"/>
      <c r="P80" s="367"/>
      <c r="Q80" s="367"/>
      <c r="R80" s="367"/>
      <c r="S80" s="367"/>
      <c r="T80" s="367"/>
      <c r="U80" s="367"/>
      <c r="V80" s="367"/>
      <c r="W80" s="367"/>
      <c r="X80" s="367"/>
      <c r="Y80" s="367"/>
      <c r="Z80" s="367"/>
      <c r="AA80" s="367"/>
      <c r="AB80" s="2741"/>
      <c r="AC80" s="2741"/>
      <c r="AD80" s="2741"/>
      <c r="AE80" s="2741"/>
      <c r="AF80" s="2741"/>
      <c r="AG80" s="2741"/>
      <c r="AH80" s="2741"/>
      <c r="AI80" s="2741"/>
      <c r="AJ80" s="2741"/>
    </row>
    <row r="81" s="2428" customFormat="1" ht="24.75" spans="1:36">
      <c r="A81" s="2629" t="s">
        <v>771</v>
      </c>
      <c r="B81" s="537" t="s">
        <v>772</v>
      </c>
      <c r="C81" s="2654">
        <f ca="1">ROUND(IF(C79&lt;=0,0,IF(C80&gt;=200%,C79*60%-C73*35%,IF(C80&gt;=100%,C79*50%-C73*15%,IF(C80&gt;=50%,C79*40%-C73*5%,IF(C80&lt;50%,C79*30%,0))))),0)</f>
        <v>2761625</v>
      </c>
      <c r="D81" s="456" t="s">
        <v>121</v>
      </c>
      <c r="E81" s="255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5"/>
      <c r="G81" s="2655"/>
      <c r="H81" s="2656"/>
      <c r="I81" s="2879"/>
      <c r="J81" s="2880"/>
      <c r="K81" s="367"/>
      <c r="L81" s="367"/>
      <c r="M81" s="367"/>
      <c r="N81" s="367"/>
      <c r="O81" s="367"/>
      <c r="P81" s="367"/>
      <c r="Q81" s="367"/>
      <c r="R81" s="367"/>
      <c r="S81" s="367"/>
      <c r="T81" s="367"/>
      <c r="U81" s="367"/>
      <c r="V81" s="367"/>
      <c r="W81" s="367"/>
      <c r="X81" s="367"/>
      <c r="Y81" s="367"/>
      <c r="Z81" s="367"/>
      <c r="AA81" s="367"/>
      <c r="AB81" s="2741"/>
      <c r="AC81" s="2741"/>
      <c r="AD81" s="2741"/>
      <c r="AE81" s="2741"/>
      <c r="AF81" s="2741"/>
      <c r="AG81" s="2741"/>
      <c r="AH81" s="2741"/>
      <c r="AI81" s="2741"/>
      <c r="AJ81" s="2741"/>
    </row>
    <row r="82" s="2428" customFormat="1" ht="7.5" customHeight="1" spans="1:36">
      <c r="A82" s="2872"/>
      <c r="B82" s="544"/>
      <c r="C82" s="2745"/>
      <c r="D82" s="2745"/>
      <c r="E82" s="544"/>
      <c r="F82" s="544"/>
      <c r="G82" s="544"/>
      <c r="H82" s="2657"/>
      <c r="I82" s="2881"/>
      <c r="J82" s="2882"/>
      <c r="K82" s="367"/>
      <c r="L82" s="367"/>
      <c r="M82" s="367"/>
      <c r="N82" s="367"/>
      <c r="O82" s="367"/>
      <c r="P82" s="367"/>
      <c r="Q82" s="367"/>
      <c r="R82" s="367"/>
      <c r="S82" s="367"/>
      <c r="T82" s="367"/>
      <c r="U82" s="367"/>
      <c r="V82" s="367"/>
      <c r="W82" s="367"/>
      <c r="X82" s="367"/>
      <c r="Y82" s="367"/>
      <c r="Z82" s="367"/>
      <c r="AA82" s="367"/>
      <c r="AB82" s="2741"/>
      <c r="AC82" s="2741"/>
      <c r="AD82" s="2741"/>
      <c r="AE82" s="2741"/>
      <c r="AF82" s="2741"/>
      <c r="AG82" s="2741"/>
      <c r="AH82" s="2741"/>
      <c r="AI82" s="2741"/>
      <c r="AJ82" s="2741"/>
    </row>
    <row r="83" s="2428" customFormat="1" ht="15" spans="1:36">
      <c r="A83" s="2870" t="s">
        <v>773</v>
      </c>
      <c r="B83" s="2871"/>
      <c r="C83" s="2871"/>
      <c r="D83" s="2871"/>
      <c r="E83" s="2871"/>
      <c r="F83" s="2871"/>
      <c r="G83" s="2871"/>
      <c r="H83" s="2871"/>
      <c r="I83" s="2745"/>
      <c r="J83" s="2746"/>
      <c r="K83" s="367"/>
      <c r="L83" s="367"/>
      <c r="M83" s="367"/>
      <c r="N83" s="367"/>
      <c r="O83" s="367"/>
      <c r="P83" s="367"/>
      <c r="Q83" s="367"/>
      <c r="R83" s="367"/>
      <c r="S83" s="367"/>
      <c r="T83" s="367"/>
      <c r="U83" s="367"/>
      <c r="V83" s="367"/>
      <c r="W83" s="367"/>
      <c r="X83" s="367"/>
      <c r="Y83" s="367"/>
      <c r="Z83" s="367"/>
      <c r="AA83" s="367"/>
      <c r="AB83" s="2741"/>
      <c r="AC83" s="2741"/>
      <c r="AD83" s="2741"/>
      <c r="AE83" s="2741"/>
      <c r="AF83" s="2741"/>
      <c r="AG83" s="2741"/>
      <c r="AH83" s="2741"/>
      <c r="AI83" s="2741"/>
      <c r="AJ83" s="2741"/>
    </row>
    <row r="84" s="2428" customFormat="1" ht="14.25" spans="1:36">
      <c r="A84" s="459" t="s">
        <v>725</v>
      </c>
      <c r="B84" s="425"/>
      <c r="C84" s="425"/>
      <c r="D84" s="425" t="s">
        <v>726</v>
      </c>
      <c r="E84" s="2635" t="s">
        <v>677</v>
      </c>
      <c r="F84" s="2636"/>
      <c r="G84" s="2636"/>
      <c r="H84" s="2658"/>
      <c r="I84" s="2745"/>
      <c r="J84" s="2746"/>
      <c r="K84" s="367"/>
      <c r="L84" s="367"/>
      <c r="M84" s="367"/>
      <c r="N84" s="367"/>
      <c r="O84" s="367"/>
      <c r="P84" s="367"/>
      <c r="Q84" s="367"/>
      <c r="R84" s="367"/>
      <c r="S84" s="367"/>
      <c r="T84" s="367"/>
      <c r="U84" s="367"/>
      <c r="V84" s="367"/>
      <c r="W84" s="367"/>
      <c r="X84" s="367"/>
      <c r="Y84" s="367"/>
      <c r="Z84" s="367"/>
      <c r="AA84" s="367"/>
      <c r="AB84" s="2741"/>
      <c r="AC84" s="2741"/>
      <c r="AD84" s="2741"/>
      <c r="AE84" s="2741"/>
      <c r="AF84" s="2741"/>
      <c r="AG84" s="2741"/>
      <c r="AH84" s="2741"/>
      <c r="AI84" s="2741"/>
      <c r="AJ84" s="2741"/>
    </row>
    <row r="85" s="2428" customFormat="1" ht="24" spans="1:36">
      <c r="A85" s="2638">
        <v>1</v>
      </c>
      <c r="B85" s="516" t="s">
        <v>749</v>
      </c>
      <c r="C85" s="2628">
        <f ca="1">ROUND(D45/(1+'数据-取费表'!F30),0)</f>
        <v>4646853</v>
      </c>
      <c r="D85" s="410" t="s">
        <v>121</v>
      </c>
      <c r="E85" s="2149" t="s">
        <v>750</v>
      </c>
      <c r="F85" s="2150"/>
      <c r="G85" s="2150"/>
      <c r="H85" s="2659"/>
      <c r="I85" s="2745"/>
      <c r="J85" s="2746"/>
      <c r="K85" s="367"/>
      <c r="L85" s="367"/>
      <c r="M85" s="367"/>
      <c r="N85" s="367"/>
      <c r="O85" s="367"/>
      <c r="P85" s="367"/>
      <c r="Q85" s="367"/>
      <c r="R85" s="367"/>
      <c r="S85" s="367"/>
      <c r="T85" s="367"/>
      <c r="U85" s="367"/>
      <c r="V85" s="367"/>
      <c r="W85" s="367"/>
      <c r="X85" s="367"/>
      <c r="Y85" s="367"/>
      <c r="Z85" s="367"/>
      <c r="AA85" s="367"/>
      <c r="AB85" s="2741"/>
      <c r="AC85" s="2741"/>
      <c r="AD85" s="2741"/>
      <c r="AE85" s="2741"/>
      <c r="AF85" s="2741"/>
      <c r="AG85" s="2741"/>
      <c r="AH85" s="2741"/>
      <c r="AI85" s="2741"/>
      <c r="AJ85" s="2741"/>
    </row>
    <row r="86" s="2428" customFormat="1" ht="14.25" spans="1:36">
      <c r="A86" s="2640">
        <v>2</v>
      </c>
      <c r="B86" s="2327" t="s">
        <v>751</v>
      </c>
      <c r="C86" s="2628">
        <f ca="1">IF(H88="仅含出让金",C87+C90+C91+C92+C93+C94,C87+C91+C92+C93+C94)</f>
        <v>27881</v>
      </c>
      <c r="D86" s="2660"/>
      <c r="E86" s="2149"/>
      <c r="F86" s="2150"/>
      <c r="G86" s="2150"/>
      <c r="H86" s="2659"/>
      <c r="I86" s="2745"/>
      <c r="J86" s="2746"/>
      <c r="K86" s="367"/>
      <c r="L86" s="367"/>
      <c r="M86" s="367"/>
      <c r="N86" s="367"/>
      <c r="O86" s="367"/>
      <c r="P86" s="367"/>
      <c r="Q86" s="367"/>
      <c r="R86" s="367"/>
      <c r="S86" s="367"/>
      <c r="T86" s="367"/>
      <c r="U86" s="367"/>
      <c r="V86" s="367"/>
      <c r="W86" s="367"/>
      <c r="X86" s="367"/>
      <c r="Y86" s="367"/>
      <c r="Z86" s="367"/>
      <c r="AA86" s="367"/>
      <c r="AB86" s="2741"/>
      <c r="AC86" s="2741"/>
      <c r="AD86" s="2741"/>
      <c r="AE86" s="2741"/>
      <c r="AF86" s="2741"/>
      <c r="AG86" s="2741"/>
      <c r="AH86" s="2741"/>
      <c r="AI86" s="2741"/>
      <c r="AJ86" s="2741"/>
    </row>
    <row r="87" s="2428" customFormat="1" ht="14.25" spans="1:36">
      <c r="A87" s="2621" t="s">
        <v>752</v>
      </c>
      <c r="B87" s="410" t="s">
        <v>774</v>
      </c>
      <c r="C87" s="2648">
        <f>C88+C89</f>
        <v>0</v>
      </c>
      <c r="D87" s="2649"/>
      <c r="E87" s="2650"/>
      <c r="F87" s="2651"/>
      <c r="G87" s="2651"/>
      <c r="H87" s="2652"/>
      <c r="I87" s="2745"/>
      <c r="J87" s="2746"/>
      <c r="K87" s="367"/>
      <c r="L87" s="367"/>
      <c r="M87" s="367"/>
      <c r="N87" s="367"/>
      <c r="O87" s="367"/>
      <c r="P87" s="367"/>
      <c r="Q87" s="367"/>
      <c r="R87" s="367"/>
      <c r="S87" s="367"/>
      <c r="T87" s="367"/>
      <c r="U87" s="367"/>
      <c r="V87" s="367"/>
      <c r="W87" s="367"/>
      <c r="X87" s="367"/>
      <c r="Y87" s="367"/>
      <c r="Z87" s="367"/>
      <c r="AA87" s="367"/>
      <c r="AB87" s="2741"/>
      <c r="AC87" s="2741"/>
      <c r="AD87" s="2741"/>
      <c r="AE87" s="2741"/>
      <c r="AF87" s="2741"/>
      <c r="AG87" s="2741"/>
      <c r="AH87" s="2741"/>
      <c r="AI87" s="2741"/>
      <c r="AJ87" s="2741"/>
    </row>
    <row r="88" s="2428" customFormat="1" ht="14.25" spans="1:36">
      <c r="A88" s="2621" t="s">
        <v>754</v>
      </c>
      <c r="B88" s="410" t="s">
        <v>775</v>
      </c>
      <c r="C88" s="2661"/>
      <c r="D88" s="2649"/>
      <c r="E88" s="2593" t="s">
        <v>776</v>
      </c>
      <c r="F88" s="2651"/>
      <c r="G88" s="2662" t="s">
        <v>777</v>
      </c>
      <c r="H88" s="2663"/>
      <c r="I88" s="2745"/>
      <c r="J88" s="2746"/>
      <c r="K88" s="2740" t="s">
        <v>778</v>
      </c>
      <c r="L88" s="2741"/>
      <c r="M88" s="2741"/>
      <c r="N88" s="2741"/>
      <c r="O88" s="2741"/>
      <c r="P88" s="2741"/>
      <c r="Q88" s="2741"/>
      <c r="R88" s="2741"/>
      <c r="S88" s="2741"/>
      <c r="T88" s="367"/>
      <c r="U88" s="367"/>
      <c r="V88" s="367"/>
      <c r="W88" s="367"/>
      <c r="X88" s="367"/>
      <c r="Y88" s="367"/>
      <c r="Z88" s="367"/>
      <c r="AA88" s="367"/>
      <c r="AB88" s="2741"/>
      <c r="AC88" s="2741"/>
      <c r="AD88" s="2741"/>
      <c r="AE88" s="2741"/>
      <c r="AF88" s="2741"/>
      <c r="AG88" s="2741"/>
      <c r="AH88" s="2741"/>
      <c r="AI88" s="2741"/>
      <c r="AJ88" s="2741"/>
    </row>
    <row r="89" s="2428" customFormat="1" ht="14.25" spans="1:36">
      <c r="A89" s="2621" t="s">
        <v>759</v>
      </c>
      <c r="B89" s="410" t="s">
        <v>763</v>
      </c>
      <c r="C89" s="2648">
        <f>ROUND(C88*D89,0)</f>
        <v>0</v>
      </c>
      <c r="D89" s="2649">
        <f>'数据-取费表'!E36+'数据-取费表'!E37</f>
        <v>0.0305</v>
      </c>
      <c r="E89" s="2593" t="s">
        <v>779</v>
      </c>
      <c r="F89" s="2651"/>
      <c r="G89" s="2651"/>
      <c r="H89" s="2652"/>
      <c r="I89" s="2745"/>
      <c r="J89" s="2746"/>
      <c r="K89" s="367"/>
      <c r="L89" s="367"/>
      <c r="M89" s="367"/>
      <c r="N89" s="367"/>
      <c r="O89" s="367"/>
      <c r="P89" s="367"/>
      <c r="Q89" s="367"/>
      <c r="R89" s="367"/>
      <c r="S89" s="367"/>
      <c r="T89" s="367"/>
      <c r="U89" s="367"/>
      <c r="V89" s="367"/>
      <c r="W89" s="367"/>
      <c r="X89" s="367"/>
      <c r="Y89" s="367"/>
      <c r="Z89" s="367"/>
      <c r="AA89" s="367"/>
      <c r="AB89" s="2741"/>
      <c r="AC89" s="2741"/>
      <c r="AD89" s="2741"/>
      <c r="AE89" s="2741"/>
      <c r="AF89" s="2741"/>
      <c r="AG89" s="2741"/>
      <c r="AH89" s="2741"/>
      <c r="AI89" s="2741"/>
      <c r="AJ89" s="2741"/>
    </row>
    <row r="90" s="2428" customFormat="1" ht="24" customHeight="1" spans="1:36">
      <c r="A90" s="2621" t="s">
        <v>766</v>
      </c>
      <c r="B90" s="410" t="s">
        <v>780</v>
      </c>
      <c r="C90" s="2661"/>
      <c r="D90" s="2649"/>
      <c r="E90" s="2593" t="str">
        <f>IF(H88="-","土地取得成本中已包含该笔费用"," ")</f>
        <v> </v>
      </c>
      <c r="F90" s="2651"/>
      <c r="G90" s="2664" t="s">
        <v>781</v>
      </c>
      <c r="H90" s="2664"/>
      <c r="I90" s="2745"/>
      <c r="J90" s="2746"/>
      <c r="K90" s="2740" t="s">
        <v>782</v>
      </c>
      <c r="L90" s="2741"/>
      <c r="M90" s="2741"/>
      <c r="N90" s="2741"/>
      <c r="O90" s="2741"/>
      <c r="P90" s="2741"/>
      <c r="Q90" s="2741"/>
      <c r="R90" s="2741"/>
      <c r="S90" s="2741"/>
      <c r="T90" s="2741"/>
      <c r="U90" s="367"/>
      <c r="V90" s="367"/>
      <c r="W90" s="367"/>
      <c r="X90" s="367"/>
      <c r="Y90" s="367"/>
      <c r="Z90" s="367"/>
      <c r="AA90" s="367"/>
      <c r="AB90" s="2741"/>
      <c r="AC90" s="2741"/>
      <c r="AD90" s="2741"/>
      <c r="AE90" s="2741"/>
      <c r="AF90" s="2741"/>
      <c r="AG90" s="2741"/>
      <c r="AH90" s="2741"/>
      <c r="AI90" s="2741"/>
      <c r="AJ90" s="2741"/>
    </row>
    <row r="91" s="2428" customFormat="1" ht="30.75" customHeight="1" spans="1:36">
      <c r="A91" s="2621" t="s">
        <v>783</v>
      </c>
      <c r="B91" s="410" t="s">
        <v>784</v>
      </c>
      <c r="C91" s="2648">
        <f>IF(H91="——",成本法!C33,I91)</f>
        <v>0</v>
      </c>
      <c r="D91" s="2649"/>
      <c r="E91" s="2650" t="s">
        <v>785</v>
      </c>
      <c r="F91" s="2651"/>
      <c r="G91" s="2651"/>
      <c r="H91" s="2666" t="s">
        <v>786</v>
      </c>
      <c r="I91" s="2883"/>
      <c r="J91" s="2884"/>
      <c r="K91" s="367"/>
      <c r="L91" s="367"/>
      <c r="M91" s="367"/>
      <c r="N91" s="367"/>
      <c r="O91" s="367"/>
      <c r="P91" s="367"/>
      <c r="Q91" s="367"/>
      <c r="R91" s="367"/>
      <c r="S91" s="367"/>
      <c r="T91" s="367"/>
      <c r="U91" s="367"/>
      <c r="V91" s="367"/>
      <c r="W91" s="367"/>
      <c r="X91" s="367"/>
      <c r="Y91" s="367"/>
      <c r="Z91" s="367"/>
      <c r="AA91" s="367"/>
      <c r="AB91" s="2741"/>
      <c r="AC91" s="2741"/>
      <c r="AD91" s="2741"/>
      <c r="AE91" s="2741"/>
      <c r="AF91" s="2741"/>
      <c r="AG91" s="2741"/>
      <c r="AH91" s="2741"/>
      <c r="AI91" s="2741"/>
      <c r="AJ91" s="2741"/>
    </row>
    <row r="92" s="2428" customFormat="1" ht="25.5" customHeight="1" spans="1:36">
      <c r="A92" s="2621" t="s">
        <v>787</v>
      </c>
      <c r="B92" s="410" t="s">
        <v>788</v>
      </c>
      <c r="C92" s="2648">
        <f>ROUND((C87+C90+C91)*D92,0)</f>
        <v>0</v>
      </c>
      <c r="D92" s="2873">
        <v>0.1</v>
      </c>
      <c r="E92" s="2650" t="s">
        <v>789</v>
      </c>
      <c r="F92" s="2651"/>
      <c r="G92" s="2651"/>
      <c r="H92" s="2652"/>
      <c r="I92" s="2745"/>
      <c r="J92" s="2746"/>
      <c r="K92" s="2744" t="s">
        <v>790</v>
      </c>
      <c r="L92" s="2741"/>
      <c r="M92" s="2741"/>
      <c r="N92" s="2741"/>
      <c r="O92" s="2741"/>
      <c r="P92" s="2741"/>
      <c r="Q92" s="367"/>
      <c r="R92" s="367"/>
      <c r="S92" s="367"/>
      <c r="T92" s="367"/>
      <c r="U92" s="367"/>
      <c r="V92" s="367"/>
      <c r="W92" s="367"/>
      <c r="X92" s="367"/>
      <c r="Y92" s="367"/>
      <c r="Z92" s="367"/>
      <c r="AA92" s="367"/>
      <c r="AB92" s="2741"/>
      <c r="AC92" s="2741"/>
      <c r="AD92" s="2741"/>
      <c r="AE92" s="2741"/>
      <c r="AF92" s="2741"/>
      <c r="AG92" s="2741"/>
      <c r="AH92" s="2741"/>
      <c r="AI92" s="2741"/>
      <c r="AJ92" s="2741"/>
    </row>
    <row r="93" s="2428" customFormat="1" ht="25.5" customHeight="1" spans="1:36">
      <c r="A93" s="2621" t="s">
        <v>791</v>
      </c>
      <c r="B93" s="410" t="s">
        <v>767</v>
      </c>
      <c r="C93" s="2648">
        <f ca="1">ROUND(D45*D93/(1+'数据-取费表'!F30),0)</f>
        <v>27881</v>
      </c>
      <c r="D93" s="2649">
        <f>'数据-取费表'!E31</f>
        <v>0.006</v>
      </c>
      <c r="E93" s="2650" t="s">
        <v>768</v>
      </c>
      <c r="F93" s="2651"/>
      <c r="G93" s="2651"/>
      <c r="H93" s="2652"/>
      <c r="I93" s="2745"/>
      <c r="J93" s="2746"/>
      <c r="K93" s="367"/>
      <c r="L93" s="367"/>
      <c r="M93" s="367"/>
      <c r="N93" s="367"/>
      <c r="O93" s="367"/>
      <c r="P93" s="367"/>
      <c r="Q93" s="367"/>
      <c r="R93" s="367"/>
      <c r="S93" s="367"/>
      <c r="T93" s="367"/>
      <c r="U93" s="367"/>
      <c r="V93" s="367"/>
      <c r="W93" s="367"/>
      <c r="X93" s="367"/>
      <c r="Y93" s="367"/>
      <c r="Z93" s="367"/>
      <c r="AA93" s="367"/>
      <c r="AB93" s="2741"/>
      <c r="AC93" s="2741"/>
      <c r="AD93" s="2741"/>
      <c r="AE93" s="2741"/>
      <c r="AF93" s="2741"/>
      <c r="AG93" s="2741"/>
      <c r="AH93" s="2741"/>
      <c r="AI93" s="2741"/>
      <c r="AJ93" s="2741"/>
    </row>
    <row r="94" s="2428" customFormat="1" ht="25.5" customHeight="1" spans="1:36">
      <c r="A94" s="2621" t="s">
        <v>792</v>
      </c>
      <c r="B94" s="410" t="s">
        <v>793</v>
      </c>
      <c r="C94" s="2648">
        <f>ROUND((C87+C90+C91)*D94,0)</f>
        <v>0</v>
      </c>
      <c r="D94" s="2649">
        <v>0.2</v>
      </c>
      <c r="E94" s="2650" t="s">
        <v>794</v>
      </c>
      <c r="F94" s="2651"/>
      <c r="G94" s="2651"/>
      <c r="H94" s="2652"/>
      <c r="I94" s="2745"/>
      <c r="J94" s="2746"/>
      <c r="K94" s="367"/>
      <c r="L94" s="367"/>
      <c r="M94" s="367"/>
      <c r="N94" s="367"/>
      <c r="O94" s="367"/>
      <c r="P94" s="367"/>
      <c r="Q94" s="367"/>
      <c r="R94" s="367"/>
      <c r="S94" s="367"/>
      <c r="T94" s="367"/>
      <c r="U94" s="367"/>
      <c r="V94" s="367"/>
      <c r="W94" s="367"/>
      <c r="X94" s="367"/>
      <c r="Y94" s="367"/>
      <c r="Z94" s="367"/>
      <c r="AA94" s="367"/>
      <c r="AB94" s="2741"/>
      <c r="AC94" s="2741"/>
      <c r="AD94" s="2741"/>
      <c r="AE94" s="2741"/>
      <c r="AF94" s="2741"/>
      <c r="AG94" s="2741"/>
      <c r="AH94" s="2741"/>
      <c r="AI94" s="2741"/>
      <c r="AJ94" s="2741"/>
    </row>
    <row r="95" s="2428" customFormat="1" ht="14.25" spans="1:36">
      <c r="A95" s="2625" t="s">
        <v>742</v>
      </c>
      <c r="B95" s="516" t="s">
        <v>769</v>
      </c>
      <c r="C95" s="2628">
        <f ca="1">ROUND(C85-C86,0)</f>
        <v>4618972</v>
      </c>
      <c r="D95" s="410" t="s">
        <v>121</v>
      </c>
      <c r="E95" s="2149"/>
      <c r="F95" s="2150"/>
      <c r="G95" s="2150"/>
      <c r="H95" s="2659"/>
      <c r="I95" s="2745"/>
      <c r="J95" s="2746"/>
      <c r="K95" s="367"/>
      <c r="L95" s="367"/>
      <c r="M95" s="367"/>
      <c r="N95" s="367"/>
      <c r="O95" s="367"/>
      <c r="P95" s="367"/>
      <c r="Q95" s="367"/>
      <c r="R95" s="367"/>
      <c r="S95" s="367"/>
      <c r="T95" s="367"/>
      <c r="U95" s="367"/>
      <c r="V95" s="367"/>
      <c r="W95" s="367"/>
      <c r="X95" s="367"/>
      <c r="Y95" s="367"/>
      <c r="Z95" s="367"/>
      <c r="AA95" s="367"/>
      <c r="AB95" s="2741"/>
      <c r="AC95" s="2741"/>
      <c r="AD95" s="2741"/>
      <c r="AE95" s="2741"/>
      <c r="AF95" s="2741"/>
      <c r="AG95" s="2741"/>
      <c r="AH95" s="2741"/>
      <c r="AI95" s="2741"/>
      <c r="AJ95" s="2741"/>
    </row>
    <row r="96" s="2428" customFormat="1" ht="24" spans="1:36">
      <c r="A96" s="2625" t="s">
        <v>745</v>
      </c>
      <c r="B96" s="516" t="s">
        <v>770</v>
      </c>
      <c r="C96" s="2653">
        <f ca="1">IF(C95&lt;=0,0,C95/C86)</f>
        <v>165.667372045479</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59"/>
      <c r="I96" s="2745"/>
      <c r="J96" s="2746"/>
      <c r="K96" s="367"/>
      <c r="L96" s="367"/>
      <c r="M96" s="367"/>
      <c r="N96" s="367"/>
      <c r="O96" s="367"/>
      <c r="P96" s="367"/>
      <c r="Q96" s="367"/>
      <c r="R96" s="367"/>
      <c r="S96" s="367"/>
      <c r="T96" s="367"/>
      <c r="U96" s="367"/>
      <c r="V96" s="367"/>
      <c r="W96" s="367"/>
      <c r="X96" s="367"/>
      <c r="Y96" s="367"/>
      <c r="Z96" s="367"/>
      <c r="AA96" s="367"/>
      <c r="AB96" s="2741"/>
      <c r="AC96" s="2741"/>
      <c r="AD96" s="2741"/>
      <c r="AE96" s="2741"/>
      <c r="AF96" s="2741"/>
      <c r="AG96" s="2741"/>
      <c r="AH96" s="2741"/>
      <c r="AI96" s="2741"/>
      <c r="AJ96" s="2741"/>
    </row>
    <row r="97" s="2428" customFormat="1" ht="24.75" spans="1:36">
      <c r="A97" s="2629" t="s">
        <v>771</v>
      </c>
      <c r="B97" s="537" t="s">
        <v>772</v>
      </c>
      <c r="C97" s="2654">
        <f ca="1">ROUND(IF(C95&lt;=0,0,IF(C96&gt;=200%,C95*60%-C86*35%,IF(C96&gt;=100%,C95*50%-C86*15%,IF(C96&gt;=50%,C95*40%-C86*5%,IF(C96&lt;50%,C95*30%,0))))),0)</f>
        <v>2761625</v>
      </c>
      <c r="D97" s="456" t="s">
        <v>121</v>
      </c>
      <c r="E97" s="255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5"/>
      <c r="G97" s="2655"/>
      <c r="H97" s="2670"/>
      <c r="I97" s="2745"/>
      <c r="J97" s="2746"/>
      <c r="K97" s="367"/>
      <c r="L97" s="367"/>
      <c r="M97" s="367"/>
      <c r="N97" s="367"/>
      <c r="O97" s="367"/>
      <c r="P97" s="367"/>
      <c r="Q97" s="367"/>
      <c r="R97" s="367"/>
      <c r="S97" s="367"/>
      <c r="T97" s="367"/>
      <c r="U97" s="367"/>
      <c r="V97" s="367"/>
      <c r="W97" s="367"/>
      <c r="X97" s="367"/>
      <c r="Y97" s="367"/>
      <c r="Z97" s="367"/>
      <c r="AA97" s="367"/>
      <c r="AB97" s="2741"/>
      <c r="AC97" s="2741"/>
      <c r="AD97" s="2741"/>
      <c r="AE97" s="2741"/>
      <c r="AF97" s="2741"/>
      <c r="AG97" s="2741"/>
      <c r="AH97" s="2741"/>
      <c r="AI97" s="2741"/>
      <c r="AJ97" s="2741"/>
    </row>
    <row r="98" customHeight="1" spans="1:9">
      <c r="A98" s="2517" t="s">
        <v>795</v>
      </c>
      <c r="B98" s="2433"/>
      <c r="C98" s="2433"/>
      <c r="D98" s="2433"/>
      <c r="E98" s="2671"/>
      <c r="F98" s="2671"/>
      <c r="G98" s="2671"/>
      <c r="H98" s="2672"/>
      <c r="I98" s="2433"/>
    </row>
    <row r="99" ht="15.75" spans="1:10">
      <c r="A99" s="2673" t="s">
        <v>796</v>
      </c>
      <c r="B99" s="2674"/>
      <c r="C99" s="2674"/>
      <c r="D99" s="2675"/>
      <c r="E99" s="2433"/>
      <c r="F99" s="2874" t="s">
        <v>797</v>
      </c>
      <c r="G99" s="2875"/>
      <c r="H99" s="2875"/>
      <c r="I99" s="2885"/>
      <c r="J99" s="2886"/>
    </row>
    <row r="100" ht="15" spans="1:10">
      <c r="A100" s="2678" t="s">
        <v>798</v>
      </c>
      <c r="B100" s="2679"/>
      <c r="C100" s="2686" t="str">
        <f>C4</f>
        <v>收益法</v>
      </c>
      <c r="D100" s="2687" t="str">
        <f>D4</f>
        <v>比较法-住宅</v>
      </c>
      <c r="E100" s="2433"/>
      <c r="F100" s="2682" t="s">
        <v>799</v>
      </c>
      <c r="G100" s="2683"/>
      <c r="H100" s="2682" t="s">
        <v>800</v>
      </c>
      <c r="I100" s="2749"/>
      <c r="J100" s="2750"/>
    </row>
    <row r="101" ht="13.5" spans="1:10">
      <c r="A101" s="551" t="s">
        <v>801</v>
      </c>
      <c r="B101" s="518" t="str">
        <f>IF(H19="元","总价（元）","总价（万元）")</f>
        <v>总价（元）</v>
      </c>
      <c r="C101" s="2686">
        <f ca="1">C19</f>
        <v>1662548</v>
      </c>
      <c r="D101" s="2687">
        <f ca="1">D19</f>
        <v>5683415</v>
      </c>
      <c r="E101" s="2433"/>
      <c r="F101" s="2682" t="str">
        <f>项目基本情况!I1</f>
        <v>北京市房地产</v>
      </c>
      <c r="G101" s="2683"/>
      <c r="H101" s="2690">
        <f>项目基本情况!C12</f>
        <v>134.71</v>
      </c>
      <c r="I101" s="2749"/>
      <c r="J101" s="2750"/>
    </row>
    <row r="102" ht="13.5" spans="1:10">
      <c r="A102" s="551"/>
      <c r="B102" s="518" t="s">
        <v>802</v>
      </c>
      <c r="C102" s="2691">
        <f ca="1">C20</f>
        <v>12342</v>
      </c>
      <c r="D102" s="2692">
        <f ca="1">D20</f>
        <v>42190</v>
      </c>
      <c r="E102" s="2433"/>
      <c r="F102" s="2640" t="s">
        <v>803</v>
      </c>
      <c r="G102" s="2327"/>
      <c r="H102" s="2693" t="str">
        <f>C106</f>
        <v>总价（元）</v>
      </c>
      <c r="I102" s="2710">
        <f ca="1">H121</f>
        <v>4879196</v>
      </c>
      <c r="J102" s="2750"/>
    </row>
    <row r="103" ht="13.5" spans="1:10">
      <c r="A103" s="551" t="s">
        <v>804</v>
      </c>
      <c r="B103" s="519" t="str">
        <f>B101</f>
        <v>总价（元）</v>
      </c>
      <c r="C103" s="2697">
        <f ca="1">H121</f>
        <v>4879196</v>
      </c>
      <c r="D103" s="2694"/>
      <c r="E103" s="2433"/>
      <c r="F103" s="2640"/>
      <c r="G103" s="2327"/>
      <c r="H103" s="2693" t="s">
        <v>802</v>
      </c>
      <c r="I103" s="2623">
        <f ca="1">I121</f>
        <v>36220</v>
      </c>
      <c r="J103" s="2567"/>
    </row>
    <row r="104" ht="14.25" spans="1:10">
      <c r="A104" s="567"/>
      <c r="B104" s="2702" t="s">
        <v>802</v>
      </c>
      <c r="C104" s="2703">
        <f ca="1">I121</f>
        <v>36220</v>
      </c>
      <c r="D104" s="2704"/>
      <c r="E104" s="2433"/>
      <c r="F104" s="2640"/>
      <c r="G104" s="2327"/>
      <c r="H104" s="2693"/>
      <c r="I104" s="2751"/>
      <c r="J104" s="2752"/>
    </row>
    <row r="105" ht="15" spans="1:10">
      <c r="A105" s="2673" t="s">
        <v>805</v>
      </c>
      <c r="B105" s="2674"/>
      <c r="C105" s="2674"/>
      <c r="D105" s="2675"/>
      <c r="E105" s="2433"/>
      <c r="F105" s="2699" t="s">
        <v>806</v>
      </c>
      <c r="G105" s="2700"/>
      <c r="H105" s="2701" t="str">
        <f>C108</f>
        <v>总额（元）</v>
      </c>
      <c r="I105" s="2710">
        <f>SUMIF(I106:I108,"&lt;9E307")</f>
        <v>0</v>
      </c>
      <c r="J105" s="2750"/>
    </row>
    <row r="106" ht="14.25" spans="1:17">
      <c r="A106" s="2640" t="s">
        <v>803</v>
      </c>
      <c r="B106" s="2327"/>
      <c r="C106" s="2693" t="str">
        <f>B101</f>
        <v>总价（元）</v>
      </c>
      <c r="D106" s="2710">
        <f ca="1">H121</f>
        <v>4879196</v>
      </c>
      <c r="E106" s="2433"/>
      <c r="F106" s="2705" t="s">
        <v>807</v>
      </c>
      <c r="G106" s="2706"/>
      <c r="H106" s="2701" t="str">
        <f>C109</f>
        <v>总额（元）</v>
      </c>
      <c r="I106" s="2753">
        <f>IF(D36="同一抵押权人同一抵押物续贷",C36&amp;"（续贷，未扣减，详见特别提示）",C36)</f>
        <v>0</v>
      </c>
      <c r="J106" s="2567"/>
      <c r="L106" s="2754" t="str">
        <f>IF(D123=0,"本次评估不存在"&amp;A123&amp;"。","本次评估"&amp;A123&amp;"为"&amp;D123&amp;"元人民币。")</f>
        <v>本次评估不存在估价师所知悉的法定优先受偿款。</v>
      </c>
      <c r="M106" s="2433"/>
      <c r="N106" s="2433"/>
      <c r="O106" s="2433"/>
      <c r="P106" s="2433"/>
      <c r="Q106" s="2433"/>
    </row>
    <row r="107" ht="13.5" spans="1:10">
      <c r="A107" s="2640"/>
      <c r="B107" s="2327"/>
      <c r="C107" s="2693" t="s">
        <v>802</v>
      </c>
      <c r="D107" s="2623">
        <f ca="1">I121</f>
        <v>36220</v>
      </c>
      <c r="E107" s="2433"/>
      <c r="F107" s="2705" t="s">
        <v>808</v>
      </c>
      <c r="G107" s="2706"/>
      <c r="H107" s="2701" t="str">
        <f>C110</f>
        <v>总额（元）</v>
      </c>
      <c r="I107" s="2623">
        <f>C37</f>
        <v>0</v>
      </c>
      <c r="J107" s="2567"/>
    </row>
    <row r="108" ht="13.5" spans="1:10">
      <c r="A108" s="2711" t="s">
        <v>806</v>
      </c>
      <c r="B108" s="2712"/>
      <c r="C108" s="2701" t="str">
        <f>IF(H19="元","总额（元）","总额（万元）")</f>
        <v>总额（元）</v>
      </c>
      <c r="D108" s="2710">
        <f>IF(D36="正常操作",I106+I107+I108,I107+I108)</f>
        <v>0</v>
      </c>
      <c r="E108" s="2433"/>
      <c r="F108" s="2705" t="s">
        <v>809</v>
      </c>
      <c r="G108" s="2706"/>
      <c r="H108" s="2701" t="str">
        <f>C111</f>
        <v>总额（元）</v>
      </c>
      <c r="I108" s="2623">
        <f>C38</f>
        <v>0</v>
      </c>
      <c r="J108" s="2567"/>
    </row>
    <row r="109" ht="13.5" spans="1:10">
      <c r="A109" s="2705" t="s">
        <v>807</v>
      </c>
      <c r="B109" s="2706"/>
      <c r="C109" s="2701" t="str">
        <f>C108</f>
        <v>总额（元）</v>
      </c>
      <c r="D109" s="2623">
        <f>IF(D36="同一抵押权人同一抵押物续贷",C36&amp;"（未扣减，详见特别提示）",C36)</f>
        <v>0</v>
      </c>
      <c r="E109" s="2433"/>
      <c r="F109" s="2640"/>
      <c r="G109" s="2327"/>
      <c r="H109" s="552"/>
      <c r="I109" s="2755"/>
      <c r="J109" s="2756"/>
    </row>
    <row r="110" ht="28.5" customHeight="1" spans="1:10">
      <c r="A110" s="2705" t="s">
        <v>808</v>
      </c>
      <c r="B110" s="2706"/>
      <c r="C110" s="2701" t="str">
        <f>C108</f>
        <v>总额（元）</v>
      </c>
      <c r="D110" s="2623">
        <f>C37</f>
        <v>0</v>
      </c>
      <c r="E110" s="2433"/>
      <c r="F110" s="2713" t="str">
        <f>IF(项目基本情况!F5="已注销","——","3.房地产抵押价值")</f>
        <v>3.房地产抵押价值</v>
      </c>
      <c r="G110" s="2522"/>
      <c r="H110" s="2876" t="str">
        <f>C112</f>
        <v>总价（元）</v>
      </c>
      <c r="I110" s="2710">
        <f ca="1">IF(F110="——","——",I102-I105)</f>
        <v>4879196</v>
      </c>
      <c r="J110" s="2750"/>
    </row>
    <row r="111" ht="13.5" spans="1:10">
      <c r="A111" s="2705" t="s">
        <v>809</v>
      </c>
      <c r="B111" s="2706"/>
      <c r="C111" s="2701" t="str">
        <f>C108</f>
        <v>总额（元）</v>
      </c>
      <c r="D111" s="2623">
        <f>C38</f>
        <v>0</v>
      </c>
      <c r="E111" s="2433"/>
      <c r="F111" s="2714"/>
      <c r="G111" s="2531"/>
      <c r="H111" s="2693" t="s">
        <v>802</v>
      </c>
      <c r="I111" s="2757">
        <f ca="1">D113</f>
        <v>36220</v>
      </c>
      <c r="J111" s="2758"/>
    </row>
    <row r="112" ht="26.25" customHeight="1" spans="1:10">
      <c r="A112" s="2640" t="str">
        <f>IF(项目基本情况!F5="已注销","——","3.房地产抵押价值")</f>
        <v>3.房地产抵押价值</v>
      </c>
      <c r="B112" s="2327"/>
      <c r="C112" s="2693" t="str">
        <f>B101</f>
        <v>总价（元）</v>
      </c>
      <c r="D112" s="2710">
        <f ca="1">IF(A112="——","——",D106-D108)</f>
        <v>4879196</v>
      </c>
      <c r="E112" s="2433"/>
      <c r="F112" s="2713" t="str">
        <f>IF(项目基本情况!F5="已注销及未注销","4.抵押担保权已注销时的房地产抵押价值",IF(项目基本情况!F5="已注销","3.抵押担保权已注销时的房地产抵押价值","——"))</f>
        <v>——</v>
      </c>
      <c r="G112" s="2522"/>
      <c r="H112" s="2876" t="str">
        <f>C114</f>
        <v>总价（元）</v>
      </c>
      <c r="I112" s="2710" t="str">
        <f ca="1">IF(F112="——","——",I102-I107-I108)</f>
        <v>——</v>
      </c>
      <c r="J112" s="2750"/>
    </row>
    <row r="113" ht="13.5" spans="1:10">
      <c r="A113" s="2640"/>
      <c r="B113" s="2327"/>
      <c r="C113" s="2693" t="s">
        <v>802</v>
      </c>
      <c r="D113" s="2623">
        <f ca="1">ROUND(IF(D112=D106,D107,IF(H19="元",D112/项目基本情况!C12,D112*10000/项目基本情况!C12)),0)</f>
        <v>36220</v>
      </c>
      <c r="E113" s="2433"/>
      <c r="F113" s="2714"/>
      <c r="G113" s="2531"/>
      <c r="H113" s="2693" t="s">
        <v>802</v>
      </c>
      <c r="I113" s="2623" t="str">
        <f ca="1">D115</f>
        <v>——</v>
      </c>
      <c r="J113" s="2567"/>
    </row>
    <row r="114" ht="13.5" spans="1:10">
      <c r="A114" s="2640" t="str">
        <f>IF(项目基本情况!F5="已注销及未注销","4.抵押担保权已注销时的房地产抵押价值",IF(项目基本情况!F5="已注销","3.抵押担保权已注销时的房地产抵押价值","——"))</f>
        <v>——</v>
      </c>
      <c r="B114" s="2327"/>
      <c r="C114" s="2693" t="str">
        <f>B101</f>
        <v>总价（元）</v>
      </c>
      <c r="D114" s="2710" t="str">
        <f ca="1">IF(A114="——","——",D106-D110-D111)</f>
        <v>——</v>
      </c>
      <c r="E114" s="2433"/>
      <c r="F114" s="2713" t="str">
        <f>IF(项目基本情况!G5="抵押净值",IF(OR(项目基本情况!F5="已注销",项目基本情况!F5="房地产抵押价值"),"4.抵押净值","5.抵押净值"),"——")</f>
        <v>——</v>
      </c>
      <c r="G114" s="2522"/>
      <c r="H114" s="2693" t="str">
        <f>C116</f>
        <v>总价（元）</v>
      </c>
      <c r="I114" s="2710" t="str">
        <f ca="1">IF(F114="——","——",O59)</f>
        <v>——</v>
      </c>
      <c r="J114" s="2750"/>
    </row>
    <row r="115" ht="14.25" spans="1:10">
      <c r="A115" s="2640"/>
      <c r="B115" s="2327"/>
      <c r="C115" s="2693" t="s">
        <v>802</v>
      </c>
      <c r="D115" s="2623" t="str">
        <f ca="1">IF(A114="——","——",ROUND(IF(D114=D106,D107,IF(H19="元",D114/项目基本情况!C12,D114*10000/项目基本情况!C12)),0))</f>
        <v>——</v>
      </c>
      <c r="E115" s="2433"/>
      <c r="F115" s="2715"/>
      <c r="G115" s="2716"/>
      <c r="H115" s="2717" t="s">
        <v>802</v>
      </c>
      <c r="I115" s="2721" t="str">
        <f ca="1">D117</f>
        <v>——</v>
      </c>
      <c r="J115" s="2567"/>
    </row>
    <row r="116" ht="15.75" spans="1:16">
      <c r="A116" s="2640" t="str">
        <f>IF(项目基本情况!G5="抵押净值",IF(OR(项目基本情况!F5="已注销",项目基本情况!F5="房地产抵押价值"),"4.抵押净值","5.抵押净值"),"——")</f>
        <v>——</v>
      </c>
      <c r="B116" s="2327"/>
      <c r="C116" s="2693" t="str">
        <f>B101</f>
        <v>总价（元）</v>
      </c>
      <c r="D116" s="2710" t="str">
        <f ca="1">IF(A116="——","——",O59)</f>
        <v>——</v>
      </c>
      <c r="E116" s="2433"/>
      <c r="F116" s="2718"/>
      <c r="G116" s="2718"/>
      <c r="H116" s="2719"/>
      <c r="I116" s="2719"/>
      <c r="J116" s="2759"/>
      <c r="O116" s="1709"/>
      <c r="P116" s="1709"/>
    </row>
    <row r="117" ht="14.25" spans="1:16">
      <c r="A117" s="2720"/>
      <c r="B117" s="2654"/>
      <c r="C117" s="2717" t="s">
        <v>802</v>
      </c>
      <c r="D117" s="2721" t="str">
        <f ca="1">IF(D116=D112,D113,IF(A116="——","——",O61))</f>
        <v>——</v>
      </c>
      <c r="E117" s="2433"/>
      <c r="F117" s="2877" t="str">
        <f>IF(B32="总价","（以上估价结果中单价为总价除以建筑面积得出）","（以上估价结果中总价为楼面单价乘以建筑面积得出）")</f>
        <v>（以上估价结果中总价为楼面单价乘以建筑面积得出）</v>
      </c>
      <c r="G117" s="2877"/>
      <c r="H117" s="2877"/>
      <c r="I117" s="2877"/>
      <c r="J117" s="2760"/>
      <c r="O117" s="1709"/>
      <c r="P117" s="1709"/>
    </row>
    <row r="118" ht="15" spans="1:10">
      <c r="A118" s="2722" t="s">
        <v>810</v>
      </c>
      <c r="B118" s="2723"/>
      <c r="C118" s="2723"/>
      <c r="D118" s="2723"/>
      <c r="E118" s="2723"/>
      <c r="F118" s="2723"/>
      <c r="G118" s="2723"/>
      <c r="H118" s="2723"/>
      <c r="I118" s="2723"/>
      <c r="J118" s="2761"/>
    </row>
    <row r="119" ht="13.5" spans="1:10">
      <c r="A119" s="2547" t="s">
        <v>811</v>
      </c>
      <c r="B119" s="2177" t="s">
        <v>358</v>
      </c>
      <c r="C119" s="2177" t="s">
        <v>812</v>
      </c>
      <c r="D119" s="2724" t="s">
        <v>813</v>
      </c>
      <c r="E119" s="2725"/>
      <c r="F119" s="2171" t="s">
        <v>655</v>
      </c>
      <c r="G119" s="2171"/>
      <c r="H119" s="2171" t="s">
        <v>814</v>
      </c>
      <c r="I119" s="2623"/>
      <c r="J119" s="2567"/>
    </row>
    <row r="120" ht="13.5" spans="1:10">
      <c r="A120" s="2547"/>
      <c r="B120" s="447"/>
      <c r="C120" s="447"/>
      <c r="D120" s="2171" t="s">
        <v>815</v>
      </c>
      <c r="E120" s="2171" t="s">
        <v>816</v>
      </c>
      <c r="F120" s="2171" t="s">
        <v>815</v>
      </c>
      <c r="G120" s="2171" t="s">
        <v>816</v>
      </c>
      <c r="H120" s="2171" t="s">
        <v>815</v>
      </c>
      <c r="I120" s="2623" t="s">
        <v>816</v>
      </c>
      <c r="J120" s="2567"/>
    </row>
    <row r="121" ht="13.5" spans="1:10">
      <c r="A121" s="2547" t="str">
        <f>项目基本情况!I1</f>
        <v>北京市房地产</v>
      </c>
      <c r="B121" s="2171">
        <f>项目基本情况!C12</f>
        <v>134.71</v>
      </c>
      <c r="C121" s="2171">
        <f>项目基本情况!C13</f>
        <v>0</v>
      </c>
      <c r="D121" s="2171">
        <f ca="1">ROUND(IF(B32="总价",C34,IF('数据-取费表'!B3="万元",E121*B121/10000,E121*B121)),0)</f>
        <v>3381221</v>
      </c>
      <c r="E121" s="2171">
        <f ca="1">ROUND(IF(B32="楼面单价",C34,IF(H19="元",D121/B121,D121*10000/B121)),0)</f>
        <v>25100</v>
      </c>
      <c r="F121" s="2171">
        <f ca="1">ROUND(IF(B32="总价",C35,IF('数据-取费表'!B3="万元",G121*B121/10000,G121*B121)),0)</f>
        <v>1497975</v>
      </c>
      <c r="G121" s="2171">
        <f ca="1">ROUND(IF(B32="楼面单价",C35,IF(H19="元",F121/B121,F121*10000/B121)),0)</f>
        <v>11120</v>
      </c>
      <c r="H121" s="2171">
        <f ca="1">ROUND(IF(B32="总价",C32,IF('数据-取费表'!B3="万元",I121*B121/10000,I121*B121)),0)</f>
        <v>4879196</v>
      </c>
      <c r="I121" s="2623">
        <f ca="1">ROUND(IF(B32="楼面单价",C32,IF(H19="元",H121/B121,H121*10000/B121)),0)</f>
        <v>36220</v>
      </c>
      <c r="J121" s="2567"/>
    </row>
    <row r="122" ht="13.5" spans="1:10">
      <c r="A122" s="2547" t="s">
        <v>817</v>
      </c>
      <c r="B122" s="2171"/>
      <c r="C122" s="2171"/>
      <c r="D122" s="2727" t="str">
        <f ca="1">IF(H19="元",NUMBERSTRING(INT(D121),2)&amp;"元整",NUMBERSTRING(INT(D121*10000),2)&amp;"元整")</f>
        <v>叁佰叁拾捌万壹仟贰佰贰拾壹元整</v>
      </c>
      <c r="E122" s="2728"/>
      <c r="F122" s="2727" t="str">
        <f ca="1">IF(H19="元",NUMBERSTRING(INT(F121),2)&amp;"元整",NUMBERSTRING(INT(F121*10000),2)&amp;"元整")</f>
        <v>壹佰肆拾玖万柒仟玖佰柒拾伍元整</v>
      </c>
      <c r="G122" s="2728"/>
      <c r="H122" s="2727" t="str">
        <f ca="1">IF(H19="元",NUMBERSTRING(INT(H121),2)&amp;"元整",NUMBERSTRING(INT(H121*10000),2)&amp;"元整")</f>
        <v>肆佰捌拾柒万玖仟壹佰玖拾陆元整</v>
      </c>
      <c r="I122" s="2762"/>
      <c r="J122" s="2763"/>
    </row>
    <row r="123" ht="13.5" spans="1:10">
      <c r="A123" s="2682" t="str">
        <f>IF(项目基本情况!D5="房地产市场价值","——",MID(A108,3,LEN(A108)-2))</f>
        <v>估价师所知悉的法定优先受偿款</v>
      </c>
      <c r="B123" s="2684"/>
      <c r="C123" s="2683"/>
      <c r="D123" s="2690">
        <f>I105</f>
        <v>0</v>
      </c>
      <c r="E123" s="2684"/>
      <c r="F123" s="2684"/>
      <c r="G123" s="2684"/>
      <c r="H123" s="2684"/>
      <c r="I123" s="2749"/>
      <c r="J123" s="2750"/>
    </row>
    <row r="124" ht="13.5" spans="1:10">
      <c r="A124" s="2729" t="s">
        <v>817</v>
      </c>
      <c r="B124" s="2150"/>
      <c r="C124" s="2550"/>
      <c r="D124" s="2730">
        <f>H109</f>
        <v>0</v>
      </c>
      <c r="E124" s="2731"/>
      <c r="F124" s="2731"/>
      <c r="G124" s="2731"/>
      <c r="H124" s="2731"/>
      <c r="I124" s="2764"/>
      <c r="J124" s="2765"/>
    </row>
    <row r="125" ht="13.5" spans="1:10">
      <c r="A125" s="2640" t="str">
        <f>IF(项目基本情况!D5="房地产市场价值","——",MID(A112,3,LEN(A112)-2))</f>
        <v>房地产抵押价值</v>
      </c>
      <c r="B125" s="2327"/>
      <c r="C125" s="2327"/>
      <c r="D125" s="2690">
        <f ca="1">I110</f>
        <v>4879196</v>
      </c>
      <c r="E125" s="2684"/>
      <c r="F125" s="2684"/>
      <c r="G125" s="2684"/>
      <c r="H125" s="2684"/>
      <c r="I125" s="2749"/>
      <c r="J125" s="2750"/>
    </row>
    <row r="126" ht="13.5" spans="1:10">
      <c r="A126" s="2547" t="s">
        <v>817</v>
      </c>
      <c r="B126" s="2171"/>
      <c r="C126" s="2171"/>
      <c r="D126" s="2730">
        <f ca="1">I111</f>
        <v>36220</v>
      </c>
      <c r="E126" s="2731"/>
      <c r="F126" s="2731"/>
      <c r="G126" s="2731"/>
      <c r="H126" s="2731"/>
      <c r="I126" s="2764"/>
      <c r="J126" s="2765"/>
    </row>
    <row r="127" ht="14.25" spans="1:10">
      <c r="A127" s="2640" t="str">
        <f>IF(项目基本情况!D5="房地产市场价值","——",MID(A114,3,LEN(A114)-2))</f>
        <v/>
      </c>
      <c r="B127" s="2327"/>
      <c r="C127" s="2327"/>
      <c r="D127" s="2520" t="str">
        <f ca="1">I112</f>
        <v>——</v>
      </c>
      <c r="E127" s="2521"/>
      <c r="F127" s="2521"/>
      <c r="G127" s="2521"/>
      <c r="H127" s="2521"/>
      <c r="I127" s="2788"/>
      <c r="J127" s="2750"/>
    </row>
    <row r="128" ht="15" spans="1:10">
      <c r="A128" s="2547" t="s">
        <v>817</v>
      </c>
      <c r="B128" s="2171"/>
      <c r="C128" s="2149"/>
      <c r="D128" s="2766" t="str">
        <f ca="1">I113</f>
        <v>——</v>
      </c>
      <c r="E128" s="2766"/>
      <c r="F128" s="2766"/>
      <c r="G128" s="2766"/>
      <c r="H128" s="2766"/>
      <c r="I128" s="2766"/>
      <c r="J128" s="2765"/>
    </row>
    <row r="129" ht="15" spans="1:10">
      <c r="A129" s="2640" t="str">
        <f>IF(项目基本情况!D5="房地产市场价值","——",MID(F114,3,LEN(F114)-2))</f>
        <v/>
      </c>
      <c r="B129" s="2327"/>
      <c r="C129" s="2690"/>
      <c r="D129" s="2767" t="str">
        <f ca="1">I114</f>
        <v>——</v>
      </c>
      <c r="E129" s="2767"/>
      <c r="F129" s="2767"/>
      <c r="G129" s="2767"/>
      <c r="H129" s="2767"/>
      <c r="I129" s="2767"/>
      <c r="J129" s="2750"/>
    </row>
    <row r="130" ht="15" spans="1:10">
      <c r="A130" s="2555" t="s">
        <v>817</v>
      </c>
      <c r="B130" s="2556"/>
      <c r="C130" s="2556"/>
      <c r="D130" s="2768">
        <f>H116</f>
        <v>0</v>
      </c>
      <c r="E130" s="2769"/>
      <c r="F130" s="2769"/>
      <c r="G130" s="2769"/>
      <c r="H130" s="2769"/>
      <c r="I130" s="2789"/>
      <c r="J130" s="2765"/>
    </row>
    <row r="131" ht="13.5" spans="1:10">
      <c r="A131" s="2515" t="str">
        <f>IF(H19="元","单位：平方米、元、元/平方米（币种：人民币）","单位：平方米、万元、元/平方米（币种：人民币）")</f>
        <v>单位：平方米、元、元/平方米（币种：人民币）</v>
      </c>
      <c r="B131" s="2515"/>
      <c r="C131" s="2515"/>
      <c r="D131" s="2515"/>
      <c r="E131" s="2515"/>
      <c r="F131" s="2515"/>
      <c r="G131" s="2515"/>
      <c r="H131" s="2515"/>
      <c r="I131" s="2515"/>
      <c r="J131" s="2790"/>
    </row>
    <row r="132" ht="14.25" spans="1:10">
      <c r="A132" s="2770" t="str">
        <f>IF(B32="总价","（以上估价结果中楼面单价为总价除以建筑面积得出）","（以上估价结果中总价为楼面单价乘以建筑面积得出）")</f>
        <v>（以上估价结果中总价为楼面单价乘以建筑面积得出）</v>
      </c>
      <c r="B132" s="2770"/>
      <c r="C132" s="2770"/>
      <c r="D132" s="2770"/>
      <c r="E132" s="2770"/>
      <c r="F132" s="2770"/>
      <c r="G132" s="2770"/>
      <c r="H132" s="2770"/>
      <c r="I132" s="2770"/>
      <c r="J132" s="2756"/>
    </row>
    <row r="133" customHeight="1" spans="1:10">
      <c r="A133" s="2771" t="s">
        <v>818</v>
      </c>
      <c r="B133" s="2772"/>
      <c r="C133" s="2773" t="s">
        <v>819</v>
      </c>
      <c r="D133" s="2774"/>
      <c r="E133" s="2774"/>
      <c r="F133" s="2774"/>
      <c r="G133" s="2774"/>
      <c r="H133" s="2775"/>
      <c r="I133" s="2791"/>
      <c r="J133" s="2792"/>
    </row>
    <row r="134" customHeight="1" spans="1:10">
      <c r="A134" s="2776">
        <v>1</v>
      </c>
      <c r="B134" s="2777"/>
      <c r="C134" s="2777"/>
      <c r="D134" s="2774"/>
      <c r="E134" s="2774"/>
      <c r="F134" s="2774"/>
      <c r="G134" s="2774"/>
      <c r="H134" s="2775"/>
      <c r="I134" s="2791"/>
      <c r="J134" s="2792"/>
    </row>
    <row r="135" customHeight="1" spans="1:10">
      <c r="A135" s="2776">
        <v>2</v>
      </c>
      <c r="B135" s="2777"/>
      <c r="C135" s="2777"/>
      <c r="D135" s="2774"/>
      <c r="E135" s="2774"/>
      <c r="F135" s="2774"/>
      <c r="G135" s="2774"/>
      <c r="H135" s="2775"/>
      <c r="I135" s="2791"/>
      <c r="J135" s="2792"/>
    </row>
    <row r="136" customHeight="1" spans="1:10">
      <c r="A136" s="2776">
        <v>3</v>
      </c>
      <c r="B136" s="2777"/>
      <c r="C136" s="2777"/>
      <c r="D136" s="2774"/>
      <c r="E136" s="2774"/>
      <c r="F136" s="1709"/>
      <c r="G136" s="1709"/>
      <c r="H136" s="1709"/>
      <c r="I136" s="1709"/>
      <c r="J136" s="2793"/>
    </row>
    <row r="137" customHeight="1" spans="1:10">
      <c r="A137" s="2778"/>
      <c r="B137" s="2779"/>
      <c r="C137" s="2779"/>
      <c r="D137" s="2780"/>
      <c r="E137" s="2780"/>
      <c r="F137" s="2780"/>
      <c r="G137" s="2780"/>
      <c r="H137" s="2781"/>
      <c r="I137" s="2794"/>
      <c r="J137" s="2792"/>
    </row>
    <row r="138" customHeight="1" spans="1:10">
      <c r="A138" s="2777"/>
      <c r="B138" s="2777"/>
      <c r="C138" s="2777"/>
      <c r="D138" s="2774"/>
      <c r="E138" s="2774"/>
      <c r="F138" s="2774"/>
      <c r="G138" s="2774"/>
      <c r="H138" s="2775"/>
      <c r="I138" s="1712"/>
      <c r="J138" s="2793"/>
    </row>
    <row r="139" customHeight="1" spans="1:10">
      <c r="A139" s="1712"/>
      <c r="B139" s="1712"/>
      <c r="C139" s="1712"/>
      <c r="D139" s="1712"/>
      <c r="E139" s="1712"/>
      <c r="F139" s="2782" t="s">
        <v>820</v>
      </c>
      <c r="G139" s="2783"/>
      <c r="H139" s="2783"/>
      <c r="I139" s="2795" t="s">
        <v>821</v>
      </c>
      <c r="J139" s="2796"/>
    </row>
    <row r="140" customHeight="1" spans="1:10">
      <c r="A140" s="1712"/>
      <c r="B140" s="2784" t="s">
        <v>822</v>
      </c>
      <c r="C140" s="1712"/>
      <c r="D140" s="1712"/>
      <c r="E140" s="1712"/>
      <c r="F140" s="1712"/>
      <c r="G140" s="1712"/>
      <c r="H140" s="1712"/>
      <c r="I140" s="1712"/>
      <c r="J140" s="2793"/>
    </row>
    <row r="141" customHeight="1" spans="1:10">
      <c r="A141" s="1712"/>
      <c r="B141" s="1712"/>
      <c r="C141" s="1712"/>
      <c r="D141" s="1712"/>
      <c r="E141" s="1712"/>
      <c r="F141" s="1712"/>
      <c r="G141" s="1712"/>
      <c r="H141" s="1712"/>
      <c r="I141" s="1712"/>
      <c r="J141" s="2793"/>
    </row>
    <row r="142" customHeight="1" spans="1:10">
      <c r="A142" s="1712"/>
      <c r="B142" s="2783"/>
      <c r="C142" s="2783"/>
      <c r="D142" s="2783"/>
      <c r="E142" s="2783"/>
      <c r="F142" s="2783"/>
      <c r="G142" s="2783"/>
      <c r="H142" s="2783"/>
      <c r="I142" s="2795" t="s">
        <v>823</v>
      </c>
      <c r="J142" s="2796"/>
    </row>
    <row r="143" customHeight="1" spans="1:10">
      <c r="A143" s="1712"/>
      <c r="B143" s="2784" t="s">
        <v>824</v>
      </c>
      <c r="C143" s="1712"/>
      <c r="D143" s="1712"/>
      <c r="E143" s="1712"/>
      <c r="F143" s="1712"/>
      <c r="G143" s="1712"/>
      <c r="H143" s="1712"/>
      <c r="I143" s="1712"/>
      <c r="J143" s="2793"/>
    </row>
    <row r="144" customHeight="1" spans="1:10">
      <c r="A144" s="1712"/>
      <c r="B144" s="2784"/>
      <c r="C144" s="1712"/>
      <c r="D144" s="1712"/>
      <c r="E144" s="1712"/>
      <c r="F144" s="1712"/>
      <c r="G144" s="1712"/>
      <c r="H144" s="1712"/>
      <c r="I144" s="1712"/>
      <c r="J144" s="2793"/>
    </row>
    <row r="145" customHeight="1" spans="1:10">
      <c r="A145" s="1712"/>
      <c r="B145" s="2783"/>
      <c r="C145" s="2783"/>
      <c r="D145" s="2783"/>
      <c r="E145" s="2783"/>
      <c r="F145" s="2783"/>
      <c r="G145" s="2783"/>
      <c r="H145" s="2783"/>
      <c r="I145" s="2795" t="s">
        <v>823</v>
      </c>
      <c r="J145" s="2796"/>
    </row>
    <row r="146" customHeight="1" spans="1:10">
      <c r="A146" s="1712"/>
      <c r="B146" s="2784"/>
      <c r="C146" s="2785"/>
      <c r="D146" s="2786"/>
      <c r="E146" s="2786"/>
      <c r="F146" s="2787"/>
      <c r="G146" s="1712"/>
      <c r="H146" s="1712"/>
      <c r="I146" s="1712"/>
      <c r="J146" s="2793"/>
    </row>
    <row r="147" s="1709" customFormat="1" customHeight="1" spans="1:36">
      <c r="A147" s="1712"/>
      <c r="B147" s="2784"/>
      <c r="C147" s="2785"/>
      <c r="D147" s="2786"/>
      <c r="E147" s="2786"/>
      <c r="F147" s="1712"/>
      <c r="G147" s="1712"/>
      <c r="H147" s="1712"/>
      <c r="I147" s="1712"/>
      <c r="J147" s="2793"/>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3"/>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3"/>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3"/>
    </row>
    <row r="151" s="1712" customFormat="1" customHeight="1" spans="10:10">
      <c r="J151" s="2793"/>
    </row>
    <row r="152" s="1712" customFormat="1" customHeight="1" spans="10:10">
      <c r="J152" s="2793"/>
    </row>
    <row r="153" s="1712" customFormat="1" customHeight="1" spans="10:10">
      <c r="J153" s="2793"/>
    </row>
    <row r="154" s="1712" customFormat="1" customHeight="1" spans="10:10">
      <c r="J154" s="2793"/>
    </row>
    <row r="155" s="1712" customFormat="1" customHeight="1" spans="10:10">
      <c r="J155" s="2793"/>
    </row>
    <row r="156" s="1712" customFormat="1" customHeight="1" spans="10:10">
      <c r="J156" s="2793"/>
    </row>
    <row r="157" s="1712" customFormat="1" customHeight="1" spans="10:10">
      <c r="J157" s="2793"/>
    </row>
    <row r="158" s="1712" customFormat="1" customHeight="1" spans="10:10">
      <c r="J158" s="2793"/>
    </row>
    <row r="159" s="1712" customFormat="1" customHeight="1" spans="10:10">
      <c r="J159" s="2793"/>
    </row>
    <row r="160" s="1712" customFormat="1" customHeight="1" spans="10:10">
      <c r="J160" s="2793"/>
    </row>
    <row r="161" s="1712" customFormat="1" customHeight="1" spans="10:10">
      <c r="J161" s="2793"/>
    </row>
    <row r="162" s="1712" customFormat="1" customHeight="1" spans="10:10">
      <c r="J162" s="2793"/>
    </row>
    <row r="163" s="1712" customFormat="1" customHeight="1" spans="10:10">
      <c r="J163" s="2793"/>
    </row>
    <row r="164" s="1712" customFormat="1" customHeight="1" spans="10:10">
      <c r="J164" s="2793"/>
    </row>
    <row r="165" s="1712" customFormat="1" customHeight="1" spans="10:10">
      <c r="J165" s="2793"/>
    </row>
    <row r="166" s="1712" customFormat="1" customHeight="1" spans="10:10">
      <c r="J166" s="2793"/>
    </row>
    <row r="167" s="1712" customFormat="1" customHeight="1" spans="10:10">
      <c r="J167" s="2793"/>
    </row>
    <row r="168" s="1712" customFormat="1" customHeight="1" spans="10:10">
      <c r="J168" s="2793"/>
    </row>
    <row r="169" s="1712" customFormat="1" customHeight="1" spans="10:10">
      <c r="J169" s="2793"/>
    </row>
    <row r="170" s="1712" customFormat="1" customHeight="1" spans="10:10">
      <c r="J170" s="2793"/>
    </row>
    <row r="171" s="1712" customFormat="1" customHeight="1" spans="10:10">
      <c r="J171" s="2793"/>
    </row>
    <row r="172" s="1712" customFormat="1" customHeight="1" spans="10:10">
      <c r="J172" s="2793"/>
    </row>
    <row r="173" s="1712" customFormat="1" customHeight="1" spans="10:10">
      <c r="J173" s="2793"/>
    </row>
    <row r="174" s="1712" customFormat="1" customHeight="1" spans="10:10">
      <c r="J174" s="2793"/>
    </row>
    <row r="175" s="1712" customFormat="1" customHeight="1" spans="10:10">
      <c r="J175" s="2793"/>
    </row>
    <row r="176" s="1712" customFormat="1" customHeight="1" spans="10:10">
      <c r="J176" s="2793"/>
    </row>
    <row r="177" s="1712" customFormat="1" customHeight="1" spans="10:10">
      <c r="J177" s="2793"/>
    </row>
    <row r="178" s="1712" customFormat="1" customHeight="1" spans="10:10">
      <c r="J178" s="2793"/>
    </row>
    <row r="179" s="1712" customFormat="1" customHeight="1" spans="10:10">
      <c r="J179" s="2793"/>
    </row>
    <row r="180" s="1712" customFormat="1" customHeight="1" spans="10:10">
      <c r="J180" s="2793"/>
    </row>
    <row r="181" s="1712" customFormat="1" customHeight="1" spans="10:10">
      <c r="J181" s="2793"/>
    </row>
    <row r="182" s="1712" customFormat="1" customHeight="1" spans="10:10">
      <c r="J182" s="2793"/>
    </row>
    <row r="183" s="1712" customFormat="1" customHeight="1" spans="10:10">
      <c r="J183" s="2793"/>
    </row>
    <row r="184" s="1712" customFormat="1" customHeight="1" spans="10:10">
      <c r="J184" s="2793"/>
    </row>
    <row r="185" s="1712" customFormat="1" customHeight="1" spans="10:10">
      <c r="J185" s="2793"/>
    </row>
    <row r="186" s="1712" customFormat="1" customHeight="1" spans="10:10">
      <c r="J186" s="2793"/>
    </row>
    <row r="187" s="1712" customFormat="1" customHeight="1" spans="10:10">
      <c r="J187" s="2793"/>
    </row>
    <row r="188" s="1712" customFormat="1" customHeight="1" spans="10:10">
      <c r="J188" s="2793"/>
    </row>
    <row r="189" s="1712" customFormat="1" customHeight="1" spans="10:10">
      <c r="J189" s="2793"/>
    </row>
    <row r="190" s="1712" customFormat="1" customHeight="1" spans="10:10">
      <c r="J190" s="2793"/>
    </row>
    <row r="191" s="1712" customFormat="1" customHeight="1" spans="10:10">
      <c r="J191" s="2793"/>
    </row>
    <row r="192" s="1712" customFormat="1" customHeight="1" spans="10:10">
      <c r="J192" s="2793"/>
    </row>
    <row r="193" s="1712" customFormat="1" customHeight="1" spans="10:10">
      <c r="J193" s="2793"/>
    </row>
    <row r="194" s="1712" customFormat="1" customHeight="1" spans="10:10">
      <c r="J194" s="2793"/>
    </row>
    <row r="195" s="1712" customFormat="1" customHeight="1" spans="10:10">
      <c r="J195" s="2793"/>
    </row>
    <row r="196" s="1712" customFormat="1" customHeight="1" spans="10:10">
      <c r="J196" s="2793"/>
    </row>
    <row r="197" s="1712" customFormat="1" customHeight="1" spans="10:10">
      <c r="J197" s="2793"/>
    </row>
    <row r="198" s="1712" customFormat="1" customHeight="1" spans="10:10">
      <c r="J198" s="2793"/>
    </row>
    <row r="199" s="1712" customFormat="1" customHeight="1" spans="10:10">
      <c r="J199" s="2793"/>
    </row>
    <row r="200" s="1712" customFormat="1" customHeight="1" spans="10:10">
      <c r="J200" s="2793"/>
    </row>
    <row r="201" s="1712" customFormat="1" customHeight="1" spans="10:10">
      <c r="J201" s="2793"/>
    </row>
    <row r="202" s="1712" customFormat="1" customHeight="1" spans="10:10">
      <c r="J202" s="2793"/>
    </row>
    <row r="203" s="1712" customFormat="1" customHeight="1" spans="10:10">
      <c r="J203" s="2793"/>
    </row>
    <row r="204" s="1712" customFormat="1" customHeight="1" spans="10:10">
      <c r="J204" s="2793"/>
    </row>
    <row r="205" s="1712" customFormat="1" customHeight="1" spans="10:10">
      <c r="J205" s="2793"/>
    </row>
    <row r="206" s="1712" customFormat="1" customHeight="1" spans="10:10">
      <c r="J206" s="2793"/>
    </row>
    <row r="207" s="1712" customFormat="1" customHeight="1" spans="10:10">
      <c r="J207" s="2793"/>
    </row>
    <row r="208" s="1712" customFormat="1" customHeight="1" spans="10:10">
      <c r="J208" s="2793"/>
    </row>
    <row r="209" s="1712" customFormat="1" customHeight="1" spans="10:10">
      <c r="J209" s="2793"/>
    </row>
    <row r="210" s="1712" customFormat="1" customHeight="1" spans="10:10">
      <c r="J210" s="2793"/>
    </row>
    <row r="211" s="1712" customFormat="1" customHeight="1" spans="10:10">
      <c r="J211" s="2793"/>
    </row>
    <row r="212" s="1712" customFormat="1" customHeight="1" spans="10:10">
      <c r="J212" s="2793"/>
    </row>
    <row r="213" s="1712" customFormat="1" customHeight="1" spans="10:10">
      <c r="J213" s="2793"/>
    </row>
    <row r="214" s="1712" customFormat="1" customHeight="1" spans="10:10">
      <c r="J214" s="2793"/>
    </row>
    <row r="215" s="1712" customFormat="1" customHeight="1" spans="10:10">
      <c r="J215" s="2793"/>
    </row>
    <row r="216" s="1712" customFormat="1" customHeight="1" spans="10:10">
      <c r="J216" s="2793"/>
    </row>
    <row r="217" s="1712" customFormat="1" customHeight="1" spans="10:10">
      <c r="J217" s="2793"/>
    </row>
    <row r="218" s="1712" customFormat="1" customHeight="1" spans="10:10">
      <c r="J218" s="2793"/>
    </row>
    <row r="219" s="1712" customFormat="1" customHeight="1" spans="10:10">
      <c r="J219" s="2793"/>
    </row>
    <row r="220" s="1712" customFormat="1" customHeight="1" spans="10:10">
      <c r="J220" s="2793"/>
    </row>
    <row r="221" s="1712" customFormat="1" customHeight="1" spans="10:10">
      <c r="J221" s="2793"/>
    </row>
    <row r="222" s="1712" customFormat="1" customHeight="1" spans="10:10">
      <c r="J222" s="2793"/>
    </row>
    <row r="223" s="1712" customFormat="1" customHeight="1" spans="10:10">
      <c r="J223" s="2793"/>
    </row>
    <row r="224" s="1712" customFormat="1" customHeight="1" spans="10:10">
      <c r="J224" s="2793"/>
    </row>
    <row r="225" s="1712" customFormat="1" customHeight="1" spans="10:10">
      <c r="J225" s="2793"/>
    </row>
    <row r="226" s="1712" customFormat="1" customHeight="1" spans="10:10">
      <c r="J226" s="2793"/>
    </row>
    <row r="227" s="1712" customFormat="1" customHeight="1" spans="10:10">
      <c r="J227" s="2793"/>
    </row>
    <row r="228" s="1712" customFormat="1" customHeight="1" spans="10:10">
      <c r="J228" s="2793"/>
    </row>
    <row r="229" s="1712" customFormat="1" customHeight="1" spans="10:10">
      <c r="J229" s="2793"/>
    </row>
    <row r="230" s="1712" customFormat="1" customHeight="1" spans="10:10">
      <c r="J230" s="2793"/>
    </row>
    <row r="231" s="1712" customFormat="1" customHeight="1" spans="10:10">
      <c r="J231" s="2793"/>
    </row>
    <row r="232" s="1712" customFormat="1" customHeight="1" spans="10:10">
      <c r="J232" s="2793"/>
    </row>
    <row r="233" s="1712" customFormat="1" customHeight="1" spans="10:10">
      <c r="J233" s="2793"/>
    </row>
    <row r="234" s="1712" customFormat="1" customHeight="1" spans="10:10">
      <c r="J234" s="2793"/>
    </row>
    <row r="235" s="1712" customFormat="1" customHeight="1" spans="10:10">
      <c r="J235" s="2793"/>
    </row>
    <row r="236" s="1712" customFormat="1" customHeight="1" spans="10:10">
      <c r="J236" s="2793"/>
    </row>
    <row r="237" s="1712" customFormat="1" customHeight="1" spans="10:10">
      <c r="J237" s="2793"/>
    </row>
    <row r="238" s="1712" customFormat="1" customHeight="1" spans="10:10">
      <c r="J238" s="2793"/>
    </row>
    <row r="239" s="1712" customFormat="1" customHeight="1" spans="10:10">
      <c r="J239" s="2793"/>
    </row>
    <row r="240" s="1712" customFormat="1" customHeight="1" spans="10:10">
      <c r="J240" s="2793"/>
    </row>
    <row r="241" s="1712" customFormat="1" customHeight="1" spans="10:10">
      <c r="J241" s="2793"/>
    </row>
    <row r="242" s="1712" customFormat="1" customHeight="1" spans="10:10">
      <c r="J242" s="2793"/>
    </row>
    <row r="243" s="1712" customFormat="1" customHeight="1" spans="10:10">
      <c r="J243" s="2793"/>
    </row>
    <row r="244" s="1712" customFormat="1" customHeight="1" spans="10:10">
      <c r="J244" s="2793"/>
    </row>
    <row r="245" s="1712" customFormat="1" customHeight="1" spans="10:10">
      <c r="J245" s="2793"/>
    </row>
    <row r="246" s="1712" customFormat="1" customHeight="1" spans="10:10">
      <c r="J246" s="2793"/>
    </row>
    <row r="247" s="1712" customFormat="1" customHeight="1" spans="10:10">
      <c r="J247" s="2793"/>
    </row>
    <row r="248" s="1712" customFormat="1" customHeight="1" spans="10:10">
      <c r="J248" s="2793"/>
    </row>
    <row r="249" s="1712" customFormat="1" customHeight="1" spans="10:10">
      <c r="J249" s="2793"/>
    </row>
    <row r="250" s="1712" customFormat="1" customHeight="1" spans="10:10">
      <c r="J250" s="2793"/>
    </row>
    <row r="251" s="1712" customFormat="1" customHeight="1" spans="10:10">
      <c r="J251" s="2793"/>
    </row>
    <row r="252" s="1712" customFormat="1" customHeight="1" spans="10:10">
      <c r="J252" s="2793"/>
    </row>
    <row r="253" s="1712" customFormat="1" customHeight="1" spans="10:10">
      <c r="J253" s="2793"/>
    </row>
    <row r="254" s="1712" customFormat="1" customHeight="1" spans="10:10">
      <c r="J254" s="2793"/>
    </row>
    <row r="255" s="1712" customFormat="1" customHeight="1" spans="10:10">
      <c r="J255" s="2793"/>
    </row>
    <row r="256" s="1712" customFormat="1" customHeight="1" spans="10:10">
      <c r="J256" s="2793"/>
    </row>
    <row r="257" s="1712" customFormat="1" customHeight="1" spans="10:10">
      <c r="J257" s="2793"/>
    </row>
    <row r="258" s="1712" customFormat="1" customHeight="1" spans="10:10">
      <c r="J258" s="2793"/>
    </row>
    <row r="259" s="1712" customFormat="1" customHeight="1" spans="10:10">
      <c r="J259" s="2793"/>
    </row>
    <row r="260" s="1712" customFormat="1" customHeight="1" spans="10:10">
      <c r="J260" s="2793"/>
    </row>
    <row r="261" s="1712" customFormat="1" customHeight="1" spans="10:10">
      <c r="J261" s="2793"/>
    </row>
    <row r="262" s="1712" customFormat="1" customHeight="1" spans="10:10">
      <c r="J262" s="2793"/>
    </row>
    <row r="263" s="1712" customFormat="1" customHeight="1" spans="10:10">
      <c r="J263" s="2793"/>
    </row>
    <row r="264" s="1712" customFormat="1" customHeight="1" spans="10:10">
      <c r="J264" s="2793"/>
    </row>
    <row r="265" s="1712" customFormat="1" customHeight="1" spans="10:10">
      <c r="J265" s="2793"/>
    </row>
    <row r="266" s="1712" customFormat="1" customHeight="1" spans="10:10">
      <c r="J266" s="2793"/>
    </row>
    <row r="267" s="1712" customFormat="1" customHeight="1" spans="10:10">
      <c r="J267" s="2793"/>
    </row>
    <row r="268" s="1712" customFormat="1" customHeight="1" spans="10:10">
      <c r="J268" s="2793"/>
    </row>
    <row r="269" s="1712" customFormat="1" customHeight="1" spans="10:10">
      <c r="J269" s="2793"/>
    </row>
    <row r="270" s="1712" customFormat="1" customHeight="1" spans="10:10">
      <c r="J270" s="2793"/>
    </row>
    <row r="271" s="1712" customFormat="1" customHeight="1" spans="10:10">
      <c r="J271" s="2793"/>
    </row>
    <row r="272" s="1712" customFormat="1" customHeight="1" spans="10:10">
      <c r="J272" s="2793"/>
    </row>
    <row r="273" s="1712" customFormat="1" customHeight="1" spans="10:10">
      <c r="J273" s="2793"/>
    </row>
    <row r="274" s="1712" customFormat="1" customHeight="1" spans="10:10">
      <c r="J274" s="2793"/>
    </row>
    <row r="275" s="1712" customFormat="1" customHeight="1" spans="10:10">
      <c r="J275" s="2793"/>
    </row>
    <row r="276" s="1712" customFormat="1" customHeight="1" spans="10:10">
      <c r="J276" s="2793"/>
    </row>
    <row r="277" s="1712" customFormat="1" customHeight="1" spans="10:10">
      <c r="J277" s="2793"/>
    </row>
    <row r="278" s="1712" customFormat="1" customHeight="1" spans="10:10">
      <c r="J278" s="2793"/>
    </row>
    <row r="279" s="1712" customFormat="1" customHeight="1" spans="10:10">
      <c r="J279" s="2793"/>
    </row>
    <row r="280" s="1712" customFormat="1" customHeight="1" spans="10:10">
      <c r="J280" s="2793"/>
    </row>
    <row r="281" s="1712" customFormat="1" customHeight="1" spans="10:10">
      <c r="J281" s="2793"/>
    </row>
    <row r="282" s="1712" customFormat="1" customHeight="1" spans="10:10">
      <c r="J282" s="2793"/>
    </row>
    <row r="283" s="1712" customFormat="1" customHeight="1" spans="10:10">
      <c r="J283" s="2793"/>
    </row>
    <row r="284" s="1712" customFormat="1" customHeight="1" spans="10:10">
      <c r="J284" s="2793"/>
    </row>
    <row r="285" s="1712" customFormat="1" customHeight="1" spans="10:10">
      <c r="J285" s="2793"/>
    </row>
    <row r="286" s="1712" customFormat="1" customHeight="1" spans="10:10">
      <c r="J286" s="2793"/>
    </row>
    <row r="287" s="1712" customFormat="1" customHeight="1" spans="10:10">
      <c r="J287" s="2793"/>
    </row>
    <row r="288" s="1712" customFormat="1" customHeight="1" spans="10:10">
      <c r="J288" s="2793"/>
    </row>
    <row r="289" s="1712" customFormat="1" customHeight="1" spans="10:10">
      <c r="J289" s="2793"/>
    </row>
    <row r="290" s="1712" customFormat="1" customHeight="1" spans="10:10">
      <c r="J290" s="2793"/>
    </row>
    <row r="291" s="1712" customFormat="1" customHeight="1" spans="10:10">
      <c r="J291" s="2793"/>
    </row>
    <row r="292" s="1712" customFormat="1" customHeight="1" spans="10:10">
      <c r="J292" s="2793"/>
    </row>
    <row r="293" s="1712" customFormat="1" customHeight="1" spans="10:10">
      <c r="J293" s="2793"/>
    </row>
    <row r="294" s="1712" customFormat="1" customHeight="1" spans="10:10">
      <c r="J294" s="2793"/>
    </row>
    <row r="295" s="1712" customFormat="1" customHeight="1" spans="10:10">
      <c r="J295" s="2793"/>
    </row>
    <row r="296" s="1712" customFormat="1" customHeight="1" spans="10:10">
      <c r="J296" s="2793"/>
    </row>
    <row r="297" s="1712" customFormat="1" customHeight="1" spans="10:10">
      <c r="J297" s="2793"/>
    </row>
    <row r="298" s="1712" customFormat="1" customHeight="1" spans="10:10">
      <c r="J298" s="2793"/>
    </row>
    <row r="299" s="1712" customFormat="1" customHeight="1" spans="10:10">
      <c r="J299" s="2793"/>
    </row>
    <row r="300" s="1712" customFormat="1" customHeight="1" spans="10:10">
      <c r="J300" s="2793"/>
    </row>
    <row r="301" s="1712" customFormat="1" customHeight="1" spans="10:10">
      <c r="J301" s="2793"/>
    </row>
    <row r="302" s="1712" customFormat="1" customHeight="1" spans="10:10">
      <c r="J302" s="2793"/>
    </row>
    <row r="303" s="1712" customFormat="1" customHeight="1" spans="10:10">
      <c r="J303" s="2793"/>
    </row>
    <row r="304" s="1712" customFormat="1" customHeight="1" spans="10:10">
      <c r="J304" s="2793"/>
    </row>
    <row r="305" s="1712" customFormat="1" customHeight="1" spans="10:10">
      <c r="J305" s="2793"/>
    </row>
    <row r="306" s="1712" customFormat="1" customHeight="1" spans="10:10">
      <c r="J306" s="2793"/>
    </row>
    <row r="307" s="1712" customFormat="1" customHeight="1" spans="10:10">
      <c r="J307" s="2793"/>
    </row>
    <row r="308" s="1712" customFormat="1" customHeight="1" spans="10:10">
      <c r="J308" s="2793"/>
    </row>
    <row r="309" s="1712" customFormat="1" customHeight="1" spans="10:10">
      <c r="J309" s="2793"/>
    </row>
    <row r="310" s="1712" customFormat="1" customHeight="1" spans="10:10">
      <c r="J310" s="2793"/>
    </row>
    <row r="311" s="1712" customFormat="1" customHeight="1" spans="10:10">
      <c r="J311" s="2793"/>
    </row>
    <row r="312" s="1712" customFormat="1" customHeight="1" spans="10:10">
      <c r="J312" s="2793"/>
    </row>
    <row r="313" s="1712" customFormat="1" customHeight="1" spans="10:10">
      <c r="J313" s="2793"/>
    </row>
    <row r="314" s="1712" customFormat="1" customHeight="1" spans="10:10">
      <c r="J314" s="2793"/>
    </row>
    <row r="315" s="1712" customFormat="1" customHeight="1" spans="10:10">
      <c r="J315" s="2793"/>
    </row>
    <row r="316" s="1712" customFormat="1" customHeight="1" spans="10:10">
      <c r="J316" s="2793"/>
    </row>
    <row r="317" s="1712" customFormat="1" customHeight="1" spans="10:10">
      <c r="J317" s="2793"/>
    </row>
    <row r="318" s="1712" customFormat="1" customHeight="1" spans="10:10">
      <c r="J318" s="2793"/>
    </row>
    <row r="319" s="1712" customFormat="1" customHeight="1" spans="10:10">
      <c r="J319" s="2793"/>
    </row>
    <row r="320" s="1712" customFormat="1" customHeight="1" spans="10:10">
      <c r="J320" s="2793"/>
    </row>
    <row r="321" s="1712" customFormat="1" customHeight="1" spans="10:10">
      <c r="J321" s="2793"/>
    </row>
    <row r="322" s="1712" customFormat="1" customHeight="1" spans="10:10">
      <c r="J322" s="2793"/>
    </row>
    <row r="323" s="1712" customFormat="1" customHeight="1" spans="10:10">
      <c r="J323" s="2793"/>
    </row>
    <row r="324" s="1712" customFormat="1" customHeight="1" spans="10:10">
      <c r="J324" s="2793"/>
    </row>
    <row r="325" s="1712" customFormat="1" customHeight="1" spans="10:10">
      <c r="J325" s="2793"/>
    </row>
    <row r="326" s="1712" customFormat="1" customHeight="1" spans="10:10">
      <c r="J326" s="2793"/>
    </row>
    <row r="327" s="1712" customFormat="1" customHeight="1" spans="10:10">
      <c r="J327" s="2793"/>
    </row>
    <row r="328" s="1712" customFormat="1" customHeight="1" spans="10:10">
      <c r="J328" s="2793"/>
    </row>
    <row r="329" s="1712" customFormat="1" customHeight="1" spans="10:10">
      <c r="J329" s="2793"/>
    </row>
    <row r="330" s="1712" customFormat="1" customHeight="1" spans="10:10">
      <c r="J330" s="2793"/>
    </row>
    <row r="331" s="1712" customFormat="1" customHeight="1" spans="10:10">
      <c r="J331" s="2793"/>
    </row>
    <row r="332" s="1712" customFormat="1" customHeight="1" spans="10:10">
      <c r="J332" s="2793"/>
    </row>
    <row r="333" s="1712" customFormat="1" customHeight="1" spans="10:10">
      <c r="J333" s="2793"/>
    </row>
    <row r="334" s="1712" customFormat="1" customHeight="1" spans="10:10">
      <c r="J334" s="2793"/>
    </row>
    <row r="335" s="1712" customFormat="1" customHeight="1" spans="10:10">
      <c r="J335" s="2793"/>
    </row>
    <row r="336" s="1712" customFormat="1" customHeight="1" spans="10:10">
      <c r="J336" s="2793"/>
    </row>
    <row r="337" s="1712" customFormat="1" customHeight="1" spans="10:10">
      <c r="J337" s="2793"/>
    </row>
    <row r="338" s="1712" customFormat="1" customHeight="1" spans="10:10">
      <c r="J338" s="2793"/>
    </row>
    <row r="339" s="1712" customFormat="1" customHeight="1" spans="10:10">
      <c r="J339" s="2793"/>
    </row>
    <row r="340" s="1712" customFormat="1" customHeight="1" spans="10:10">
      <c r="J340" s="2793"/>
    </row>
    <row r="341" s="1712" customFormat="1" customHeight="1" spans="10:10">
      <c r="J341" s="2793"/>
    </row>
    <row r="342" s="1712" customFormat="1" customHeight="1" spans="10:10">
      <c r="J342" s="2793"/>
    </row>
    <row r="343" s="1712" customFormat="1" customHeight="1" spans="10:10">
      <c r="J343" s="2793"/>
    </row>
    <row r="344" s="1712" customFormat="1" customHeight="1" spans="10:10">
      <c r="J344" s="2793"/>
    </row>
    <row r="345" s="1712" customFormat="1" customHeight="1" spans="10:10">
      <c r="J345" s="2793"/>
    </row>
    <row r="346" s="1712" customFormat="1" customHeight="1" spans="10:10">
      <c r="J346" s="2793"/>
    </row>
    <row r="347" s="1712" customFormat="1" customHeight="1" spans="10:10">
      <c r="J347" s="2793"/>
    </row>
    <row r="348" s="1712" customFormat="1" customHeight="1" spans="10:10">
      <c r="J348" s="2793"/>
    </row>
    <row r="349" s="1712" customFormat="1" customHeight="1" spans="10:10">
      <c r="J349" s="2793"/>
    </row>
    <row r="350" s="1712" customFormat="1" customHeight="1" spans="10:10">
      <c r="J350" s="2793"/>
    </row>
    <row r="351" s="1712" customFormat="1" customHeight="1" spans="10:10">
      <c r="J351" s="2793"/>
    </row>
    <row r="352" s="1712" customFormat="1" customHeight="1" spans="10:10">
      <c r="J352" s="2793"/>
    </row>
    <row r="353" s="1712" customFormat="1" customHeight="1" spans="10:10">
      <c r="J353" s="2793"/>
    </row>
    <row r="354" s="1712" customFormat="1" customHeight="1" spans="10:10">
      <c r="J354" s="2793"/>
    </row>
    <row r="355" s="1712" customFormat="1" customHeight="1" spans="10:10">
      <c r="J355" s="2793"/>
    </row>
    <row r="356" s="1712" customFormat="1" customHeight="1" spans="10:10">
      <c r="J356" s="2793"/>
    </row>
    <row r="357" s="1712" customFormat="1" customHeight="1" spans="10:10">
      <c r="J357" s="2793"/>
    </row>
    <row r="358" s="1712" customFormat="1" customHeight="1" spans="10:10">
      <c r="J358" s="2793"/>
    </row>
    <row r="359" s="1712" customFormat="1" customHeight="1" spans="10:10">
      <c r="J359" s="2793"/>
    </row>
    <row r="360" s="1712" customFormat="1" customHeight="1" spans="10:10">
      <c r="J360" s="2793"/>
    </row>
    <row r="361" s="1712" customFormat="1" customHeight="1" spans="10:10">
      <c r="J361" s="2793"/>
    </row>
    <row r="362" s="1712" customFormat="1" customHeight="1" spans="10:10">
      <c r="J362" s="2793"/>
    </row>
    <row r="363" s="1712" customFormat="1" customHeight="1" spans="10:10">
      <c r="J363" s="2793"/>
    </row>
    <row r="364" s="1712" customFormat="1" customHeight="1" spans="10:10">
      <c r="J364" s="2793"/>
    </row>
    <row r="365" s="1712" customFormat="1" customHeight="1" spans="10:10">
      <c r="J365" s="2793"/>
    </row>
    <row r="366" s="1712" customFormat="1" customHeight="1" spans="10:10">
      <c r="J366" s="2793"/>
    </row>
    <row r="367" s="1712" customFormat="1" customHeight="1" spans="10:10">
      <c r="J367" s="2793"/>
    </row>
    <row r="368" s="1712" customFormat="1" customHeight="1" spans="10:10">
      <c r="J368" s="2793"/>
    </row>
    <row r="369" s="1712" customFormat="1" customHeight="1" spans="10:10">
      <c r="J369" s="2793"/>
    </row>
    <row r="370" s="1712" customFormat="1" customHeight="1" spans="10:10">
      <c r="J370" s="2793"/>
    </row>
    <row r="371" s="1712" customFormat="1" customHeight="1" spans="10:10">
      <c r="J371" s="2793"/>
    </row>
    <row r="372" s="1712" customFormat="1" customHeight="1" spans="10:10">
      <c r="J372" s="2793"/>
    </row>
    <row r="373" s="1712" customFormat="1" customHeight="1" spans="10:10">
      <c r="J373" s="2793"/>
    </row>
    <row r="374" s="1712" customFormat="1" customHeight="1" spans="10:10">
      <c r="J374" s="2793"/>
    </row>
    <row r="375" s="1712" customFormat="1" customHeight="1" spans="10:10">
      <c r="J375" s="2793"/>
    </row>
    <row r="376" s="1712" customFormat="1" customHeight="1" spans="10:10">
      <c r="J376" s="2793"/>
    </row>
    <row r="377" s="1712" customFormat="1" customHeight="1" spans="10:10">
      <c r="J377" s="2793"/>
    </row>
    <row r="378" s="1712" customFormat="1" customHeight="1" spans="10:10">
      <c r="J378" s="2793"/>
    </row>
    <row r="379" s="1712" customFormat="1" customHeight="1" spans="10:10">
      <c r="J379" s="2793"/>
    </row>
    <row r="380" s="1712" customFormat="1" customHeight="1" spans="10:10">
      <c r="J380" s="2793"/>
    </row>
    <row r="381" s="1712" customFormat="1" customHeight="1" spans="10:10">
      <c r="J381" s="2793"/>
    </row>
    <row r="382" s="1712" customFormat="1" customHeight="1" spans="10:10">
      <c r="J382" s="2793"/>
    </row>
    <row r="383" s="1712" customFormat="1" customHeight="1" spans="10:10">
      <c r="J383" s="2793"/>
    </row>
    <row r="384" s="1712" customFormat="1" customHeight="1" spans="10:10">
      <c r="J384" s="2793"/>
    </row>
    <row r="385" s="1712" customFormat="1" customHeight="1" spans="10:10">
      <c r="J385" s="2793"/>
    </row>
    <row r="386" s="1712" customFormat="1" customHeight="1" spans="10:10">
      <c r="J386" s="2793"/>
    </row>
    <row r="387" s="1712" customFormat="1" customHeight="1" spans="10:10">
      <c r="J387" s="2793"/>
    </row>
    <row r="388" s="1712" customFormat="1" customHeight="1" spans="10:10">
      <c r="J388" s="2793"/>
    </row>
    <row r="389" s="1712" customFormat="1" customHeight="1" spans="10:10">
      <c r="J389" s="2793"/>
    </row>
    <row r="390" s="1712" customFormat="1" customHeight="1" spans="10:10">
      <c r="J390" s="2793"/>
    </row>
    <row r="391" s="1712" customFormat="1" customHeight="1" spans="10:10">
      <c r="J391" s="2793"/>
    </row>
    <row r="392" s="1712" customFormat="1" customHeight="1" spans="10:10">
      <c r="J392" s="2793"/>
    </row>
    <row r="393" s="1712" customFormat="1" customHeight="1" spans="10:10">
      <c r="J393" s="2793"/>
    </row>
    <row r="394" s="1712" customFormat="1" customHeight="1" spans="10:10">
      <c r="J394" s="2793"/>
    </row>
    <row r="395" s="1712" customFormat="1" customHeight="1" spans="10:10">
      <c r="J395" s="2793"/>
    </row>
    <row r="396" s="1712" customFormat="1" customHeight="1" spans="10:10">
      <c r="J396" s="2793"/>
    </row>
    <row r="397" s="1712" customFormat="1" customHeight="1" spans="10:10">
      <c r="J397" s="2793"/>
    </row>
    <row r="398" s="1712" customFormat="1" customHeight="1" spans="10:10">
      <c r="J398" s="2793"/>
    </row>
    <row r="399" s="1712" customFormat="1" customHeight="1" spans="10:10">
      <c r="J399" s="2793"/>
    </row>
    <row r="400" s="1712" customFormat="1" customHeight="1" spans="10:10">
      <c r="J400" s="2793"/>
    </row>
    <row r="401" s="1712" customFormat="1" customHeight="1" spans="10:10">
      <c r="J401" s="2793"/>
    </row>
    <row r="402" s="1712" customFormat="1" customHeight="1" spans="10:10">
      <c r="J402" s="2793"/>
    </row>
    <row r="403" s="2429" customFormat="1" customHeight="1" spans="10:27">
      <c r="J403" s="2431"/>
      <c r="K403" s="1712"/>
      <c r="L403" s="1712"/>
      <c r="M403" s="1712"/>
      <c r="N403" s="1712"/>
      <c r="O403" s="1712"/>
      <c r="P403" s="1712"/>
      <c r="Q403" s="1712"/>
      <c r="R403" s="1712"/>
      <c r="S403" s="1712"/>
      <c r="T403" s="1712"/>
      <c r="U403" s="1712"/>
      <c r="V403" s="1712"/>
      <c r="W403" s="1712"/>
      <c r="X403" s="1712"/>
      <c r="Y403" s="1712"/>
      <c r="Z403" s="1712"/>
      <c r="AA403" s="1712"/>
    </row>
    <row r="404" s="2429" customFormat="1" customHeight="1" spans="10:27">
      <c r="J404" s="2431"/>
      <c r="K404" s="1712"/>
      <c r="L404" s="1712"/>
      <c r="M404" s="1712"/>
      <c r="N404" s="1712"/>
      <c r="O404" s="1712"/>
      <c r="P404" s="1712"/>
      <c r="Q404" s="1712"/>
      <c r="R404" s="1712"/>
      <c r="S404" s="1712"/>
      <c r="T404" s="1712"/>
      <c r="U404" s="1712"/>
      <c r="V404" s="1712"/>
      <c r="W404" s="1712"/>
      <c r="X404" s="1712"/>
      <c r="Y404" s="1712"/>
      <c r="Z404" s="1712"/>
      <c r="AA404" s="1712"/>
    </row>
    <row r="405" s="2429" customFormat="1" customHeight="1" spans="10:27">
      <c r="J405" s="2431"/>
      <c r="K405" s="1712"/>
      <c r="L405" s="1712"/>
      <c r="M405" s="1712"/>
      <c r="N405" s="1712"/>
      <c r="O405" s="1712"/>
      <c r="P405" s="1712"/>
      <c r="Q405" s="1712"/>
      <c r="R405" s="1712"/>
      <c r="S405" s="1712"/>
      <c r="T405" s="1712"/>
      <c r="U405" s="1712"/>
      <c r="V405" s="1712"/>
      <c r="W405" s="1712"/>
      <c r="X405" s="1712"/>
      <c r="Y405" s="1712"/>
      <c r="Z405" s="1712"/>
      <c r="AA405" s="1712"/>
    </row>
    <row r="406" s="2429" customFormat="1" customHeight="1" spans="10:27">
      <c r="J406" s="2431"/>
      <c r="K406" s="1712"/>
      <c r="L406" s="1712"/>
      <c r="M406" s="1712"/>
      <c r="N406" s="1712"/>
      <c r="O406" s="1712"/>
      <c r="P406" s="1712"/>
      <c r="Q406" s="1712"/>
      <c r="R406" s="1712"/>
      <c r="S406" s="1712"/>
      <c r="T406" s="1712"/>
      <c r="U406" s="1712"/>
      <c r="V406" s="1712"/>
      <c r="W406" s="1712"/>
      <c r="X406" s="1712"/>
      <c r="Y406" s="1712"/>
      <c r="Z406" s="1712"/>
      <c r="AA406" s="1712"/>
    </row>
    <row r="407" s="2429" customFormat="1" customHeight="1" spans="10:27">
      <c r="J407" s="2431"/>
      <c r="K407" s="1712"/>
      <c r="L407" s="1712"/>
      <c r="M407" s="1712"/>
      <c r="N407" s="1712"/>
      <c r="O407" s="1712"/>
      <c r="P407" s="1712"/>
      <c r="Q407" s="1712"/>
      <c r="R407" s="1712"/>
      <c r="S407" s="1712"/>
      <c r="T407" s="1712"/>
      <c r="U407" s="1712"/>
      <c r="V407" s="1712"/>
      <c r="W407" s="1712"/>
      <c r="X407" s="1712"/>
      <c r="Y407" s="1712"/>
      <c r="Z407" s="1712"/>
      <c r="AA407" s="1712"/>
    </row>
    <row r="408" s="2429" customFormat="1" customHeight="1" spans="10:27">
      <c r="J408" s="2431"/>
      <c r="K408" s="1712"/>
      <c r="L408" s="1712"/>
      <c r="M408" s="1712"/>
      <c r="N408" s="1712"/>
      <c r="O408" s="1712"/>
      <c r="P408" s="1712"/>
      <c r="Q408" s="1712"/>
      <c r="R408" s="1712"/>
      <c r="S408" s="1712"/>
      <c r="T408" s="1712"/>
      <c r="U408" s="1712"/>
      <c r="V408" s="1712"/>
      <c r="W408" s="1712"/>
      <c r="X408" s="1712"/>
      <c r="Y408" s="1712"/>
      <c r="Z408" s="1712"/>
      <c r="AA408" s="1712"/>
    </row>
    <row r="409" s="2429" customFormat="1" customHeight="1" spans="10:27">
      <c r="J409" s="2431"/>
      <c r="K409" s="1712"/>
      <c r="L409" s="1712"/>
      <c r="M409" s="1712"/>
      <c r="N409" s="1712"/>
      <c r="O409" s="1712"/>
      <c r="P409" s="1712"/>
      <c r="Q409" s="1712"/>
      <c r="R409" s="1712"/>
      <c r="S409" s="1712"/>
      <c r="T409" s="1712"/>
      <c r="U409" s="1712"/>
      <c r="V409" s="1712"/>
      <c r="W409" s="1712"/>
      <c r="X409" s="1712"/>
      <c r="Y409" s="1712"/>
      <c r="Z409" s="1712"/>
      <c r="AA409" s="1712"/>
    </row>
    <row r="410" s="2429" customFormat="1" customHeight="1" spans="10:27">
      <c r="J410" s="2431"/>
      <c r="K410" s="1712"/>
      <c r="L410" s="1712"/>
      <c r="M410" s="1712"/>
      <c r="N410" s="1712"/>
      <c r="O410" s="1712"/>
      <c r="P410" s="1712"/>
      <c r="Q410" s="1712"/>
      <c r="R410" s="1712"/>
      <c r="S410" s="1712"/>
      <c r="T410" s="1712"/>
      <c r="U410" s="1712"/>
      <c r="V410" s="1712"/>
      <c r="W410" s="1712"/>
      <c r="X410" s="1712"/>
      <c r="Y410" s="1712"/>
      <c r="Z410" s="1712"/>
      <c r="AA410" s="1712"/>
    </row>
    <row r="411" s="2429" customFormat="1" customHeight="1" spans="10:27">
      <c r="J411" s="2431"/>
      <c r="K411" s="1712"/>
      <c r="L411" s="1712"/>
      <c r="M411" s="1712"/>
      <c r="N411" s="1712"/>
      <c r="O411" s="1712"/>
      <c r="P411" s="1712"/>
      <c r="Q411" s="1712"/>
      <c r="R411" s="1712"/>
      <c r="S411" s="1712"/>
      <c r="T411" s="1712"/>
      <c r="U411" s="1712"/>
      <c r="V411" s="1712"/>
      <c r="W411" s="1712"/>
      <c r="X411" s="1712"/>
      <c r="Y411" s="1712"/>
      <c r="Z411" s="1712"/>
      <c r="AA411" s="1712"/>
    </row>
    <row r="412" s="2429" customFormat="1" customHeight="1" spans="10:27">
      <c r="J412" s="2431"/>
      <c r="K412" s="1712"/>
      <c r="L412" s="1712"/>
      <c r="M412" s="1712"/>
      <c r="N412" s="1712"/>
      <c r="O412" s="1712"/>
      <c r="P412" s="1712"/>
      <c r="Q412" s="1712"/>
      <c r="R412" s="1712"/>
      <c r="S412" s="1712"/>
      <c r="T412" s="1712"/>
      <c r="U412" s="1712"/>
      <c r="V412" s="1712"/>
      <c r="W412" s="1712"/>
      <c r="X412" s="1712"/>
      <c r="Y412" s="1712"/>
      <c r="Z412" s="1712"/>
      <c r="AA412" s="1712"/>
    </row>
    <row r="413" s="2429" customFormat="1" customHeight="1" spans="10:27">
      <c r="J413" s="2431"/>
      <c r="K413" s="1712"/>
      <c r="L413" s="1712"/>
      <c r="M413" s="1712"/>
      <c r="N413" s="1712"/>
      <c r="O413" s="1712"/>
      <c r="P413" s="1712"/>
      <c r="Q413" s="1712"/>
      <c r="R413" s="1712"/>
      <c r="S413" s="1712"/>
      <c r="T413" s="1712"/>
      <c r="U413" s="1712"/>
      <c r="V413" s="1712"/>
      <c r="W413" s="1712"/>
      <c r="X413" s="1712"/>
      <c r="Y413" s="1712"/>
      <c r="Z413" s="1712"/>
      <c r="AA413" s="1712"/>
    </row>
    <row r="414" s="2429" customFormat="1" customHeight="1" spans="10:27">
      <c r="J414" s="2431"/>
      <c r="K414" s="1712"/>
      <c r="L414" s="1712"/>
      <c r="M414" s="1712"/>
      <c r="N414" s="1712"/>
      <c r="O414" s="1712"/>
      <c r="P414" s="1712"/>
      <c r="Q414" s="1712"/>
      <c r="R414" s="1712"/>
      <c r="S414" s="1712"/>
      <c r="T414" s="1712"/>
      <c r="U414" s="1712"/>
      <c r="V414" s="1712"/>
      <c r="W414" s="1712"/>
      <c r="X414" s="1712"/>
      <c r="Y414" s="1712"/>
      <c r="Z414" s="1712"/>
      <c r="AA414" s="1712"/>
    </row>
    <row r="415" s="2429" customFormat="1" customHeight="1" spans="10:27">
      <c r="J415" s="2431"/>
      <c r="K415" s="1712"/>
      <c r="L415" s="1712"/>
      <c r="M415" s="1712"/>
      <c r="N415" s="1712"/>
      <c r="O415" s="1712"/>
      <c r="P415" s="1712"/>
      <c r="Q415" s="1712"/>
      <c r="R415" s="1712"/>
      <c r="S415" s="1712"/>
      <c r="T415" s="1712"/>
      <c r="U415" s="1712"/>
      <c r="V415" s="1712"/>
      <c r="W415" s="1712"/>
      <c r="X415" s="1712"/>
      <c r="Y415" s="1712"/>
      <c r="Z415" s="1712"/>
      <c r="AA415" s="1712"/>
    </row>
    <row r="416" s="2429" customFormat="1" customHeight="1" spans="10:27">
      <c r="J416" s="2431"/>
      <c r="K416" s="1712"/>
      <c r="L416" s="1712"/>
      <c r="M416" s="1712"/>
      <c r="N416" s="1712"/>
      <c r="O416" s="1712"/>
      <c r="P416" s="1712"/>
      <c r="Q416" s="1712"/>
      <c r="R416" s="1712"/>
      <c r="S416" s="1712"/>
      <c r="T416" s="1712"/>
      <c r="U416" s="1712"/>
      <c r="V416" s="1712"/>
      <c r="W416" s="1712"/>
      <c r="X416" s="1712"/>
      <c r="Y416" s="1712"/>
      <c r="Z416" s="1712"/>
      <c r="AA416" s="1712"/>
    </row>
    <row r="417" s="2429" customFormat="1" customHeight="1" spans="10:27">
      <c r="J417" s="2431"/>
      <c r="K417" s="1712"/>
      <c r="L417" s="1712"/>
      <c r="M417" s="1712"/>
      <c r="N417" s="1712"/>
      <c r="O417" s="1712"/>
      <c r="P417" s="1712"/>
      <c r="Q417" s="1712"/>
      <c r="R417" s="1712"/>
      <c r="S417" s="1712"/>
      <c r="T417" s="1712"/>
      <c r="U417" s="1712"/>
      <c r="V417" s="1712"/>
      <c r="W417" s="1712"/>
      <c r="X417" s="1712"/>
      <c r="Y417" s="1712"/>
      <c r="Z417" s="1712"/>
      <c r="AA417" s="1712"/>
    </row>
    <row r="418" s="2429" customFormat="1" customHeight="1" spans="10:27">
      <c r="J418" s="2431"/>
      <c r="K418" s="1712"/>
      <c r="L418" s="1712"/>
      <c r="M418" s="1712"/>
      <c r="N418" s="1712"/>
      <c r="O418" s="1712"/>
      <c r="P418" s="1712"/>
      <c r="Q418" s="1712"/>
      <c r="R418" s="1712"/>
      <c r="S418" s="1712"/>
      <c r="T418" s="1712"/>
      <c r="U418" s="1712"/>
      <c r="V418" s="1712"/>
      <c r="W418" s="1712"/>
      <c r="X418" s="1712"/>
      <c r="Y418" s="1712"/>
      <c r="Z418" s="1712"/>
      <c r="AA418" s="1712"/>
    </row>
    <row r="419" s="2429" customFormat="1" customHeight="1" spans="10:27">
      <c r="J419" s="2431"/>
      <c r="K419" s="1712"/>
      <c r="L419" s="1712"/>
      <c r="M419" s="1712"/>
      <c r="N419" s="1712"/>
      <c r="O419" s="1712"/>
      <c r="P419" s="1712"/>
      <c r="Q419" s="1712"/>
      <c r="R419" s="1712"/>
      <c r="S419" s="1712"/>
      <c r="T419" s="1712"/>
      <c r="U419" s="1712"/>
      <c r="V419" s="1712"/>
      <c r="W419" s="1712"/>
      <c r="X419" s="1712"/>
      <c r="Y419" s="1712"/>
      <c r="Z419" s="1712"/>
      <c r="AA419" s="1712"/>
    </row>
    <row r="420" s="2429" customFormat="1" customHeight="1" spans="10:27">
      <c r="J420" s="2431"/>
      <c r="K420" s="1712"/>
      <c r="L420" s="1712"/>
      <c r="M420" s="1712"/>
      <c r="N420" s="1712"/>
      <c r="O420" s="1712"/>
      <c r="P420" s="1712"/>
      <c r="Q420" s="1712"/>
      <c r="R420" s="1712"/>
      <c r="S420" s="1712"/>
      <c r="T420" s="1712"/>
      <c r="U420" s="1712"/>
      <c r="V420" s="1712"/>
      <c r="W420" s="1712"/>
      <c r="X420" s="1712"/>
      <c r="Y420" s="1712"/>
      <c r="Z420" s="1712"/>
      <c r="AA420" s="1712"/>
    </row>
    <row r="421" s="2429" customFormat="1" customHeight="1" spans="10:27">
      <c r="J421" s="2431"/>
      <c r="K421" s="1712"/>
      <c r="L421" s="1712"/>
      <c r="M421" s="1712"/>
      <c r="N421" s="1712"/>
      <c r="O421" s="1712"/>
      <c r="P421" s="1712"/>
      <c r="Q421" s="1712"/>
      <c r="R421" s="1712"/>
      <c r="S421" s="1712"/>
      <c r="T421" s="1712"/>
      <c r="U421" s="1712"/>
      <c r="V421" s="1712"/>
      <c r="W421" s="1712"/>
      <c r="X421" s="1712"/>
      <c r="Y421" s="1712"/>
      <c r="Z421" s="1712"/>
      <c r="AA421" s="1712"/>
    </row>
    <row r="422" s="2429" customFormat="1" customHeight="1" spans="10:27">
      <c r="J422" s="2431"/>
      <c r="K422" s="1712"/>
      <c r="L422" s="1712"/>
      <c r="M422" s="1712"/>
      <c r="N422" s="1712"/>
      <c r="O422" s="1712"/>
      <c r="P422" s="1712"/>
      <c r="Q422" s="1712"/>
      <c r="R422" s="1712"/>
      <c r="S422" s="1712"/>
      <c r="T422" s="1712"/>
      <c r="U422" s="1712"/>
      <c r="V422" s="1712"/>
      <c r="W422" s="1712"/>
      <c r="X422" s="1712"/>
      <c r="Y422" s="1712"/>
      <c r="Z422" s="1712"/>
      <c r="AA422" s="1712"/>
    </row>
    <row r="423" s="2429" customFormat="1" customHeight="1" spans="10:27">
      <c r="J423" s="2431"/>
      <c r="K423" s="1712"/>
      <c r="L423" s="1712"/>
      <c r="M423" s="1712"/>
      <c r="N423" s="1712"/>
      <c r="O423" s="1712"/>
      <c r="P423" s="1712"/>
      <c r="Q423" s="1712"/>
      <c r="R423" s="1712"/>
      <c r="S423" s="1712"/>
      <c r="T423" s="1712"/>
      <c r="U423" s="1712"/>
      <c r="V423" s="1712"/>
      <c r="W423" s="1712"/>
      <c r="X423" s="1712"/>
      <c r="Y423" s="1712"/>
      <c r="Z423" s="1712"/>
      <c r="AA423" s="1712"/>
    </row>
    <row r="424" s="2429" customFormat="1" customHeight="1" spans="10:27">
      <c r="J424" s="2431"/>
      <c r="K424" s="1712"/>
      <c r="L424" s="1712"/>
      <c r="M424" s="1712"/>
      <c r="N424" s="1712"/>
      <c r="O424" s="1712"/>
      <c r="P424" s="1712"/>
      <c r="Q424" s="1712"/>
      <c r="R424" s="1712"/>
      <c r="S424" s="1712"/>
      <c r="T424" s="1712"/>
      <c r="U424" s="1712"/>
      <c r="V424" s="1712"/>
      <c r="W424" s="1712"/>
      <c r="X424" s="1712"/>
      <c r="Y424" s="1712"/>
      <c r="Z424" s="1712"/>
      <c r="AA424" s="1712"/>
    </row>
    <row r="425" s="2429" customFormat="1" customHeight="1" spans="10:27">
      <c r="J425" s="2431"/>
      <c r="K425" s="1712"/>
      <c r="L425" s="1712"/>
      <c r="M425" s="1712"/>
      <c r="N425" s="1712"/>
      <c r="O425" s="1712"/>
      <c r="P425" s="1712"/>
      <c r="Q425" s="1712"/>
      <c r="R425" s="1712"/>
      <c r="S425" s="1712"/>
      <c r="T425" s="1712"/>
      <c r="U425" s="1712"/>
      <c r="V425" s="1712"/>
      <c r="W425" s="1712"/>
      <c r="X425" s="1712"/>
      <c r="Y425" s="1712"/>
      <c r="Z425" s="1712"/>
      <c r="AA425" s="1712"/>
    </row>
    <row r="426" s="2429" customFormat="1" customHeight="1" spans="10:27">
      <c r="J426" s="2431"/>
      <c r="K426" s="1712"/>
      <c r="L426" s="1712"/>
      <c r="M426" s="1712"/>
      <c r="N426" s="1712"/>
      <c r="O426" s="1712"/>
      <c r="P426" s="1712"/>
      <c r="Q426" s="1712"/>
      <c r="R426" s="1712"/>
      <c r="S426" s="1712"/>
      <c r="T426" s="1712"/>
      <c r="U426" s="1712"/>
      <c r="V426" s="1712"/>
      <c r="W426" s="1712"/>
      <c r="X426" s="1712"/>
      <c r="Y426" s="1712"/>
      <c r="Z426" s="1712"/>
      <c r="AA426" s="1712"/>
    </row>
    <row r="427" s="2429" customFormat="1" customHeight="1" spans="10:27">
      <c r="J427" s="2431"/>
      <c r="K427" s="1712"/>
      <c r="L427" s="1712"/>
      <c r="M427" s="1712"/>
      <c r="N427" s="1712"/>
      <c r="O427" s="1712"/>
      <c r="P427" s="1712"/>
      <c r="Q427" s="1712"/>
      <c r="R427" s="1712"/>
      <c r="S427" s="1712"/>
      <c r="T427" s="1712"/>
      <c r="U427" s="1712"/>
      <c r="V427" s="1712"/>
      <c r="W427" s="1712"/>
      <c r="X427" s="1712"/>
      <c r="Y427" s="1712"/>
      <c r="Z427" s="1712"/>
      <c r="AA427" s="1712"/>
    </row>
    <row r="428" s="2429" customFormat="1" customHeight="1" spans="10:27">
      <c r="J428" s="2431"/>
      <c r="K428" s="1712"/>
      <c r="L428" s="1712"/>
      <c r="M428" s="1712"/>
      <c r="N428" s="1712"/>
      <c r="O428" s="1712"/>
      <c r="P428" s="1712"/>
      <c r="Q428" s="1712"/>
      <c r="R428" s="1712"/>
      <c r="S428" s="1712"/>
      <c r="T428" s="1712"/>
      <c r="U428" s="1712"/>
      <c r="V428" s="1712"/>
      <c r="W428" s="1712"/>
      <c r="X428" s="1712"/>
      <c r="Y428" s="1712"/>
      <c r="Z428" s="1712"/>
      <c r="AA428" s="1712"/>
    </row>
    <row r="429" s="2429" customFormat="1" customHeight="1" spans="10:27">
      <c r="J429" s="2431"/>
      <c r="K429" s="1712"/>
      <c r="L429" s="1712"/>
      <c r="M429" s="1712"/>
      <c r="N429" s="1712"/>
      <c r="O429" s="1712"/>
      <c r="P429" s="1712"/>
      <c r="Q429" s="1712"/>
      <c r="R429" s="1712"/>
      <c r="S429" s="1712"/>
      <c r="T429" s="1712"/>
      <c r="U429" s="1712"/>
      <c r="V429" s="1712"/>
      <c r="W429" s="1712"/>
      <c r="X429" s="1712"/>
      <c r="Y429" s="1712"/>
      <c r="Z429" s="1712"/>
      <c r="AA429" s="1712"/>
    </row>
    <row r="430" s="2429" customFormat="1" customHeight="1" spans="10:27">
      <c r="J430" s="2431"/>
      <c r="K430" s="1712"/>
      <c r="L430" s="1712"/>
      <c r="M430" s="1712"/>
      <c r="N430" s="1712"/>
      <c r="O430" s="1712"/>
      <c r="P430" s="1712"/>
      <c r="Q430" s="1712"/>
      <c r="R430" s="1712"/>
      <c r="S430" s="1712"/>
      <c r="T430" s="1712"/>
      <c r="U430" s="1712"/>
      <c r="V430" s="1712"/>
      <c r="W430" s="1712"/>
      <c r="X430" s="1712"/>
      <c r="Y430" s="1712"/>
      <c r="Z430" s="1712"/>
      <c r="AA430" s="1712"/>
    </row>
    <row r="431" s="2429" customFormat="1" customHeight="1" spans="10:27">
      <c r="J431" s="2431"/>
      <c r="K431" s="1712"/>
      <c r="L431" s="1712"/>
      <c r="M431" s="1712"/>
      <c r="N431" s="1712"/>
      <c r="O431" s="1712"/>
      <c r="P431" s="1712"/>
      <c r="Q431" s="1712"/>
      <c r="R431" s="1712"/>
      <c r="S431" s="1712"/>
      <c r="T431" s="1712"/>
      <c r="U431" s="1712"/>
      <c r="V431" s="1712"/>
      <c r="W431" s="1712"/>
      <c r="X431" s="1712"/>
      <c r="Y431" s="1712"/>
      <c r="Z431" s="1712"/>
      <c r="AA431" s="1712"/>
    </row>
    <row r="432" s="2429" customFormat="1" customHeight="1" spans="10:27">
      <c r="J432" s="2431"/>
      <c r="K432" s="1712"/>
      <c r="L432" s="1712"/>
      <c r="M432" s="1712"/>
      <c r="N432" s="1712"/>
      <c r="O432" s="1712"/>
      <c r="P432" s="1712"/>
      <c r="Q432" s="1712"/>
      <c r="R432" s="1712"/>
      <c r="S432" s="1712"/>
      <c r="T432" s="1712"/>
      <c r="U432" s="1712"/>
      <c r="V432" s="1712"/>
      <c r="W432" s="1712"/>
      <c r="X432" s="1712"/>
      <c r="Y432" s="1712"/>
      <c r="Z432" s="1712"/>
      <c r="AA432" s="1712"/>
    </row>
    <row r="433" s="2429" customFormat="1" customHeight="1" spans="10:27">
      <c r="J433" s="2431"/>
      <c r="K433" s="1712"/>
      <c r="L433" s="1712"/>
      <c r="M433" s="1712"/>
      <c r="N433" s="1712"/>
      <c r="O433" s="1712"/>
      <c r="P433" s="1712"/>
      <c r="Q433" s="1712"/>
      <c r="R433" s="1712"/>
      <c r="S433" s="1712"/>
      <c r="T433" s="1712"/>
      <c r="U433" s="1712"/>
      <c r="V433" s="1712"/>
      <c r="W433" s="1712"/>
      <c r="X433" s="1712"/>
      <c r="Y433" s="1712"/>
      <c r="Z433" s="1712"/>
      <c r="AA433" s="1712"/>
    </row>
    <row r="434" s="2429" customFormat="1" customHeight="1" spans="10:27">
      <c r="J434" s="2431"/>
      <c r="K434" s="1712"/>
      <c r="L434" s="1712"/>
      <c r="M434" s="1712"/>
      <c r="N434" s="1712"/>
      <c r="O434" s="1712"/>
      <c r="P434" s="1712"/>
      <c r="Q434" s="1712"/>
      <c r="R434" s="1712"/>
      <c r="S434" s="1712"/>
      <c r="T434" s="1712"/>
      <c r="U434" s="1712"/>
      <c r="V434" s="1712"/>
      <c r="W434" s="1712"/>
      <c r="X434" s="1712"/>
      <c r="Y434" s="1712"/>
      <c r="Z434" s="1712"/>
      <c r="AA434" s="1712"/>
    </row>
    <row r="435" s="2429" customFormat="1" customHeight="1" spans="10:27">
      <c r="J435" s="2431"/>
      <c r="K435" s="1712"/>
      <c r="L435" s="1712"/>
      <c r="M435" s="1712"/>
      <c r="N435" s="1712"/>
      <c r="O435" s="1712"/>
      <c r="P435" s="1712"/>
      <c r="Q435" s="1712"/>
      <c r="R435" s="1712"/>
      <c r="S435" s="1712"/>
      <c r="T435" s="1712"/>
      <c r="U435" s="1712"/>
      <c r="V435" s="1712"/>
      <c r="W435" s="1712"/>
      <c r="X435" s="1712"/>
      <c r="Y435" s="1712"/>
      <c r="Z435" s="1712"/>
      <c r="AA435" s="1712"/>
    </row>
    <row r="436" s="2429" customFormat="1" customHeight="1" spans="10:27">
      <c r="J436" s="2431"/>
      <c r="K436" s="1712"/>
      <c r="L436" s="1712"/>
      <c r="M436" s="1712"/>
      <c r="N436" s="1712"/>
      <c r="O436" s="1712"/>
      <c r="P436" s="1712"/>
      <c r="Q436" s="1712"/>
      <c r="R436" s="1712"/>
      <c r="S436" s="1712"/>
      <c r="T436" s="1712"/>
      <c r="U436" s="1712"/>
      <c r="V436" s="1712"/>
      <c r="W436" s="1712"/>
      <c r="X436" s="1712"/>
      <c r="Y436" s="1712"/>
      <c r="Z436" s="1712"/>
      <c r="AA436" s="1712"/>
    </row>
    <row r="437" s="2429" customFormat="1" customHeight="1" spans="10:27">
      <c r="J437" s="2431"/>
      <c r="K437" s="1712"/>
      <c r="L437" s="1712"/>
      <c r="M437" s="1712"/>
      <c r="N437" s="1712"/>
      <c r="O437" s="1712"/>
      <c r="P437" s="1712"/>
      <c r="Q437" s="1712"/>
      <c r="R437" s="1712"/>
      <c r="S437" s="1712"/>
      <c r="T437" s="1712"/>
      <c r="U437" s="1712"/>
      <c r="V437" s="1712"/>
      <c r="W437" s="1712"/>
      <c r="X437" s="1712"/>
      <c r="Y437" s="1712"/>
      <c r="Z437" s="1712"/>
      <c r="AA437" s="1712"/>
    </row>
    <row r="438" s="2429" customFormat="1" customHeight="1" spans="10:27">
      <c r="J438" s="2431"/>
      <c r="K438" s="1712"/>
      <c r="L438" s="1712"/>
      <c r="M438" s="1712"/>
      <c r="N438" s="1712"/>
      <c r="O438" s="1712"/>
      <c r="P438" s="1712"/>
      <c r="Q438" s="1712"/>
      <c r="R438" s="1712"/>
      <c r="S438" s="1712"/>
      <c r="T438" s="1712"/>
      <c r="U438" s="1712"/>
      <c r="V438" s="1712"/>
      <c r="W438" s="1712"/>
      <c r="X438" s="1712"/>
      <c r="Y438" s="1712"/>
      <c r="Z438" s="1712"/>
      <c r="AA438" s="1712"/>
    </row>
    <row r="439" s="2429" customFormat="1" customHeight="1" spans="10:27">
      <c r="J439" s="2431"/>
      <c r="K439" s="1712"/>
      <c r="L439" s="1712"/>
      <c r="M439" s="1712"/>
      <c r="N439" s="1712"/>
      <c r="O439" s="1712"/>
      <c r="P439" s="1712"/>
      <c r="Q439" s="1712"/>
      <c r="R439" s="1712"/>
      <c r="S439" s="1712"/>
      <c r="T439" s="1712"/>
      <c r="U439" s="1712"/>
      <c r="V439" s="1712"/>
      <c r="W439" s="1712"/>
      <c r="X439" s="1712"/>
      <c r="Y439" s="1712"/>
      <c r="Z439" s="1712"/>
      <c r="AA439" s="1712"/>
    </row>
    <row r="440" s="2429" customFormat="1" customHeight="1" spans="10:27">
      <c r="J440" s="2431"/>
      <c r="K440" s="1712"/>
      <c r="L440" s="1712"/>
      <c r="M440" s="1712"/>
      <c r="N440" s="1712"/>
      <c r="O440" s="1712"/>
      <c r="P440" s="1712"/>
      <c r="Q440" s="1712"/>
      <c r="R440" s="1712"/>
      <c r="S440" s="1712"/>
      <c r="T440" s="1712"/>
      <c r="U440" s="1712"/>
      <c r="V440" s="1712"/>
      <c r="W440" s="1712"/>
      <c r="X440" s="1712"/>
      <c r="Y440" s="1712"/>
      <c r="Z440" s="1712"/>
      <c r="AA440" s="1712"/>
    </row>
    <row r="441" s="2429" customFormat="1" customHeight="1" spans="10:27">
      <c r="J441" s="2431"/>
      <c r="K441" s="1712"/>
      <c r="L441" s="1712"/>
      <c r="M441" s="1712"/>
      <c r="N441" s="1712"/>
      <c r="O441" s="1712"/>
      <c r="P441" s="1712"/>
      <c r="Q441" s="1712"/>
      <c r="R441" s="1712"/>
      <c r="S441" s="1712"/>
      <c r="T441" s="1712"/>
      <c r="U441" s="1712"/>
      <c r="V441" s="1712"/>
      <c r="W441" s="1712"/>
      <c r="X441" s="1712"/>
      <c r="Y441" s="1712"/>
      <c r="Z441" s="1712"/>
      <c r="AA441" s="1712"/>
    </row>
    <row r="442" s="2429" customFormat="1" customHeight="1" spans="10:27">
      <c r="J442" s="2431"/>
      <c r="K442" s="1712"/>
      <c r="L442" s="1712"/>
      <c r="M442" s="1712"/>
      <c r="N442" s="1712"/>
      <c r="O442" s="1712"/>
      <c r="P442" s="1712"/>
      <c r="Q442" s="1712"/>
      <c r="R442" s="1712"/>
      <c r="S442" s="1712"/>
      <c r="T442" s="1712"/>
      <c r="U442" s="1712"/>
      <c r="V442" s="1712"/>
      <c r="W442" s="1712"/>
      <c r="X442" s="1712"/>
      <c r="Y442" s="1712"/>
      <c r="Z442" s="1712"/>
      <c r="AA442" s="1712"/>
    </row>
    <row r="443" s="2429" customFormat="1" customHeight="1" spans="10:27">
      <c r="J443" s="2431"/>
      <c r="K443" s="1712"/>
      <c r="L443" s="1712"/>
      <c r="M443" s="1712"/>
      <c r="N443" s="1712"/>
      <c r="O443" s="1712"/>
      <c r="P443" s="1712"/>
      <c r="Q443" s="1712"/>
      <c r="R443" s="1712"/>
      <c r="S443" s="1712"/>
      <c r="T443" s="1712"/>
      <c r="U443" s="1712"/>
      <c r="V443" s="1712"/>
      <c r="W443" s="1712"/>
      <c r="X443" s="1712"/>
      <c r="Y443" s="1712"/>
      <c r="Z443" s="1712"/>
      <c r="AA443" s="1712"/>
    </row>
    <row r="444" s="2429" customFormat="1" customHeight="1" spans="10:27">
      <c r="J444" s="2431"/>
      <c r="K444" s="1712"/>
      <c r="L444" s="1712"/>
      <c r="M444" s="1712"/>
      <c r="N444" s="1712"/>
      <c r="O444" s="1712"/>
      <c r="P444" s="1712"/>
      <c r="Q444" s="1712"/>
      <c r="R444" s="1712"/>
      <c r="S444" s="1712"/>
      <c r="T444" s="1712"/>
      <c r="U444" s="1712"/>
      <c r="V444" s="1712"/>
      <c r="W444" s="1712"/>
      <c r="X444" s="1712"/>
      <c r="Y444" s="1712"/>
      <c r="Z444" s="1712"/>
      <c r="AA444" s="1712"/>
    </row>
    <row r="445" s="2429" customFormat="1" customHeight="1" spans="10:27">
      <c r="J445" s="2431"/>
      <c r="K445" s="1712"/>
      <c r="L445" s="1712"/>
      <c r="M445" s="1712"/>
      <c r="N445" s="1712"/>
      <c r="O445" s="1712"/>
      <c r="P445" s="1712"/>
      <c r="Q445" s="1712"/>
      <c r="R445" s="1712"/>
      <c r="S445" s="1712"/>
      <c r="T445" s="1712"/>
      <c r="U445" s="1712"/>
      <c r="V445" s="1712"/>
      <c r="W445" s="1712"/>
      <c r="X445" s="1712"/>
      <c r="Y445" s="1712"/>
      <c r="Z445" s="1712"/>
      <c r="AA445" s="1712"/>
    </row>
    <row r="446" s="2429" customFormat="1" customHeight="1" spans="10:27">
      <c r="J446" s="2431"/>
      <c r="K446" s="1712"/>
      <c r="L446" s="1712"/>
      <c r="M446" s="1712"/>
      <c r="N446" s="1712"/>
      <c r="O446" s="1712"/>
      <c r="P446" s="1712"/>
      <c r="Q446" s="1712"/>
      <c r="R446" s="1712"/>
      <c r="S446" s="1712"/>
      <c r="T446" s="1712"/>
      <c r="U446" s="1712"/>
      <c r="V446" s="1712"/>
      <c r="W446" s="1712"/>
      <c r="X446" s="1712"/>
      <c r="Y446" s="1712"/>
      <c r="Z446" s="1712"/>
      <c r="AA446" s="1712"/>
    </row>
    <row r="447" s="2429" customFormat="1" customHeight="1" spans="10:27">
      <c r="J447" s="2431"/>
      <c r="K447" s="1712"/>
      <c r="L447" s="1712"/>
      <c r="M447" s="1712"/>
      <c r="N447" s="1712"/>
      <c r="O447" s="1712"/>
      <c r="P447" s="1712"/>
      <c r="Q447" s="1712"/>
      <c r="R447" s="1712"/>
      <c r="S447" s="1712"/>
      <c r="T447" s="1712"/>
      <c r="U447" s="1712"/>
      <c r="V447" s="1712"/>
      <c r="W447" s="1712"/>
      <c r="X447" s="1712"/>
      <c r="Y447" s="1712"/>
      <c r="Z447" s="1712"/>
      <c r="AA447" s="1712"/>
    </row>
    <row r="448" s="2429" customFormat="1" customHeight="1" spans="10:27">
      <c r="J448" s="2431"/>
      <c r="K448" s="1712"/>
      <c r="L448" s="1712"/>
      <c r="M448" s="1712"/>
      <c r="N448" s="1712"/>
      <c r="O448" s="1712"/>
      <c r="P448" s="1712"/>
      <c r="Q448" s="1712"/>
      <c r="R448" s="1712"/>
      <c r="S448" s="1712"/>
      <c r="T448" s="1712"/>
      <c r="U448" s="1712"/>
      <c r="V448" s="1712"/>
      <c r="W448" s="1712"/>
      <c r="X448" s="1712"/>
      <c r="Y448" s="1712"/>
      <c r="Z448" s="1712"/>
      <c r="AA448" s="1712"/>
    </row>
    <row r="449" s="2429" customFormat="1" customHeight="1" spans="10:27">
      <c r="J449" s="2431"/>
      <c r="K449" s="1712"/>
      <c r="L449" s="1712"/>
      <c r="M449" s="1712"/>
      <c r="N449" s="1712"/>
      <c r="O449" s="1712"/>
      <c r="P449" s="1712"/>
      <c r="Q449" s="1712"/>
      <c r="R449" s="1712"/>
      <c r="S449" s="1712"/>
      <c r="T449" s="1712"/>
      <c r="U449" s="1712"/>
      <c r="V449" s="1712"/>
      <c r="W449" s="1712"/>
      <c r="X449" s="1712"/>
      <c r="Y449" s="1712"/>
      <c r="Z449" s="1712"/>
      <c r="AA449" s="1712"/>
    </row>
    <row r="450" s="2429" customFormat="1" customHeight="1" spans="10:27">
      <c r="J450" s="2431"/>
      <c r="K450" s="1712"/>
      <c r="L450" s="1712"/>
      <c r="M450" s="1712"/>
      <c r="N450" s="1712"/>
      <c r="O450" s="1712"/>
      <c r="P450" s="1712"/>
      <c r="Q450" s="1712"/>
      <c r="R450" s="1712"/>
      <c r="S450" s="1712"/>
      <c r="T450" s="1712"/>
      <c r="U450" s="1712"/>
      <c r="V450" s="1712"/>
      <c r="W450" s="1712"/>
      <c r="X450" s="1712"/>
      <c r="Y450" s="1712"/>
      <c r="Z450" s="1712"/>
      <c r="AA450" s="1712"/>
    </row>
    <row r="451" s="2429" customFormat="1" customHeight="1" spans="10:27">
      <c r="J451" s="2431"/>
      <c r="K451" s="1712"/>
      <c r="L451" s="1712"/>
      <c r="M451" s="1712"/>
      <c r="N451" s="1712"/>
      <c r="O451" s="1712"/>
      <c r="P451" s="1712"/>
      <c r="Q451" s="1712"/>
      <c r="R451" s="1712"/>
      <c r="S451" s="1712"/>
      <c r="T451" s="1712"/>
      <c r="U451" s="1712"/>
      <c r="V451" s="1712"/>
      <c r="W451" s="1712"/>
      <c r="X451" s="1712"/>
      <c r="Y451" s="1712"/>
      <c r="Z451" s="1712"/>
      <c r="AA451" s="1712"/>
    </row>
    <row r="452" s="2429" customFormat="1" customHeight="1" spans="10:27">
      <c r="J452" s="2431"/>
      <c r="K452" s="1712"/>
      <c r="L452" s="1712"/>
      <c r="M452" s="1712"/>
      <c r="N452" s="1712"/>
      <c r="O452" s="1712"/>
      <c r="P452" s="1712"/>
      <c r="Q452" s="1712"/>
      <c r="R452" s="1712"/>
      <c r="S452" s="1712"/>
      <c r="T452" s="1712"/>
      <c r="U452" s="1712"/>
      <c r="V452" s="1712"/>
      <c r="W452" s="1712"/>
      <c r="X452" s="1712"/>
      <c r="Y452" s="1712"/>
      <c r="Z452" s="1712"/>
      <c r="AA452" s="1712"/>
    </row>
    <row r="453" s="2429" customFormat="1" customHeight="1" spans="10:27">
      <c r="J453" s="2431"/>
      <c r="K453" s="1712"/>
      <c r="L453" s="1712"/>
      <c r="M453" s="1712"/>
      <c r="N453" s="1712"/>
      <c r="O453" s="1712"/>
      <c r="P453" s="1712"/>
      <c r="Q453" s="1712"/>
      <c r="R453" s="1712"/>
      <c r="S453" s="1712"/>
      <c r="T453" s="1712"/>
      <c r="U453" s="1712"/>
      <c r="V453" s="1712"/>
      <c r="W453" s="1712"/>
      <c r="X453" s="1712"/>
      <c r="Y453" s="1712"/>
      <c r="Z453" s="1712"/>
      <c r="AA453" s="1712"/>
    </row>
    <row r="454" s="2429" customFormat="1" customHeight="1" spans="10:27">
      <c r="J454" s="2431"/>
      <c r="K454" s="1712"/>
      <c r="L454" s="1712"/>
      <c r="M454" s="1712"/>
      <c r="N454" s="1712"/>
      <c r="O454" s="1712"/>
      <c r="P454" s="1712"/>
      <c r="Q454" s="1712"/>
      <c r="R454" s="1712"/>
      <c r="S454" s="1712"/>
      <c r="T454" s="1712"/>
      <c r="U454" s="1712"/>
      <c r="V454" s="1712"/>
      <c r="W454" s="1712"/>
      <c r="X454" s="1712"/>
      <c r="Y454" s="1712"/>
      <c r="Z454" s="1712"/>
      <c r="AA454" s="1712"/>
    </row>
    <row r="455" s="2429" customFormat="1" customHeight="1" spans="10:27">
      <c r="J455" s="2431"/>
      <c r="K455" s="1712"/>
      <c r="L455" s="1712"/>
      <c r="M455" s="1712"/>
      <c r="N455" s="1712"/>
      <c r="O455" s="1712"/>
      <c r="P455" s="1712"/>
      <c r="Q455" s="1712"/>
      <c r="R455" s="1712"/>
      <c r="S455" s="1712"/>
      <c r="T455" s="1712"/>
      <c r="U455" s="1712"/>
      <c r="V455" s="1712"/>
      <c r="W455" s="1712"/>
      <c r="X455" s="1712"/>
      <c r="Y455" s="1712"/>
      <c r="Z455" s="1712"/>
      <c r="AA455" s="1712"/>
    </row>
    <row r="456" s="2429" customFormat="1" customHeight="1" spans="10:27">
      <c r="J456" s="2431"/>
      <c r="K456" s="1712"/>
      <c r="L456" s="1712"/>
      <c r="M456" s="1712"/>
      <c r="N456" s="1712"/>
      <c r="O456" s="1712"/>
      <c r="P456" s="1712"/>
      <c r="Q456" s="1712"/>
      <c r="R456" s="1712"/>
      <c r="S456" s="1712"/>
      <c r="T456" s="1712"/>
      <c r="U456" s="1712"/>
      <c r="V456" s="1712"/>
      <c r="W456" s="1712"/>
      <c r="X456" s="1712"/>
      <c r="Y456" s="1712"/>
      <c r="Z456" s="1712"/>
      <c r="AA456" s="1712"/>
    </row>
    <row r="457" s="2429" customFormat="1" customHeight="1" spans="10:27">
      <c r="J457" s="2431"/>
      <c r="K457" s="1712"/>
      <c r="L457" s="1712"/>
      <c r="M457" s="1712"/>
      <c r="N457" s="1712"/>
      <c r="O457" s="1712"/>
      <c r="P457" s="1712"/>
      <c r="Q457" s="1712"/>
      <c r="R457" s="1712"/>
      <c r="S457" s="1712"/>
      <c r="T457" s="1712"/>
      <c r="U457" s="1712"/>
      <c r="V457" s="1712"/>
      <c r="W457" s="1712"/>
      <c r="X457" s="1712"/>
      <c r="Y457" s="1712"/>
      <c r="Z457" s="1712"/>
      <c r="AA457" s="1712"/>
    </row>
    <row r="458" s="2429" customFormat="1" customHeight="1" spans="10:27">
      <c r="J458" s="2431"/>
      <c r="K458" s="1712"/>
      <c r="L458" s="1712"/>
      <c r="M458" s="1712"/>
      <c r="N458" s="1712"/>
      <c r="O458" s="1712"/>
      <c r="P458" s="1712"/>
      <c r="Q458" s="1712"/>
      <c r="R458" s="1712"/>
      <c r="S458" s="1712"/>
      <c r="T458" s="1712"/>
      <c r="U458" s="1712"/>
      <c r="V458" s="1712"/>
      <c r="W458" s="1712"/>
      <c r="X458" s="1712"/>
      <c r="Y458" s="1712"/>
      <c r="Z458" s="1712"/>
      <c r="AA458" s="1712"/>
    </row>
    <row r="459" s="2429" customFormat="1" customHeight="1" spans="10:27">
      <c r="J459" s="2431"/>
      <c r="K459" s="1712"/>
      <c r="L459" s="1712"/>
      <c r="M459" s="1712"/>
      <c r="N459" s="1712"/>
      <c r="O459" s="1712"/>
      <c r="P459" s="1712"/>
      <c r="Q459" s="1712"/>
      <c r="R459" s="1712"/>
      <c r="S459" s="1712"/>
      <c r="T459" s="1712"/>
      <c r="U459" s="1712"/>
      <c r="V459" s="1712"/>
      <c r="W459" s="1712"/>
      <c r="X459" s="1712"/>
      <c r="Y459" s="1712"/>
      <c r="Z459" s="1712"/>
      <c r="AA459" s="1712"/>
    </row>
    <row r="460" s="2429" customFormat="1" customHeight="1" spans="10:27">
      <c r="J460" s="2431"/>
      <c r="K460" s="1712"/>
      <c r="L460" s="1712"/>
      <c r="M460" s="1712"/>
      <c r="N460" s="1712"/>
      <c r="O460" s="1712"/>
      <c r="P460" s="1712"/>
      <c r="Q460" s="1712"/>
      <c r="R460" s="1712"/>
      <c r="S460" s="1712"/>
      <c r="T460" s="1712"/>
      <c r="U460" s="1712"/>
      <c r="V460" s="1712"/>
      <c r="W460" s="1712"/>
      <c r="X460" s="1712"/>
      <c r="Y460" s="1712"/>
      <c r="Z460" s="1712"/>
      <c r="AA460" s="1712"/>
    </row>
    <row r="461" s="2429" customFormat="1" customHeight="1" spans="10:27">
      <c r="J461" s="2431"/>
      <c r="K461" s="1712"/>
      <c r="L461" s="1712"/>
      <c r="M461" s="1712"/>
      <c r="N461" s="1712"/>
      <c r="O461" s="1712"/>
      <c r="P461" s="1712"/>
      <c r="Q461" s="1712"/>
      <c r="R461" s="1712"/>
      <c r="S461" s="1712"/>
      <c r="T461" s="1712"/>
      <c r="U461" s="1712"/>
      <c r="V461" s="1712"/>
      <c r="W461" s="1712"/>
      <c r="X461" s="1712"/>
      <c r="Y461" s="1712"/>
      <c r="Z461" s="1712"/>
      <c r="AA461" s="1712"/>
    </row>
    <row r="462" s="2429" customFormat="1" customHeight="1" spans="10:27">
      <c r="J462" s="2431"/>
      <c r="K462" s="1712"/>
      <c r="L462" s="1712"/>
      <c r="M462" s="1712"/>
      <c r="N462" s="1712"/>
      <c r="O462" s="1712"/>
      <c r="P462" s="1712"/>
      <c r="Q462" s="1712"/>
      <c r="R462" s="1712"/>
      <c r="S462" s="1712"/>
      <c r="T462" s="1712"/>
      <c r="U462" s="1712"/>
      <c r="V462" s="1712"/>
      <c r="W462" s="1712"/>
      <c r="X462" s="1712"/>
      <c r="Y462" s="1712"/>
      <c r="Z462" s="1712"/>
      <c r="AA462" s="1712"/>
    </row>
    <row r="463" s="2429" customFormat="1" customHeight="1" spans="10:27">
      <c r="J463" s="2431"/>
      <c r="K463" s="1712"/>
      <c r="L463" s="1712"/>
      <c r="M463" s="1712"/>
      <c r="N463" s="1712"/>
      <c r="O463" s="1712"/>
      <c r="P463" s="1712"/>
      <c r="Q463" s="1712"/>
      <c r="R463" s="1712"/>
      <c r="S463" s="1712"/>
      <c r="T463" s="1712"/>
      <c r="U463" s="1712"/>
      <c r="V463" s="1712"/>
      <c r="W463" s="1712"/>
      <c r="X463" s="1712"/>
      <c r="Y463" s="1712"/>
      <c r="Z463" s="1712"/>
      <c r="AA463" s="1712"/>
    </row>
    <row r="464" s="2429" customFormat="1" customHeight="1" spans="10:27">
      <c r="J464" s="2431"/>
      <c r="K464" s="1712"/>
      <c r="L464" s="1712"/>
      <c r="M464" s="1712"/>
      <c r="N464" s="1712"/>
      <c r="O464" s="1712"/>
      <c r="P464" s="1712"/>
      <c r="Q464" s="1712"/>
      <c r="R464" s="1712"/>
      <c r="S464" s="1712"/>
      <c r="T464" s="1712"/>
      <c r="U464" s="1712"/>
      <c r="V464" s="1712"/>
      <c r="W464" s="1712"/>
      <c r="X464" s="1712"/>
      <c r="Y464" s="1712"/>
      <c r="Z464" s="1712"/>
      <c r="AA464" s="1712"/>
    </row>
    <row r="465" s="2429" customFormat="1" customHeight="1" spans="10:27">
      <c r="J465" s="2431"/>
      <c r="K465" s="1712"/>
      <c r="L465" s="1712"/>
      <c r="M465" s="1712"/>
      <c r="N465" s="1712"/>
      <c r="O465" s="1712"/>
      <c r="P465" s="1712"/>
      <c r="Q465" s="1712"/>
      <c r="R465" s="1712"/>
      <c r="S465" s="1712"/>
      <c r="T465" s="1712"/>
      <c r="U465" s="1712"/>
      <c r="V465" s="1712"/>
      <c r="W465" s="1712"/>
      <c r="X465" s="1712"/>
      <c r="Y465" s="1712"/>
      <c r="Z465" s="1712"/>
      <c r="AA465" s="1712"/>
    </row>
    <row r="466" s="2429" customFormat="1" customHeight="1" spans="10:27">
      <c r="J466" s="2431"/>
      <c r="K466" s="1712"/>
      <c r="L466" s="1712"/>
      <c r="M466" s="1712"/>
      <c r="N466" s="1712"/>
      <c r="O466" s="1712"/>
      <c r="P466" s="1712"/>
      <c r="Q466" s="1712"/>
      <c r="R466" s="1712"/>
      <c r="S466" s="1712"/>
      <c r="T466" s="1712"/>
      <c r="U466" s="1712"/>
      <c r="V466" s="1712"/>
      <c r="W466" s="1712"/>
      <c r="X466" s="1712"/>
      <c r="Y466" s="1712"/>
      <c r="Z466" s="1712"/>
      <c r="AA466" s="1712"/>
    </row>
    <row r="467" s="2429" customFormat="1" customHeight="1" spans="10:27">
      <c r="J467" s="2431"/>
      <c r="K467" s="1712"/>
      <c r="L467" s="1712"/>
      <c r="M467" s="1712"/>
      <c r="N467" s="1712"/>
      <c r="O467" s="1712"/>
      <c r="P467" s="1712"/>
      <c r="Q467" s="1712"/>
      <c r="R467" s="1712"/>
      <c r="S467" s="1712"/>
      <c r="T467" s="1712"/>
      <c r="U467" s="1712"/>
      <c r="V467" s="1712"/>
      <c r="W467" s="1712"/>
      <c r="X467" s="1712"/>
      <c r="Y467" s="1712"/>
      <c r="Z467" s="1712"/>
      <c r="AA467" s="1712"/>
    </row>
    <row r="468" s="2429" customFormat="1" customHeight="1" spans="10:27">
      <c r="J468" s="2431"/>
      <c r="K468" s="1712"/>
      <c r="L468" s="1712"/>
      <c r="M468" s="1712"/>
      <c r="N468" s="1712"/>
      <c r="O468" s="1712"/>
      <c r="P468" s="1712"/>
      <c r="Q468" s="1712"/>
      <c r="R468" s="1712"/>
      <c r="S468" s="1712"/>
      <c r="T468" s="1712"/>
      <c r="U468" s="1712"/>
      <c r="V468" s="1712"/>
      <c r="W468" s="1712"/>
      <c r="X468" s="1712"/>
      <c r="Y468" s="1712"/>
      <c r="Z468" s="1712"/>
      <c r="AA468" s="1712"/>
    </row>
    <row r="469" s="2429" customFormat="1" customHeight="1" spans="10:27">
      <c r="J469" s="2431"/>
      <c r="K469" s="1712"/>
      <c r="L469" s="1712"/>
      <c r="M469" s="1712"/>
      <c r="N469" s="1712"/>
      <c r="O469" s="1712"/>
      <c r="P469" s="1712"/>
      <c r="Q469" s="1712"/>
      <c r="R469" s="1712"/>
      <c r="S469" s="1712"/>
      <c r="T469" s="1712"/>
      <c r="U469" s="1712"/>
      <c r="V469" s="1712"/>
      <c r="W469" s="1712"/>
      <c r="X469" s="1712"/>
      <c r="Y469" s="1712"/>
      <c r="Z469" s="1712"/>
      <c r="AA469" s="1712"/>
    </row>
    <row r="470" s="2429" customFormat="1" customHeight="1" spans="10:27">
      <c r="J470" s="2431"/>
      <c r="K470" s="1712"/>
      <c r="L470" s="1712"/>
      <c r="M470" s="1712"/>
      <c r="N470" s="1712"/>
      <c r="O470" s="1712"/>
      <c r="P470" s="1712"/>
      <c r="Q470" s="1712"/>
      <c r="R470" s="1712"/>
      <c r="S470" s="1712"/>
      <c r="T470" s="1712"/>
      <c r="U470" s="1712"/>
      <c r="V470" s="1712"/>
      <c r="W470" s="1712"/>
      <c r="X470" s="1712"/>
      <c r="Y470" s="1712"/>
      <c r="Z470" s="1712"/>
      <c r="AA470" s="1712"/>
    </row>
    <row r="471" s="2429" customFormat="1" customHeight="1" spans="10:27">
      <c r="J471" s="2431"/>
      <c r="K471" s="1712"/>
      <c r="L471" s="1712"/>
      <c r="M471" s="1712"/>
      <c r="N471" s="1712"/>
      <c r="O471" s="1712"/>
      <c r="P471" s="1712"/>
      <c r="Q471" s="1712"/>
      <c r="R471" s="1712"/>
      <c r="S471" s="1712"/>
      <c r="T471" s="1712"/>
      <c r="U471" s="1712"/>
      <c r="V471" s="1712"/>
      <c r="W471" s="1712"/>
      <c r="X471" s="1712"/>
      <c r="Y471" s="1712"/>
      <c r="Z471" s="1712"/>
      <c r="AA471" s="1712"/>
    </row>
    <row r="472" s="2429" customFormat="1" customHeight="1" spans="10:27">
      <c r="J472" s="2431"/>
      <c r="K472" s="1712"/>
      <c r="L472" s="1712"/>
      <c r="M472" s="1712"/>
      <c r="N472" s="1712"/>
      <c r="O472" s="1712"/>
      <c r="P472" s="1712"/>
      <c r="Q472" s="1712"/>
      <c r="R472" s="1712"/>
      <c r="S472" s="1712"/>
      <c r="T472" s="1712"/>
      <c r="U472" s="1712"/>
      <c r="V472" s="1712"/>
      <c r="W472" s="1712"/>
      <c r="X472" s="1712"/>
      <c r="Y472" s="1712"/>
      <c r="Z472" s="1712"/>
      <c r="AA472" s="1712"/>
    </row>
    <row r="473" s="2429" customFormat="1" customHeight="1" spans="10:27">
      <c r="J473" s="2431"/>
      <c r="K473" s="1712"/>
      <c r="L473" s="1712"/>
      <c r="M473" s="1712"/>
      <c r="N473" s="1712"/>
      <c r="O473" s="1712"/>
      <c r="P473" s="1712"/>
      <c r="Q473" s="1712"/>
      <c r="R473" s="1712"/>
      <c r="S473" s="1712"/>
      <c r="T473" s="1712"/>
      <c r="U473" s="1712"/>
      <c r="V473" s="1712"/>
      <c r="W473" s="1712"/>
      <c r="X473" s="1712"/>
      <c r="Y473" s="1712"/>
      <c r="Z473" s="1712"/>
      <c r="AA473" s="1712"/>
    </row>
    <row r="474" s="2429" customFormat="1" customHeight="1" spans="10:27">
      <c r="J474" s="2431"/>
      <c r="K474" s="1712"/>
      <c r="L474" s="1712"/>
      <c r="M474" s="1712"/>
      <c r="N474" s="1712"/>
      <c r="O474" s="1712"/>
      <c r="P474" s="1712"/>
      <c r="Q474" s="1712"/>
      <c r="R474" s="1712"/>
      <c r="S474" s="1712"/>
      <c r="T474" s="1712"/>
      <c r="U474" s="1712"/>
      <c r="V474" s="1712"/>
      <c r="W474" s="1712"/>
      <c r="X474" s="1712"/>
      <c r="Y474" s="1712"/>
      <c r="Z474" s="1712"/>
      <c r="AA474" s="1712"/>
    </row>
    <row r="475" s="2429" customFormat="1" customHeight="1" spans="10:27">
      <c r="J475" s="2431"/>
      <c r="K475" s="1712"/>
      <c r="L475" s="1712"/>
      <c r="M475" s="1712"/>
      <c r="N475" s="1712"/>
      <c r="O475" s="1712"/>
      <c r="P475" s="1712"/>
      <c r="Q475" s="1712"/>
      <c r="R475" s="1712"/>
      <c r="S475" s="1712"/>
      <c r="T475" s="1712"/>
      <c r="U475" s="1712"/>
      <c r="V475" s="1712"/>
      <c r="W475" s="1712"/>
      <c r="X475" s="1712"/>
      <c r="Y475" s="1712"/>
      <c r="Z475" s="1712"/>
      <c r="AA475" s="1712"/>
    </row>
    <row r="476" s="2429" customFormat="1" customHeight="1" spans="10:27">
      <c r="J476" s="2431"/>
      <c r="K476" s="1712"/>
      <c r="L476" s="1712"/>
      <c r="M476" s="1712"/>
      <c r="N476" s="1712"/>
      <c r="O476" s="1712"/>
      <c r="P476" s="1712"/>
      <c r="Q476" s="1712"/>
      <c r="R476" s="1712"/>
      <c r="S476" s="1712"/>
      <c r="T476" s="1712"/>
      <c r="U476" s="1712"/>
      <c r="V476" s="1712"/>
      <c r="W476" s="1712"/>
      <c r="X476" s="1712"/>
      <c r="Y476" s="1712"/>
      <c r="Z476" s="1712"/>
      <c r="AA476" s="1712"/>
    </row>
    <row r="477" s="2429" customFormat="1" customHeight="1" spans="10:27">
      <c r="J477" s="2431"/>
      <c r="K477" s="1712"/>
      <c r="L477" s="1712"/>
      <c r="M477" s="1712"/>
      <c r="N477" s="1712"/>
      <c r="O477" s="1712"/>
      <c r="P477" s="1712"/>
      <c r="Q477" s="1712"/>
      <c r="R477" s="1712"/>
      <c r="S477" s="1712"/>
      <c r="T477" s="1712"/>
      <c r="U477" s="1712"/>
      <c r="V477" s="1712"/>
      <c r="W477" s="1712"/>
      <c r="X477" s="1712"/>
      <c r="Y477" s="1712"/>
      <c r="Z477" s="1712"/>
      <c r="AA477" s="1712"/>
    </row>
    <row r="478" s="2429" customFormat="1" customHeight="1" spans="10:27">
      <c r="J478" s="2431"/>
      <c r="K478" s="1712"/>
      <c r="L478" s="1712"/>
      <c r="M478" s="1712"/>
      <c r="N478" s="1712"/>
      <c r="O478" s="1712"/>
      <c r="P478" s="1712"/>
      <c r="Q478" s="1712"/>
      <c r="R478" s="1712"/>
      <c r="S478" s="1712"/>
      <c r="T478" s="1712"/>
      <c r="U478" s="1712"/>
      <c r="V478" s="1712"/>
      <c r="W478" s="1712"/>
      <c r="X478" s="1712"/>
      <c r="Y478" s="1712"/>
      <c r="Z478" s="1712"/>
      <c r="AA478" s="1712"/>
    </row>
    <row r="479" s="2429" customFormat="1" customHeight="1" spans="10:27">
      <c r="J479" s="2431"/>
      <c r="K479" s="1712"/>
      <c r="L479" s="1712"/>
      <c r="M479" s="1712"/>
      <c r="N479" s="1712"/>
      <c r="O479" s="1712"/>
      <c r="P479" s="1712"/>
      <c r="Q479" s="1712"/>
      <c r="R479" s="1712"/>
      <c r="S479" s="1712"/>
      <c r="T479" s="1712"/>
      <c r="U479" s="1712"/>
      <c r="V479" s="1712"/>
      <c r="W479" s="1712"/>
      <c r="X479" s="1712"/>
      <c r="Y479" s="1712"/>
      <c r="Z479" s="1712"/>
      <c r="AA479" s="1712"/>
    </row>
    <row r="480" s="2429" customFormat="1" customHeight="1" spans="10:27">
      <c r="J480" s="2431"/>
      <c r="K480" s="1712"/>
      <c r="L480" s="1712"/>
      <c r="M480" s="1712"/>
      <c r="N480" s="1712"/>
      <c r="O480" s="1712"/>
      <c r="P480" s="1712"/>
      <c r="Q480" s="1712"/>
      <c r="R480" s="1712"/>
      <c r="S480" s="1712"/>
      <c r="T480" s="1712"/>
      <c r="U480" s="1712"/>
      <c r="V480" s="1712"/>
      <c r="W480" s="1712"/>
      <c r="X480" s="1712"/>
      <c r="Y480" s="1712"/>
      <c r="Z480" s="1712"/>
      <c r="AA480" s="1712"/>
    </row>
    <row r="481" s="2429" customFormat="1" customHeight="1" spans="10:27">
      <c r="J481" s="2431"/>
      <c r="K481" s="1712"/>
      <c r="L481" s="1712"/>
      <c r="M481" s="1712"/>
      <c r="N481" s="1712"/>
      <c r="O481" s="1712"/>
      <c r="P481" s="1712"/>
      <c r="Q481" s="1712"/>
      <c r="R481" s="1712"/>
      <c r="S481" s="1712"/>
      <c r="T481" s="1712"/>
      <c r="U481" s="1712"/>
      <c r="V481" s="1712"/>
      <c r="W481" s="1712"/>
      <c r="X481" s="1712"/>
      <c r="Y481" s="1712"/>
      <c r="Z481" s="1712"/>
      <c r="AA481" s="1712"/>
    </row>
    <row r="482" s="2429" customFormat="1" customHeight="1" spans="10:27">
      <c r="J482" s="2431"/>
      <c r="K482" s="1712"/>
      <c r="L482" s="1712"/>
      <c r="M482" s="1712"/>
      <c r="N482" s="1712"/>
      <c r="O482" s="1712"/>
      <c r="P482" s="1712"/>
      <c r="Q482" s="1712"/>
      <c r="R482" s="1712"/>
      <c r="S482" s="1712"/>
      <c r="T482" s="1712"/>
      <c r="U482" s="1712"/>
      <c r="V482" s="1712"/>
      <c r="W482" s="1712"/>
      <c r="X482" s="1712"/>
      <c r="Y482" s="1712"/>
      <c r="Z482" s="1712"/>
      <c r="AA482" s="1712"/>
    </row>
    <row r="483" s="2429" customFormat="1" customHeight="1" spans="10:27">
      <c r="J483" s="2431"/>
      <c r="K483" s="1712"/>
      <c r="L483" s="1712"/>
      <c r="M483" s="1712"/>
      <c r="N483" s="1712"/>
      <c r="O483" s="1712"/>
      <c r="P483" s="1712"/>
      <c r="Q483" s="1712"/>
      <c r="R483" s="1712"/>
      <c r="S483" s="1712"/>
      <c r="T483" s="1712"/>
      <c r="U483" s="1712"/>
      <c r="V483" s="1712"/>
      <c r="W483" s="1712"/>
      <c r="X483" s="1712"/>
      <c r="Y483" s="1712"/>
      <c r="Z483" s="1712"/>
      <c r="AA483" s="1712"/>
    </row>
    <row r="484" s="2429" customFormat="1" customHeight="1" spans="10:27">
      <c r="J484" s="2431"/>
      <c r="K484" s="1712"/>
      <c r="L484" s="1712"/>
      <c r="M484" s="1712"/>
      <c r="N484" s="1712"/>
      <c r="O484" s="1712"/>
      <c r="P484" s="1712"/>
      <c r="Q484" s="1712"/>
      <c r="R484" s="1712"/>
      <c r="S484" s="1712"/>
      <c r="T484" s="1712"/>
      <c r="U484" s="1712"/>
      <c r="V484" s="1712"/>
      <c r="W484" s="1712"/>
      <c r="X484" s="1712"/>
      <c r="Y484" s="1712"/>
      <c r="Z484" s="1712"/>
      <c r="AA484" s="1712"/>
    </row>
    <row r="485" s="2429" customFormat="1" customHeight="1" spans="10:27">
      <c r="J485" s="2431"/>
      <c r="K485" s="1712"/>
      <c r="L485" s="1712"/>
      <c r="M485" s="1712"/>
      <c r="N485" s="1712"/>
      <c r="O485" s="1712"/>
      <c r="P485" s="1712"/>
      <c r="Q485" s="1712"/>
      <c r="R485" s="1712"/>
      <c r="S485" s="1712"/>
      <c r="T485" s="1712"/>
      <c r="U485" s="1712"/>
      <c r="V485" s="1712"/>
      <c r="W485" s="1712"/>
      <c r="X485" s="1712"/>
      <c r="Y485" s="1712"/>
      <c r="Z485" s="1712"/>
      <c r="AA485" s="1712"/>
    </row>
    <row r="486" s="2429" customFormat="1" customHeight="1" spans="10:27">
      <c r="J486" s="2431"/>
      <c r="K486" s="1712"/>
      <c r="L486" s="1712"/>
      <c r="M486" s="1712"/>
      <c r="N486" s="1712"/>
      <c r="O486" s="1712"/>
      <c r="P486" s="1712"/>
      <c r="Q486" s="1712"/>
      <c r="R486" s="1712"/>
      <c r="S486" s="1712"/>
      <c r="T486" s="1712"/>
      <c r="U486" s="1712"/>
      <c r="V486" s="1712"/>
      <c r="W486" s="1712"/>
      <c r="X486" s="1712"/>
      <c r="Y486" s="1712"/>
      <c r="Z486" s="1712"/>
      <c r="AA486" s="1712"/>
    </row>
    <row r="487" s="2429" customFormat="1" customHeight="1" spans="10:27">
      <c r="J487" s="2431"/>
      <c r="K487" s="1712"/>
      <c r="L487" s="1712"/>
      <c r="M487" s="1712"/>
      <c r="N487" s="1712"/>
      <c r="O487" s="1712"/>
      <c r="P487" s="1712"/>
      <c r="Q487" s="1712"/>
      <c r="R487" s="1712"/>
      <c r="S487" s="1712"/>
      <c r="T487" s="1712"/>
      <c r="U487" s="1712"/>
      <c r="V487" s="1712"/>
      <c r="W487" s="1712"/>
      <c r="X487" s="1712"/>
      <c r="Y487" s="1712"/>
      <c r="Z487" s="1712"/>
      <c r="AA487" s="1712"/>
    </row>
    <row r="488" s="2429" customFormat="1" customHeight="1" spans="10:27">
      <c r="J488" s="2431"/>
      <c r="K488" s="1712"/>
      <c r="L488" s="1712"/>
      <c r="M488" s="1712"/>
      <c r="N488" s="1712"/>
      <c r="O488" s="1712"/>
      <c r="P488" s="1712"/>
      <c r="Q488" s="1712"/>
      <c r="R488" s="1712"/>
      <c r="S488" s="1712"/>
      <c r="T488" s="1712"/>
      <c r="U488" s="1712"/>
      <c r="V488" s="1712"/>
      <c r="W488" s="1712"/>
      <c r="X488" s="1712"/>
      <c r="Y488" s="1712"/>
      <c r="Z488" s="1712"/>
      <c r="AA488" s="1712"/>
    </row>
    <row r="489" s="2429" customFormat="1" customHeight="1" spans="10:27">
      <c r="J489" s="2431"/>
      <c r="K489" s="1712"/>
      <c r="L489" s="1712"/>
      <c r="M489" s="1712"/>
      <c r="N489" s="1712"/>
      <c r="O489" s="1712"/>
      <c r="P489" s="1712"/>
      <c r="Q489" s="1712"/>
      <c r="R489" s="1712"/>
      <c r="S489" s="1712"/>
      <c r="T489" s="1712"/>
      <c r="U489" s="1712"/>
      <c r="V489" s="1712"/>
      <c r="W489" s="1712"/>
      <c r="X489" s="1712"/>
      <c r="Y489" s="1712"/>
      <c r="Z489" s="1712"/>
      <c r="AA489" s="1712"/>
    </row>
    <row r="490" s="2429" customFormat="1" customHeight="1" spans="10:27">
      <c r="J490" s="2431"/>
      <c r="K490" s="1712"/>
      <c r="L490" s="1712"/>
      <c r="M490" s="1712"/>
      <c r="N490" s="1712"/>
      <c r="O490" s="1712"/>
      <c r="P490" s="1712"/>
      <c r="Q490" s="1712"/>
      <c r="R490" s="1712"/>
      <c r="S490" s="1712"/>
      <c r="T490" s="1712"/>
      <c r="U490" s="1712"/>
      <c r="V490" s="1712"/>
      <c r="W490" s="1712"/>
      <c r="X490" s="1712"/>
      <c r="Y490" s="1712"/>
      <c r="Z490" s="1712"/>
      <c r="AA490" s="1712"/>
    </row>
    <row r="491" s="2429" customFormat="1" customHeight="1" spans="10:27">
      <c r="J491" s="2431"/>
      <c r="K491" s="1712"/>
      <c r="L491" s="1712"/>
      <c r="M491" s="1712"/>
      <c r="N491" s="1712"/>
      <c r="O491" s="1712"/>
      <c r="P491" s="1712"/>
      <c r="Q491" s="1712"/>
      <c r="R491" s="1712"/>
      <c r="S491" s="1712"/>
      <c r="T491" s="1712"/>
      <c r="U491" s="1712"/>
      <c r="V491" s="1712"/>
      <c r="W491" s="1712"/>
      <c r="X491" s="1712"/>
      <c r="Y491" s="1712"/>
      <c r="Z491" s="1712"/>
      <c r="AA491" s="1712"/>
    </row>
    <row r="492" s="2429" customFormat="1" customHeight="1" spans="10:27">
      <c r="J492" s="2431"/>
      <c r="K492" s="1712"/>
      <c r="L492" s="1712"/>
      <c r="M492" s="1712"/>
      <c r="N492" s="1712"/>
      <c r="O492" s="1712"/>
      <c r="P492" s="1712"/>
      <c r="Q492" s="1712"/>
      <c r="R492" s="1712"/>
      <c r="S492" s="1712"/>
      <c r="T492" s="1712"/>
      <c r="U492" s="1712"/>
      <c r="V492" s="1712"/>
      <c r="W492" s="1712"/>
      <c r="X492" s="1712"/>
      <c r="Y492" s="1712"/>
      <c r="Z492" s="1712"/>
      <c r="AA492" s="1712"/>
    </row>
    <row r="493" s="2429" customFormat="1" customHeight="1" spans="10:27">
      <c r="J493" s="2431"/>
      <c r="K493" s="1712"/>
      <c r="L493" s="1712"/>
      <c r="M493" s="1712"/>
      <c r="N493" s="1712"/>
      <c r="O493" s="1712"/>
      <c r="P493" s="1712"/>
      <c r="Q493" s="1712"/>
      <c r="R493" s="1712"/>
      <c r="S493" s="1712"/>
      <c r="T493" s="1712"/>
      <c r="U493" s="1712"/>
      <c r="V493" s="1712"/>
      <c r="W493" s="1712"/>
      <c r="X493" s="1712"/>
      <c r="Y493" s="1712"/>
      <c r="Z493" s="1712"/>
      <c r="AA493" s="1712"/>
    </row>
    <row r="494" s="2429" customFormat="1" customHeight="1" spans="10:27">
      <c r="J494" s="2431"/>
      <c r="K494" s="1712"/>
      <c r="L494" s="1712"/>
      <c r="M494" s="1712"/>
      <c r="N494" s="1712"/>
      <c r="O494" s="1712"/>
      <c r="P494" s="1712"/>
      <c r="Q494" s="1712"/>
      <c r="R494" s="1712"/>
      <c r="S494" s="1712"/>
      <c r="T494" s="1712"/>
      <c r="U494" s="1712"/>
      <c r="V494" s="1712"/>
      <c r="W494" s="1712"/>
      <c r="X494" s="1712"/>
      <c r="Y494" s="1712"/>
      <c r="Z494" s="1712"/>
      <c r="AA494" s="1712"/>
    </row>
    <row r="495" s="2429" customFormat="1" customHeight="1" spans="10:27">
      <c r="J495" s="2431"/>
      <c r="K495" s="1712"/>
      <c r="L495" s="1712"/>
      <c r="M495" s="1712"/>
      <c r="N495" s="1712"/>
      <c r="O495" s="1712"/>
      <c r="P495" s="1712"/>
      <c r="Q495" s="1712"/>
      <c r="R495" s="1712"/>
      <c r="S495" s="1712"/>
      <c r="T495" s="1712"/>
      <c r="U495" s="1712"/>
      <c r="V495" s="1712"/>
      <c r="W495" s="1712"/>
      <c r="X495" s="1712"/>
      <c r="Y495" s="1712"/>
      <c r="Z495" s="1712"/>
      <c r="AA495" s="1712"/>
    </row>
    <row r="496" s="2429" customFormat="1" customHeight="1" spans="10:27">
      <c r="J496" s="2431"/>
      <c r="K496" s="1712"/>
      <c r="L496" s="1712"/>
      <c r="M496" s="1712"/>
      <c r="N496" s="1712"/>
      <c r="O496" s="1712"/>
      <c r="P496" s="1712"/>
      <c r="Q496" s="1712"/>
      <c r="R496" s="1712"/>
      <c r="S496" s="1712"/>
      <c r="T496" s="1712"/>
      <c r="U496" s="1712"/>
      <c r="V496" s="1712"/>
      <c r="W496" s="1712"/>
      <c r="X496" s="1712"/>
      <c r="Y496" s="1712"/>
      <c r="Z496" s="1712"/>
      <c r="AA496" s="1712"/>
    </row>
    <row r="497" s="2429" customFormat="1" customHeight="1" spans="10:27">
      <c r="J497" s="2431"/>
      <c r="K497" s="1712"/>
      <c r="L497" s="1712"/>
      <c r="M497" s="1712"/>
      <c r="N497" s="1712"/>
      <c r="O497" s="1712"/>
      <c r="P497" s="1712"/>
      <c r="Q497" s="1712"/>
      <c r="R497" s="1712"/>
      <c r="S497" s="1712"/>
      <c r="T497" s="1712"/>
      <c r="U497" s="1712"/>
      <c r="V497" s="1712"/>
      <c r="W497" s="1712"/>
      <c r="X497" s="1712"/>
      <c r="Y497" s="1712"/>
      <c r="Z497" s="1712"/>
      <c r="AA497" s="1712"/>
    </row>
    <row r="498" s="2429" customFormat="1" customHeight="1" spans="10:27">
      <c r="J498" s="2431"/>
      <c r="K498" s="1712"/>
      <c r="L498" s="1712"/>
      <c r="M498" s="1712"/>
      <c r="N498" s="1712"/>
      <c r="O498" s="1712"/>
      <c r="P498" s="1712"/>
      <c r="Q498" s="1712"/>
      <c r="R498" s="1712"/>
      <c r="S498" s="1712"/>
      <c r="T498" s="1712"/>
      <c r="U498" s="1712"/>
      <c r="V498" s="1712"/>
      <c r="W498" s="1712"/>
      <c r="X498" s="1712"/>
      <c r="Y498" s="1712"/>
      <c r="Z498" s="1712"/>
      <c r="AA498" s="1712"/>
    </row>
    <row r="499" s="2429" customFormat="1" customHeight="1" spans="10:27">
      <c r="J499" s="2431"/>
      <c r="K499" s="1712"/>
      <c r="L499" s="1712"/>
      <c r="M499" s="1712"/>
      <c r="N499" s="1712"/>
      <c r="O499" s="1712"/>
      <c r="P499" s="1712"/>
      <c r="Q499" s="1712"/>
      <c r="R499" s="1712"/>
      <c r="S499" s="1712"/>
      <c r="T499" s="1712"/>
      <c r="U499" s="1712"/>
      <c r="V499" s="1712"/>
      <c r="W499" s="1712"/>
      <c r="X499" s="1712"/>
      <c r="Y499" s="1712"/>
      <c r="Z499" s="1712"/>
      <c r="AA499" s="1712"/>
    </row>
    <row r="500" s="2429" customFormat="1" customHeight="1" spans="10:27">
      <c r="J500" s="2431"/>
      <c r="K500" s="1712"/>
      <c r="L500" s="1712"/>
      <c r="M500" s="1712"/>
      <c r="N500" s="1712"/>
      <c r="O500" s="1712"/>
      <c r="P500" s="1712"/>
      <c r="Q500" s="1712"/>
      <c r="R500" s="1712"/>
      <c r="S500" s="1712"/>
      <c r="T500" s="1712"/>
      <c r="U500" s="1712"/>
      <c r="V500" s="1712"/>
      <c r="W500" s="1712"/>
      <c r="X500" s="1712"/>
      <c r="Y500" s="1712"/>
      <c r="Z500" s="1712"/>
      <c r="AA500" s="1712"/>
    </row>
    <row r="501" s="2429" customFormat="1" customHeight="1" spans="10:27">
      <c r="J501" s="2431"/>
      <c r="K501" s="1712"/>
      <c r="L501" s="1712"/>
      <c r="M501" s="1712"/>
      <c r="N501" s="1712"/>
      <c r="O501" s="1712"/>
      <c r="P501" s="1712"/>
      <c r="Q501" s="1712"/>
      <c r="R501" s="1712"/>
      <c r="S501" s="1712"/>
      <c r="T501" s="1712"/>
      <c r="U501" s="1712"/>
      <c r="V501" s="1712"/>
      <c r="W501" s="1712"/>
      <c r="X501" s="1712"/>
      <c r="Y501" s="1712"/>
      <c r="Z501" s="1712"/>
      <c r="AA501" s="1712"/>
    </row>
    <row r="502" s="2429" customFormat="1" customHeight="1" spans="10:27">
      <c r="J502" s="2431"/>
      <c r="K502" s="1712"/>
      <c r="L502" s="1712"/>
      <c r="M502" s="1712"/>
      <c r="N502" s="1712"/>
      <c r="O502" s="1712"/>
      <c r="P502" s="1712"/>
      <c r="Q502" s="1712"/>
      <c r="R502" s="1712"/>
      <c r="S502" s="1712"/>
      <c r="T502" s="1712"/>
      <c r="U502" s="1712"/>
      <c r="V502" s="1712"/>
      <c r="W502" s="1712"/>
      <c r="X502" s="1712"/>
      <c r="Y502" s="1712"/>
      <c r="Z502" s="1712"/>
      <c r="AA502" s="1712"/>
    </row>
    <row r="503" s="2429" customFormat="1" customHeight="1" spans="10:27">
      <c r="J503" s="2431"/>
      <c r="K503" s="1712"/>
      <c r="L503" s="1712"/>
      <c r="M503" s="1712"/>
      <c r="N503" s="1712"/>
      <c r="O503" s="1712"/>
      <c r="P503" s="1712"/>
      <c r="Q503" s="1712"/>
      <c r="R503" s="1712"/>
      <c r="S503" s="1712"/>
      <c r="T503" s="1712"/>
      <c r="U503" s="1712"/>
      <c r="V503" s="1712"/>
      <c r="W503" s="1712"/>
      <c r="X503" s="1712"/>
      <c r="Y503" s="1712"/>
      <c r="Z503" s="1712"/>
      <c r="AA503" s="1712"/>
    </row>
    <row r="504" s="2429" customFormat="1" customHeight="1" spans="10:27">
      <c r="J504" s="2431"/>
      <c r="K504" s="1712"/>
      <c r="L504" s="1712"/>
      <c r="M504" s="1712"/>
      <c r="N504" s="1712"/>
      <c r="O504" s="1712"/>
      <c r="P504" s="1712"/>
      <c r="Q504" s="1712"/>
      <c r="R504" s="1712"/>
      <c r="S504" s="1712"/>
      <c r="T504" s="1712"/>
      <c r="U504" s="1712"/>
      <c r="V504" s="1712"/>
      <c r="W504" s="1712"/>
      <c r="X504" s="1712"/>
      <c r="Y504" s="1712"/>
      <c r="Z504" s="1712"/>
      <c r="AA504" s="1712"/>
    </row>
    <row r="505" s="2429" customFormat="1" customHeight="1" spans="10:27">
      <c r="J505" s="2431"/>
      <c r="K505" s="1712"/>
      <c r="L505" s="1712"/>
      <c r="M505" s="1712"/>
      <c r="N505" s="1712"/>
      <c r="O505" s="1712"/>
      <c r="P505" s="1712"/>
      <c r="Q505" s="1712"/>
      <c r="R505" s="1712"/>
      <c r="S505" s="1712"/>
      <c r="T505" s="1712"/>
      <c r="U505" s="1712"/>
      <c r="V505" s="1712"/>
      <c r="W505" s="1712"/>
      <c r="X505" s="1712"/>
      <c r="Y505" s="1712"/>
      <c r="Z505" s="1712"/>
      <c r="AA505" s="1712"/>
    </row>
    <row r="506" s="2429" customFormat="1" customHeight="1" spans="10:27">
      <c r="J506" s="2431"/>
      <c r="K506" s="1712"/>
      <c r="L506" s="1712"/>
      <c r="M506" s="1712"/>
      <c r="N506" s="1712"/>
      <c r="O506" s="1712"/>
      <c r="P506" s="1712"/>
      <c r="Q506" s="1712"/>
      <c r="R506" s="1712"/>
      <c r="S506" s="1712"/>
      <c r="T506" s="1712"/>
      <c r="U506" s="1712"/>
      <c r="V506" s="1712"/>
      <c r="W506" s="1712"/>
      <c r="X506" s="1712"/>
      <c r="Y506" s="1712"/>
      <c r="Z506" s="1712"/>
      <c r="AA506" s="1712"/>
    </row>
    <row r="507" s="2429" customFormat="1" customHeight="1" spans="10:27">
      <c r="J507" s="2431"/>
      <c r="K507" s="1712"/>
      <c r="L507" s="1712"/>
      <c r="M507" s="1712"/>
      <c r="N507" s="1712"/>
      <c r="O507" s="1712"/>
      <c r="P507" s="1712"/>
      <c r="Q507" s="1712"/>
      <c r="R507" s="1712"/>
      <c r="S507" s="1712"/>
      <c r="T507" s="1712"/>
      <c r="U507" s="1712"/>
      <c r="V507" s="1712"/>
      <c r="W507" s="1712"/>
      <c r="X507" s="1712"/>
      <c r="Y507" s="1712"/>
      <c r="Z507" s="1712"/>
      <c r="AA507" s="1712"/>
    </row>
    <row r="508" s="2429" customFormat="1" customHeight="1" spans="10:27">
      <c r="J508" s="2431"/>
      <c r="K508" s="1712"/>
      <c r="L508" s="1712"/>
      <c r="M508" s="1712"/>
      <c r="N508" s="1712"/>
      <c r="O508" s="1712"/>
      <c r="P508" s="1712"/>
      <c r="Q508" s="1712"/>
      <c r="R508" s="1712"/>
      <c r="S508" s="1712"/>
      <c r="T508" s="1712"/>
      <c r="U508" s="1712"/>
      <c r="V508" s="1712"/>
      <c r="W508" s="1712"/>
      <c r="X508" s="1712"/>
      <c r="Y508" s="1712"/>
      <c r="Z508" s="1712"/>
      <c r="AA508" s="1712"/>
    </row>
    <row r="509" s="2429" customFormat="1" customHeight="1" spans="10:27">
      <c r="J509" s="2431"/>
      <c r="K509" s="1712"/>
      <c r="L509" s="1712"/>
      <c r="M509" s="1712"/>
      <c r="N509" s="1712"/>
      <c r="O509" s="1712"/>
      <c r="P509" s="1712"/>
      <c r="Q509" s="1712"/>
      <c r="R509" s="1712"/>
      <c r="S509" s="1712"/>
      <c r="T509" s="1712"/>
      <c r="U509" s="1712"/>
      <c r="V509" s="1712"/>
      <c r="W509" s="1712"/>
      <c r="X509" s="1712"/>
      <c r="Y509" s="1712"/>
      <c r="Z509" s="1712"/>
      <c r="AA509" s="1712"/>
    </row>
    <row r="510" s="2429" customFormat="1" customHeight="1" spans="10:27">
      <c r="J510" s="2431"/>
      <c r="K510" s="1712"/>
      <c r="L510" s="1712"/>
      <c r="M510" s="1712"/>
      <c r="N510" s="1712"/>
      <c r="O510" s="1712"/>
      <c r="P510" s="1712"/>
      <c r="Q510" s="1712"/>
      <c r="R510" s="1712"/>
      <c r="S510" s="1712"/>
      <c r="T510" s="1712"/>
      <c r="U510" s="1712"/>
      <c r="V510" s="1712"/>
      <c r="W510" s="1712"/>
      <c r="X510" s="1712"/>
      <c r="Y510" s="1712"/>
      <c r="Z510" s="1712"/>
      <c r="AA510" s="1712"/>
    </row>
    <row r="511" s="2429" customFormat="1" customHeight="1" spans="10:27">
      <c r="J511" s="2431"/>
      <c r="K511" s="1712"/>
      <c r="L511" s="1712"/>
      <c r="M511" s="1712"/>
      <c r="N511" s="1712"/>
      <c r="O511" s="1712"/>
      <c r="P511" s="1712"/>
      <c r="Q511" s="1712"/>
      <c r="R511" s="1712"/>
      <c r="S511" s="1712"/>
      <c r="T511" s="1712"/>
      <c r="U511" s="1712"/>
      <c r="V511" s="1712"/>
      <c r="W511" s="1712"/>
      <c r="X511" s="1712"/>
      <c r="Y511" s="1712"/>
      <c r="Z511" s="1712"/>
      <c r="AA511" s="1712"/>
    </row>
    <row r="512" s="2429" customFormat="1" customHeight="1" spans="10:27">
      <c r="J512" s="2431"/>
      <c r="K512" s="1712"/>
      <c r="L512" s="1712"/>
      <c r="M512" s="1712"/>
      <c r="N512" s="1712"/>
      <c r="O512" s="1712"/>
      <c r="P512" s="1712"/>
      <c r="Q512" s="1712"/>
      <c r="R512" s="1712"/>
      <c r="S512" s="1712"/>
      <c r="T512" s="1712"/>
      <c r="U512" s="1712"/>
      <c r="V512" s="1712"/>
      <c r="W512" s="1712"/>
      <c r="X512" s="1712"/>
      <c r="Y512" s="1712"/>
      <c r="Z512" s="1712"/>
      <c r="AA512" s="1712"/>
    </row>
    <row r="513" s="2429" customFormat="1" customHeight="1" spans="10:27">
      <c r="J513" s="2431"/>
      <c r="K513" s="1712"/>
      <c r="L513" s="1712"/>
      <c r="M513" s="1712"/>
      <c r="N513" s="1712"/>
      <c r="O513" s="1712"/>
      <c r="P513" s="1712"/>
      <c r="Q513" s="1712"/>
      <c r="R513" s="1712"/>
      <c r="S513" s="1712"/>
      <c r="T513" s="1712"/>
      <c r="U513" s="1712"/>
      <c r="V513" s="1712"/>
      <c r="W513" s="1712"/>
      <c r="X513" s="1712"/>
      <c r="Y513" s="1712"/>
      <c r="Z513" s="1712"/>
      <c r="AA513" s="1712"/>
    </row>
    <row r="514" s="2429" customFormat="1" customHeight="1" spans="10:27">
      <c r="J514" s="2431"/>
      <c r="K514" s="1712"/>
      <c r="L514" s="1712"/>
      <c r="M514" s="1712"/>
      <c r="N514" s="1712"/>
      <c r="O514" s="1712"/>
      <c r="P514" s="1712"/>
      <c r="Q514" s="1712"/>
      <c r="R514" s="1712"/>
      <c r="S514" s="1712"/>
      <c r="T514" s="1712"/>
      <c r="U514" s="1712"/>
      <c r="V514" s="1712"/>
      <c r="W514" s="1712"/>
      <c r="X514" s="1712"/>
      <c r="Y514" s="1712"/>
      <c r="Z514" s="1712"/>
      <c r="AA514" s="1712"/>
    </row>
    <row r="515" s="2429" customFormat="1" customHeight="1" spans="10:27">
      <c r="J515" s="2431"/>
      <c r="K515" s="1712"/>
      <c r="L515" s="1712"/>
      <c r="M515" s="1712"/>
      <c r="N515" s="1712"/>
      <c r="O515" s="1712"/>
      <c r="P515" s="1712"/>
      <c r="Q515" s="1712"/>
      <c r="R515" s="1712"/>
      <c r="S515" s="1712"/>
      <c r="T515" s="1712"/>
      <c r="U515" s="1712"/>
      <c r="V515" s="1712"/>
      <c r="W515" s="1712"/>
      <c r="X515" s="1712"/>
      <c r="Y515" s="1712"/>
      <c r="Z515" s="1712"/>
      <c r="AA515" s="1712"/>
    </row>
    <row r="516" s="2429" customFormat="1" customHeight="1" spans="6:27">
      <c r="F516" s="2430"/>
      <c r="G516" s="2430"/>
      <c r="H516" s="2430"/>
      <c r="I516" s="2430"/>
      <c r="J516" s="2431"/>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88">
      <formula1>"仅含出让金,出让金+开发费"</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30"/>
    <col min="2" max="2" width="17.6666666666667" style="2430" customWidth="1"/>
    <col min="3" max="4" width="12.6666666666667" style="2430" customWidth="1"/>
    <col min="5" max="9" width="12.6666666666667" style="2430"/>
    <col min="10" max="10" width="4.10833333333333" style="2431" customWidth="1"/>
    <col min="11" max="12" width="12.6666666666667" style="1712" customWidth="1"/>
    <col min="13" max="13" width="12.6666666666667" style="1712"/>
    <col min="14" max="14" width="14.1083333333333" style="1712" customWidth="1"/>
    <col min="15" max="27" width="12.6666666666667" style="1712"/>
    <col min="28" max="36" width="12.6666666666667" style="2429"/>
    <col min="37" max="16384" width="12.6666666666667" style="2430"/>
  </cols>
  <sheetData>
    <row r="1" customHeight="1" spans="1:9">
      <c r="A1" s="2432" t="s">
        <v>608</v>
      </c>
      <c r="B1" s="2433"/>
      <c r="C1" s="2433"/>
      <c r="D1" s="2433"/>
      <c r="E1" s="2433"/>
      <c r="F1" s="2433"/>
      <c r="G1" s="2433"/>
      <c r="H1" s="2433"/>
      <c r="I1" s="2433"/>
    </row>
    <row r="2" customHeight="1" spans="1:10">
      <c r="A2" s="2434" t="s">
        <v>825</v>
      </c>
      <c r="B2" s="2434"/>
      <c r="C2" s="2434"/>
      <c r="D2" s="2434"/>
      <c r="E2" s="2434"/>
      <c r="F2" s="2434"/>
      <c r="G2" s="2434"/>
      <c r="H2" s="2434"/>
      <c r="I2" s="2434"/>
      <c r="J2" s="2565"/>
    </row>
    <row r="3" ht="13.5" spans="1:10">
      <c r="A3" s="2435" t="s">
        <v>609</v>
      </c>
      <c r="B3" s="2167"/>
      <c r="C3" s="2167"/>
      <c r="D3" s="2167"/>
      <c r="E3" s="2167"/>
      <c r="F3" s="2167"/>
      <c r="G3" s="2167"/>
      <c r="H3" s="2167"/>
      <c r="I3" s="2167"/>
      <c r="J3" s="2566"/>
    </row>
    <row r="4" ht="14.25" spans="1:15">
      <c r="A4" s="2436" t="s">
        <v>610</v>
      </c>
      <c r="B4" s="2436" t="s">
        <v>611</v>
      </c>
      <c r="C4" s="2437"/>
      <c r="D4" s="2437"/>
      <c r="E4" s="2149" t="s">
        <v>614</v>
      </c>
      <c r="F4" s="2150"/>
      <c r="G4" s="2150"/>
      <c r="H4" s="2150"/>
      <c r="I4" s="2550"/>
      <c r="J4" s="2567"/>
      <c r="L4" s="24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3"/>
      <c r="O4" s="2433"/>
    </row>
    <row r="5" ht="13.5" spans="1:10">
      <c r="A5" s="1294" t="s">
        <v>615</v>
      </c>
      <c r="B5" s="1294">
        <v>25</v>
      </c>
      <c r="C5" s="2438"/>
      <c r="D5" s="2439"/>
      <c r="E5" s="2228" t="s">
        <v>616</v>
      </c>
      <c r="F5" s="2150"/>
      <c r="G5" s="2150"/>
      <c r="H5" s="2150"/>
      <c r="I5" s="2550"/>
      <c r="J5" s="2567"/>
    </row>
    <row r="6" ht="13.5" spans="1:10">
      <c r="A6" s="1294"/>
      <c r="B6" s="1294"/>
      <c r="C6" s="2440"/>
      <c r="D6" s="2439"/>
      <c r="E6" s="2228" t="s">
        <v>617</v>
      </c>
      <c r="F6" s="2150"/>
      <c r="G6" s="2150"/>
      <c r="H6" s="2150"/>
      <c r="I6" s="2550"/>
      <c r="J6" s="2567"/>
    </row>
    <row r="7" ht="13.5" spans="1:10">
      <c r="A7" s="1294"/>
      <c r="B7" s="1294"/>
      <c r="C7" s="2441"/>
      <c r="D7" s="2439"/>
      <c r="E7" s="2228" t="s">
        <v>618</v>
      </c>
      <c r="F7" s="2150"/>
      <c r="G7" s="2150"/>
      <c r="H7" s="2150"/>
      <c r="I7" s="2550"/>
      <c r="J7" s="2567"/>
    </row>
    <row r="8" ht="13.5" spans="1:10">
      <c r="A8" s="1294" t="s">
        <v>619</v>
      </c>
      <c r="B8" s="1294">
        <v>15</v>
      </c>
      <c r="C8" s="2438"/>
      <c r="D8" s="2439"/>
      <c r="E8" s="2228" t="s">
        <v>620</v>
      </c>
      <c r="F8" s="2150"/>
      <c r="G8" s="2150"/>
      <c r="H8" s="2150"/>
      <c r="I8" s="2550"/>
      <c r="J8" s="2567"/>
    </row>
    <row r="9" ht="13.5" spans="1:10">
      <c r="A9" s="1294"/>
      <c r="B9" s="1294"/>
      <c r="C9" s="2441"/>
      <c r="D9" s="2439"/>
      <c r="E9" s="2228" t="s">
        <v>621</v>
      </c>
      <c r="F9" s="2150"/>
      <c r="G9" s="2150"/>
      <c r="H9" s="2150"/>
      <c r="I9" s="2550"/>
      <c r="J9" s="2567"/>
    </row>
    <row r="10" ht="13.5" spans="1:10">
      <c r="A10" s="1294" t="s">
        <v>622</v>
      </c>
      <c r="B10" s="1294">
        <v>15</v>
      </c>
      <c r="C10" s="2438"/>
      <c r="D10" s="2439"/>
      <c r="E10" s="2228" t="s">
        <v>623</v>
      </c>
      <c r="F10" s="2150"/>
      <c r="G10" s="2150"/>
      <c r="H10" s="2150"/>
      <c r="I10" s="2550"/>
      <c r="J10" s="2567"/>
    </row>
    <row r="11" ht="13.5" spans="1:10">
      <c r="A11" s="1294"/>
      <c r="B11" s="1294"/>
      <c r="C11" s="2441"/>
      <c r="D11" s="2439"/>
      <c r="E11" s="2228" t="s">
        <v>624</v>
      </c>
      <c r="F11" s="2150"/>
      <c r="G11" s="2150"/>
      <c r="H11" s="2150"/>
      <c r="I11" s="2550"/>
      <c r="J11" s="2567"/>
    </row>
    <row r="12" ht="13.5" spans="1:10">
      <c r="A12" s="1294" t="s">
        <v>625</v>
      </c>
      <c r="B12" s="1294">
        <v>15</v>
      </c>
      <c r="C12" s="2438"/>
      <c r="D12" s="2439"/>
      <c r="E12" s="2228" t="s">
        <v>626</v>
      </c>
      <c r="F12" s="2150"/>
      <c r="G12" s="2150"/>
      <c r="H12" s="2150"/>
      <c r="I12" s="2550"/>
      <c r="J12" s="2567"/>
    </row>
    <row r="13" ht="13.5" spans="1:10">
      <c r="A13" s="1294"/>
      <c r="B13" s="1294"/>
      <c r="C13" s="2441"/>
      <c r="D13" s="2439"/>
      <c r="E13" s="2228" t="s">
        <v>627</v>
      </c>
      <c r="F13" s="2150"/>
      <c r="G13" s="2150"/>
      <c r="H13" s="2150"/>
      <c r="I13" s="2550"/>
      <c r="J13" s="2567"/>
    </row>
    <row r="14" ht="13.5" spans="1:10">
      <c r="A14" s="1294" t="s">
        <v>628</v>
      </c>
      <c r="B14" s="1294">
        <v>30</v>
      </c>
      <c r="C14" s="2438"/>
      <c r="D14" s="2439"/>
      <c r="E14" s="2228" t="s">
        <v>629</v>
      </c>
      <c r="F14" s="2150"/>
      <c r="G14" s="2150"/>
      <c r="H14" s="2150"/>
      <c r="I14" s="2550"/>
      <c r="J14" s="2567"/>
    </row>
    <row r="15" ht="13.5" spans="1:10">
      <c r="A15" s="1294"/>
      <c r="B15" s="1294"/>
      <c r="C15" s="2440"/>
      <c r="D15" s="2439"/>
      <c r="E15" s="2228" t="s">
        <v>630</v>
      </c>
      <c r="F15" s="2150"/>
      <c r="G15" s="2150"/>
      <c r="H15" s="2150"/>
      <c r="I15" s="2550"/>
      <c r="J15" s="2567"/>
    </row>
    <row r="16" ht="13.5" spans="1:10">
      <c r="A16" s="1294"/>
      <c r="B16" s="1294"/>
      <c r="C16" s="2441"/>
      <c r="D16" s="2439"/>
      <c r="E16" s="2228" t="s">
        <v>631</v>
      </c>
      <c r="F16" s="2150"/>
      <c r="G16" s="2150"/>
      <c r="H16" s="2150"/>
      <c r="I16" s="2550"/>
      <c r="J16" s="2567"/>
    </row>
    <row r="17" ht="14.25" spans="1:10">
      <c r="A17" s="2442" t="s">
        <v>632</v>
      </c>
      <c r="B17" s="1293"/>
      <c r="C17" s="2443">
        <f>SUM(C5:C16)</f>
        <v>0</v>
      </c>
      <c r="D17" s="2443">
        <f>SUM(D5:D16)</f>
        <v>0</v>
      </c>
      <c r="E17" s="2444"/>
      <c r="F17" s="2444"/>
      <c r="G17" s="2444"/>
      <c r="H17" s="2444"/>
      <c r="I17" s="2444"/>
      <c r="J17" s="2568"/>
    </row>
    <row r="18" ht="32.4" customHeight="1" spans="1:10">
      <c r="A18" s="2445" t="s">
        <v>633</v>
      </c>
      <c r="B18" s="2446"/>
      <c r="C18" s="2447" t="e">
        <f>ROUND(C17/SUM(C17:D17),2)</f>
        <v>#DIV/0!</v>
      </c>
      <c r="D18" s="2447" t="e">
        <f>1-C18</f>
        <v>#DIV/0!</v>
      </c>
      <c r="E18" s="2448" t="s">
        <v>634</v>
      </c>
      <c r="F18" s="2449"/>
      <c r="G18" s="2449"/>
      <c r="H18" s="2449"/>
      <c r="I18" s="2449"/>
      <c r="J18" s="2568"/>
    </row>
    <row r="19" ht="14.25" spans="1:10">
      <c r="A19" s="2450" t="s">
        <v>635</v>
      </c>
      <c r="B19" s="2451" t="s">
        <v>636</v>
      </c>
      <c r="C19" s="2452" t="e">
        <f ca="1">SUMIF(INDIRECT("'"&amp;C4&amp;"'"&amp;"!A:A"),'结果表 (1修多)'!B19,INDIRECT("'"&amp;C4&amp;"'"&amp;"!B:B"))</f>
        <v>#REF!</v>
      </c>
      <c r="D19" s="2453" t="e">
        <f ca="1">SUMIF(INDIRECT("'"&amp;D4&amp;"'"&amp;"!A:A"),'结果表 (1修多)'!B19,INDIRECT("'"&amp;D4&amp;"'"&amp;"!B:B"))</f>
        <v>#REF!</v>
      </c>
      <c r="E19" s="2450" t="s">
        <v>637</v>
      </c>
      <c r="F19" s="2451" t="s">
        <v>636</v>
      </c>
      <c r="G19" s="2454" t="e">
        <f ca="1">ROUND(C19*$C$18+D19*$D$18,0)</f>
        <v>#REF!</v>
      </c>
      <c r="H19" s="2455" t="str">
        <f>'数据-取费表'!B3</f>
        <v>元</v>
      </c>
      <c r="I19" s="2444"/>
      <c r="J19" s="2568"/>
    </row>
    <row r="20" ht="15" spans="1:10">
      <c r="A20" s="2456"/>
      <c r="B20" s="1311" t="s">
        <v>638</v>
      </c>
      <c r="C20" s="1218" t="e">
        <f ca="1">SUMIF(INDIRECT("'"&amp;C4&amp;"'"&amp;"!A:A"),'结果表 (1修多)'!B20,INDIRECT("'"&amp;C4&amp;"'"&amp;"!B:B"))</f>
        <v>#REF!</v>
      </c>
      <c r="D20" s="2393" t="e">
        <f ca="1">SUMIF(INDIRECT("'"&amp;D4&amp;"'"&amp;"!A:A"),'结果表 (1修多)'!B20,INDIRECT("'"&amp;D4&amp;"'"&amp;"!B:B"))</f>
        <v>#REF!</v>
      </c>
      <c r="E20" s="2456"/>
      <c r="F20" s="1311" t="s">
        <v>638</v>
      </c>
      <c r="G20" s="1242" t="e">
        <f ca="1">ROUND(C20*$C$18+D20*$D$18,0)</f>
        <v>#REF!</v>
      </c>
      <c r="H20" s="2457" t="s">
        <v>639</v>
      </c>
      <c r="I20" s="2444"/>
      <c r="J20" s="2568"/>
    </row>
    <row r="21" ht="15" customHeight="1" spans="1:10">
      <c r="A21" s="2458"/>
      <c r="B21" s="2459"/>
      <c r="C21" s="2459"/>
      <c r="D21" s="2460"/>
      <c r="E21" s="2458"/>
      <c r="F21" s="2459"/>
      <c r="G21" s="2461"/>
      <c r="H21" s="2462"/>
      <c r="I21" s="2444"/>
      <c r="J21" s="2568"/>
    </row>
    <row r="22" ht="15" spans="1:10">
      <c r="A22" s="2463" t="s">
        <v>640</v>
      </c>
      <c r="B22" s="2464"/>
      <c r="C22" s="2465"/>
      <c r="D22" s="2466" t="e">
        <f ca="1">IF(C19&lt;D19,D19/C19-1,C19/D19-1)</f>
        <v>#REF!</v>
      </c>
      <c r="E22" s="2266"/>
      <c r="F22" s="2266"/>
      <c r="G22" s="2266"/>
      <c r="H22" s="2266"/>
      <c r="I22" s="2266"/>
      <c r="J22" s="2568"/>
    </row>
    <row r="23" ht="14.25" spans="1:10">
      <c r="A23" s="2444"/>
      <c r="B23" s="2444"/>
      <c r="C23" s="2444"/>
      <c r="D23" s="2444"/>
      <c r="E23" s="2266"/>
      <c r="F23" s="2266"/>
      <c r="G23" s="2266"/>
      <c r="H23" s="2266"/>
      <c r="I23" s="2266"/>
      <c r="J23" s="2568"/>
    </row>
    <row r="24" customHeight="1" spans="1:10">
      <c r="A24" s="1122" t="s">
        <v>641</v>
      </c>
      <c r="B24" s="2451" t="s">
        <v>636</v>
      </c>
      <c r="C24" s="2454">
        <f>D30</f>
        <v>0</v>
      </c>
      <c r="D24" s="2467"/>
      <c r="E24" s="2266"/>
      <c r="F24" s="2266"/>
      <c r="G24" s="2266"/>
      <c r="H24" s="2266"/>
      <c r="I24" s="2266"/>
      <c r="J24" s="2568"/>
    </row>
    <row r="25" customHeight="1" spans="1:10">
      <c r="A25" s="2468"/>
      <c r="B25" s="1311" t="s">
        <v>638</v>
      </c>
      <c r="C25" s="2469">
        <f>IF(B30=0,0,C30)</f>
        <v>0</v>
      </c>
      <c r="D25" s="2470"/>
      <c r="E25" s="2266"/>
      <c r="F25" s="2266"/>
      <c r="G25" s="2266"/>
      <c r="H25" s="2266"/>
      <c r="I25" s="2266"/>
      <c r="J25" s="2568"/>
    </row>
    <row r="26" ht="13.5" customHeight="1" spans="1:10">
      <c r="A26" s="2471" t="s">
        <v>642</v>
      </c>
      <c r="B26" s="2472" t="s">
        <v>643</v>
      </c>
      <c r="C26" s="2472" t="s">
        <v>644</v>
      </c>
      <c r="D26" s="2473" t="s">
        <v>645</v>
      </c>
      <c r="E26" s="2266"/>
      <c r="F26" s="2266"/>
      <c r="G26" s="2266"/>
      <c r="H26" s="2266"/>
      <c r="I26" s="2266"/>
      <c r="J26" s="2568"/>
    </row>
    <row r="27" ht="14.25" spans="1:10">
      <c r="A27" s="2474" t="s">
        <v>826</v>
      </c>
      <c r="B27" s="2472">
        <v>0</v>
      </c>
      <c r="C27" s="2472">
        <v>0</v>
      </c>
      <c r="D27" s="2473">
        <f>ROUND(C27*B27/10000,0)</f>
        <v>0</v>
      </c>
      <c r="E27" s="2266"/>
      <c r="F27" s="2266"/>
      <c r="G27" s="2266"/>
      <c r="H27" s="2266"/>
      <c r="I27" s="2266"/>
      <c r="J27" s="2568"/>
    </row>
    <row r="28" ht="14.25" spans="1:10">
      <c r="A28" s="2471"/>
      <c r="B28" s="2472"/>
      <c r="C28" s="2472"/>
      <c r="D28" s="2473">
        <f>ROUND(C28*B28/10000,0)</f>
        <v>0</v>
      </c>
      <c r="E28" s="2266"/>
      <c r="F28" s="2266"/>
      <c r="G28" s="2266"/>
      <c r="H28" s="2266"/>
      <c r="I28" s="2266"/>
      <c r="J28" s="2568"/>
    </row>
    <row r="29" ht="14.25" spans="1:10">
      <c r="A29" s="2471"/>
      <c r="B29" s="2472"/>
      <c r="C29" s="2472"/>
      <c r="D29" s="2473">
        <f t="shared" ref="D29" si="0">ROUND(C29*B29/10000,0)</f>
        <v>0</v>
      </c>
      <c r="E29" s="2266"/>
      <c r="F29" s="2266"/>
      <c r="G29" s="2266"/>
      <c r="H29" s="2266"/>
      <c r="I29" s="2266"/>
      <c r="J29" s="2568"/>
    </row>
    <row r="30" ht="15" spans="1:10">
      <c r="A30" s="2475" t="s">
        <v>646</v>
      </c>
      <c r="B30" s="2476"/>
      <c r="C30" s="2476"/>
      <c r="D30" s="2476"/>
      <c r="E30" s="2477" t="s">
        <v>647</v>
      </c>
      <c r="F30" s="2444"/>
      <c r="G30" s="2444"/>
      <c r="H30" s="2444"/>
      <c r="I30" s="2444"/>
      <c r="J30" s="2568"/>
    </row>
    <row r="31" s="2426" customFormat="1" ht="27.6" customHeight="1" spans="1:36">
      <c r="A31" s="2478"/>
      <c r="B31" s="2479"/>
      <c r="C31" s="2479"/>
      <c r="D31" s="2479"/>
      <c r="E31" s="2479"/>
      <c r="F31" s="2479"/>
      <c r="G31" s="2479"/>
      <c r="H31" s="2479"/>
      <c r="I31" s="2569" t="s">
        <v>648</v>
      </c>
      <c r="J31" s="2570"/>
      <c r="K31" s="2571"/>
      <c r="L31" s="2571"/>
      <c r="M31" s="2571"/>
      <c r="N31" s="2571"/>
      <c r="O31" s="2571"/>
      <c r="P31" s="2571"/>
      <c r="Q31" s="2571"/>
      <c r="R31" s="2571"/>
      <c r="S31" s="2571"/>
      <c r="T31" s="2571"/>
      <c r="U31" s="2571"/>
      <c r="V31" s="2571"/>
      <c r="W31" s="2571"/>
      <c r="X31" s="2571"/>
      <c r="Y31" s="2571"/>
      <c r="Z31" s="2571"/>
      <c r="AA31" s="2571"/>
      <c r="AB31" s="2616"/>
      <c r="AC31" s="2616"/>
      <c r="AD31" s="2616"/>
      <c r="AE31" s="2616"/>
      <c r="AF31" s="2616"/>
      <c r="AG31" s="2616"/>
      <c r="AH31" s="2616"/>
      <c r="AI31" s="2616"/>
      <c r="AJ31" s="2616"/>
    </row>
    <row r="32" s="2427" customFormat="1" ht="16.5" spans="1:36">
      <c r="A32" s="2480" t="s">
        <v>827</v>
      </c>
      <c r="B32" s="2480"/>
      <c r="C32" s="2480"/>
      <c r="D32" s="2480"/>
      <c r="E32" s="2480"/>
      <c r="F32" s="2480"/>
      <c r="G32" s="2480"/>
      <c r="H32" s="2480"/>
      <c r="I32" s="2480"/>
      <c r="J32" s="2572"/>
      <c r="K32" s="1712"/>
      <c r="L32" s="1712"/>
      <c r="M32" s="1712"/>
      <c r="N32" s="1712"/>
      <c r="O32" s="1712"/>
      <c r="P32" s="1712"/>
      <c r="Q32" s="1712"/>
      <c r="R32" s="1712"/>
      <c r="S32" s="1712"/>
      <c r="T32" s="1712"/>
      <c r="U32" s="1712"/>
      <c r="V32" s="1712"/>
      <c r="W32" s="1712"/>
      <c r="X32" s="1712"/>
      <c r="Y32" s="1712"/>
      <c r="Z32" s="1712"/>
      <c r="AA32" s="1712"/>
      <c r="AB32" s="2429"/>
      <c r="AC32" s="2429"/>
      <c r="AD32" s="2429"/>
      <c r="AE32" s="2429"/>
      <c r="AF32" s="2429"/>
      <c r="AG32" s="2429"/>
      <c r="AH32" s="2429"/>
      <c r="AI32" s="2429"/>
      <c r="AJ32" s="2429"/>
    </row>
    <row r="33" ht="15" spans="1:10">
      <c r="A33" s="2481"/>
      <c r="B33" s="2482" t="s">
        <v>828</v>
      </c>
      <c r="C33" s="2483">
        <f>典型户型修正!R27</f>
        <v>0</v>
      </c>
      <c r="D33" s="2444" t="s">
        <v>639</v>
      </c>
      <c r="E33" s="2266"/>
      <c r="F33" s="2266"/>
      <c r="G33" s="2266"/>
      <c r="H33" s="2266"/>
      <c r="I33" s="2266"/>
      <c r="J33" s="2568"/>
    </row>
    <row r="34" ht="14.25" spans="1:10">
      <c r="A34" s="2484" t="s">
        <v>829</v>
      </c>
      <c r="B34" s="2485" t="s">
        <v>830</v>
      </c>
      <c r="C34" s="2486">
        <f ca="1">典型户型修正!B2</f>
        <v>0</v>
      </c>
      <c r="D34" s="2487" t="str">
        <f>IF('数据-取费表'!B3="万元","万元","元")</f>
        <v>元</v>
      </c>
      <c r="E34" s="2266"/>
      <c r="F34" s="2266"/>
      <c r="G34" s="2266"/>
      <c r="H34" s="2266"/>
      <c r="I34" s="2266"/>
      <c r="J34" s="2568"/>
    </row>
    <row r="35" ht="15.75" spans="1:10">
      <c r="A35" s="2488"/>
      <c r="B35" s="2489" t="s">
        <v>831</v>
      </c>
      <c r="C35" s="2460" t="e">
        <f ca="1">典型户型修正!B3</f>
        <v>#DIV/0!</v>
      </c>
      <c r="D35" s="2444" t="s">
        <v>639</v>
      </c>
      <c r="E35" s="2266"/>
      <c r="F35" s="2266"/>
      <c r="G35" s="2266"/>
      <c r="H35" s="2266"/>
      <c r="I35" s="2266"/>
      <c r="J35" s="2568"/>
    </row>
    <row r="36" ht="15" spans="1:10">
      <c r="A36" s="2490"/>
      <c r="B36" s="2491" t="s">
        <v>652</v>
      </c>
      <c r="C36" s="2492">
        <f>IF('数据-取费表'!B3="万元",典型户型修正!V25,典型户型修正!U25)</f>
        <v>0</v>
      </c>
      <c r="D36" s="2444" t="str">
        <f>D34</f>
        <v>元</v>
      </c>
      <c r="E36" s="2266"/>
      <c r="F36" s="2266"/>
      <c r="G36" s="2266"/>
      <c r="H36" s="2266"/>
      <c r="I36" s="2266"/>
      <c r="J36" s="2568"/>
    </row>
    <row r="37" ht="15.75" spans="1:10">
      <c r="A37" s="2493"/>
      <c r="B37" s="2494" t="s">
        <v>654</v>
      </c>
      <c r="C37" s="2495">
        <f>IF('数据-取费表'!B3="万元",典型户型修正!Y25,典型户型修正!X25)</f>
        <v>0</v>
      </c>
      <c r="D37" s="2444" t="str">
        <f>D34</f>
        <v>元</v>
      </c>
      <c r="E37" s="2266"/>
      <c r="F37" s="2266"/>
      <c r="G37" s="2266"/>
      <c r="H37" s="2266"/>
      <c r="I37" s="2266"/>
      <c r="J37" s="2568"/>
    </row>
    <row r="38" ht="15.75" spans="1:10">
      <c r="A38" s="1122" t="s">
        <v>656</v>
      </c>
      <c r="B38" s="2491" t="s">
        <v>657</v>
      </c>
      <c r="C38" s="2496"/>
      <c r="D38" s="2497"/>
      <c r="E38" s="2498"/>
      <c r="F38" s="2498"/>
      <c r="G38" s="2266"/>
      <c r="H38" s="2266"/>
      <c r="I38" s="2266"/>
      <c r="J38" s="2568"/>
    </row>
    <row r="39" ht="15.75" spans="1:10">
      <c r="A39" s="1134"/>
      <c r="B39" s="1293" t="s">
        <v>658</v>
      </c>
      <c r="C39" s="2499"/>
      <c r="D39" s="2500"/>
      <c r="E39" s="2500"/>
      <c r="F39" s="2498"/>
      <c r="G39" s="2500"/>
      <c r="H39" s="2500"/>
      <c r="I39" s="2500"/>
      <c r="J39" s="2573"/>
    </row>
    <row r="40" ht="15.75" spans="1:10">
      <c r="A40" s="2501"/>
      <c r="B40" s="2494" t="s">
        <v>659</v>
      </c>
      <c r="C40" s="2502"/>
      <c r="D40" s="2503" t="s">
        <v>660</v>
      </c>
      <c r="E40" s="2500"/>
      <c r="F40" s="2498"/>
      <c r="G40" s="2500"/>
      <c r="H40" s="2500"/>
      <c r="I40" s="2500"/>
      <c r="J40" s="2573"/>
    </row>
    <row r="41" ht="14.25" spans="1:10">
      <c r="A41" s="2456" t="s">
        <v>661</v>
      </c>
      <c r="B41" s="2504" t="s">
        <v>643</v>
      </c>
      <c r="C41" s="2505" t="s">
        <v>644</v>
      </c>
      <c r="D41" s="2505" t="s">
        <v>662</v>
      </c>
      <c r="E41" s="2506" t="s">
        <v>645</v>
      </c>
      <c r="F41" s="2498"/>
      <c r="G41" s="2500"/>
      <c r="H41" s="2500"/>
      <c r="I41" s="2500"/>
      <c r="J41" s="2573"/>
    </row>
    <row r="42" ht="14.25" spans="1:10">
      <c r="A42" s="2507" t="s">
        <v>663</v>
      </c>
      <c r="B42" s="2508"/>
      <c r="C42" s="2509"/>
      <c r="D42" s="2509"/>
      <c r="E42" s="2510"/>
      <c r="F42" s="2498"/>
      <c r="G42" s="2500"/>
      <c r="H42" s="2500"/>
      <c r="I42" s="2500"/>
      <c r="J42" s="2573"/>
    </row>
    <row r="43" ht="14.25" spans="1:10">
      <c r="A43" s="2507" t="s">
        <v>664</v>
      </c>
      <c r="B43" s="2508"/>
      <c r="C43" s="2509"/>
      <c r="D43" s="2509"/>
      <c r="E43" s="2510"/>
      <c r="F43" s="2498"/>
      <c r="G43" s="2500"/>
      <c r="H43" s="2500"/>
      <c r="I43" s="2500"/>
      <c r="J43" s="2573"/>
    </row>
    <row r="44" ht="15" spans="1:10">
      <c r="A44" s="2511"/>
      <c r="B44" s="2512"/>
      <c r="C44" s="2513"/>
      <c r="D44" s="2513"/>
      <c r="E44" s="2514"/>
      <c r="F44" s="2498"/>
      <c r="G44" s="2500"/>
      <c r="H44" s="2500"/>
      <c r="I44" s="2500"/>
      <c r="J44" s="2573"/>
    </row>
    <row r="45" ht="13.5" spans="1:10">
      <c r="A45" s="2515"/>
      <c r="B45" s="2515"/>
      <c r="C45" s="2515"/>
      <c r="D45" s="2515"/>
      <c r="E45" s="2515"/>
      <c r="F45" s="2516"/>
      <c r="G45" s="2516"/>
      <c r="H45" s="2516"/>
      <c r="I45" s="2574"/>
      <c r="J45" s="2575"/>
    </row>
    <row r="46" ht="18.75" spans="1:16">
      <c r="A46" s="2517" t="s">
        <v>665</v>
      </c>
      <c r="B46" s="2518"/>
      <c r="C46" s="2518"/>
      <c r="D46" s="2519"/>
      <c r="E46" s="2519"/>
      <c r="F46" s="2519"/>
      <c r="G46" s="2519"/>
      <c r="H46" s="2519"/>
      <c r="I46" s="2576" t="s">
        <v>666</v>
      </c>
      <c r="J46" s="2577"/>
      <c r="K46" s="2578" t="s">
        <v>667</v>
      </c>
      <c r="L46" s="2579"/>
      <c r="M46" s="2579"/>
      <c r="N46" s="2579"/>
      <c r="O46" s="2579"/>
      <c r="P46" s="2579"/>
    </row>
    <row r="47" ht="14.25" customHeight="1" spans="1:16">
      <c r="A47" s="2520" t="s">
        <v>668</v>
      </c>
      <c r="B47" s="2521"/>
      <c r="C47" s="2522"/>
      <c r="D47" s="2128">
        <f ca="1">ROUND(I104*F47,0)</f>
        <v>0</v>
      </c>
      <c r="E47" s="2216" t="s">
        <v>669</v>
      </c>
      <c r="F47" s="2523">
        <v>1</v>
      </c>
      <c r="G47" s="2524" t="s">
        <v>670</v>
      </c>
      <c r="H47" s="2266"/>
      <c r="I47" s="2266"/>
      <c r="J47" s="2568"/>
      <c r="K47" s="2580" t="s">
        <v>832</v>
      </c>
      <c r="L47" s="2580"/>
      <c r="M47" s="2580"/>
      <c r="N47" s="2580"/>
      <c r="O47" s="2580"/>
      <c r="P47" s="2580"/>
    </row>
    <row r="48" ht="14.25" customHeight="1" spans="1:16">
      <c r="A48" s="2525" t="s">
        <v>672</v>
      </c>
      <c r="B48" s="2526"/>
      <c r="C48" s="2526"/>
      <c r="D48" s="2526"/>
      <c r="E48" s="2526"/>
      <c r="F48" s="2526"/>
      <c r="G48" s="2527"/>
      <c r="H48" s="2528"/>
      <c r="I48" s="2266"/>
      <c r="J48" s="2568"/>
      <c r="K48" s="2581">
        <v>1</v>
      </c>
      <c r="L48" s="2582" t="s">
        <v>833</v>
      </c>
      <c r="M48" s="2582"/>
      <c r="N48" s="2583"/>
      <c r="O48" s="2583"/>
      <c r="P48" s="2583"/>
    </row>
    <row r="49" ht="12" customHeight="1" spans="1:16">
      <c r="A49" s="2529" t="s">
        <v>673</v>
      </c>
      <c r="B49" s="2530"/>
      <c r="C49" s="2531"/>
      <c r="D49" s="2166" t="s">
        <v>674</v>
      </c>
      <c r="E49" s="2116" t="s">
        <v>675</v>
      </c>
      <c r="F49" s="2327" t="s">
        <v>676</v>
      </c>
      <c r="G49" s="2532" t="s">
        <v>677</v>
      </c>
      <c r="H49" s="2528"/>
      <c r="I49" s="2266"/>
      <c r="J49" s="2568"/>
      <c r="K49" s="2581">
        <v>2</v>
      </c>
      <c r="L49" s="2582" t="s">
        <v>834</v>
      </c>
      <c r="M49" s="2582"/>
      <c r="N49" s="2584">
        <f>'数据-取费表'!B2</f>
        <v>44489</v>
      </c>
      <c r="O49" s="2584"/>
      <c r="P49" s="2584"/>
    </row>
    <row r="50" ht="24.75" spans="1:16">
      <c r="A50" s="2533" t="s">
        <v>679</v>
      </c>
      <c r="B50" s="2171"/>
      <c r="C50" s="2171"/>
      <c r="D50" s="2228">
        <f ca="1">IF(H50="情况1",0,IF(H50="情况2",D54,IF(H50="情况3",D55,IF(H50="情况4",D56))))</f>
        <v>0</v>
      </c>
      <c r="E50" s="2171" t="str">
        <f>IF(H50="情况4","(销售额-原购置价)×税（费）率","销售额×税（费）率")</f>
        <v>销售额×税（费）率</v>
      </c>
      <c r="F50" s="2534">
        <f>IF(H50="情况1","免征",'数据-取费表'!E29)</f>
        <v>0.056</v>
      </c>
      <c r="G50" s="2535" t="s">
        <v>680</v>
      </c>
      <c r="H50" s="2536" t="s">
        <v>681</v>
      </c>
      <c r="I50" s="2528"/>
      <c r="J50" s="2585"/>
      <c r="K50" s="2581">
        <v>3</v>
      </c>
      <c r="L50" s="2582" t="s">
        <v>835</v>
      </c>
      <c r="M50" s="2582"/>
      <c r="N50" s="2586">
        <f ca="1">I104</f>
        <v>0</v>
      </c>
      <c r="O50" s="2586"/>
      <c r="P50" s="2586"/>
    </row>
    <row r="51" ht="25.5" customHeight="1" spans="1:16">
      <c r="A51" s="2533" t="s">
        <v>683</v>
      </c>
      <c r="B51" s="2150" t="s">
        <v>684</v>
      </c>
      <c r="C51" s="2150"/>
      <c r="D51" s="2537">
        <v>0</v>
      </c>
      <c r="E51" s="2177" t="s">
        <v>685</v>
      </c>
      <c r="F51" s="2538" t="s">
        <v>121</v>
      </c>
      <c r="G51" s="2539"/>
      <c r="H51" s="2540" t="s">
        <v>836</v>
      </c>
      <c r="I51" s="2587"/>
      <c r="J51" s="2588"/>
      <c r="K51" s="2581">
        <v>4</v>
      </c>
      <c r="L51" s="2582" t="str">
        <f>IF(项目基本情况!F5="房地产抵押价值","房地产抵押价值","抵押担保权已注销时的房地产抵押价值")</f>
        <v>抵押担保权已注销时的房地产抵押价值</v>
      </c>
      <c r="M51" s="2582"/>
      <c r="N51" s="2586" t="str">
        <f ca="1">IF(项目基本情况!F5="房地产抵押价值",I112,I114)</f>
        <v>——</v>
      </c>
      <c r="O51" s="2586"/>
      <c r="P51" s="2586"/>
    </row>
    <row r="52" ht="25.5" customHeight="1" spans="1:16">
      <c r="A52" s="2541"/>
      <c r="B52" s="2150" t="s">
        <v>687</v>
      </c>
      <c r="C52" s="2150"/>
      <c r="D52" s="2542"/>
      <c r="E52" s="2187"/>
      <c r="F52" s="2538"/>
      <c r="G52" s="2543"/>
      <c r="H52" s="2544" t="s">
        <v>688</v>
      </c>
      <c r="I52" s="2587"/>
      <c r="J52" s="2588"/>
      <c r="K52" s="2582" t="s">
        <v>837</v>
      </c>
      <c r="L52" s="2582"/>
      <c r="M52" s="2582"/>
      <c r="N52" s="2582"/>
      <c r="O52" s="2582"/>
      <c r="P52" s="2582"/>
    </row>
    <row r="53" ht="20.4" customHeight="1" spans="1:16">
      <c r="A53" s="2545"/>
      <c r="B53" s="2150" t="s">
        <v>690</v>
      </c>
      <c r="C53" s="2150"/>
      <c r="D53" s="2166"/>
      <c r="E53" s="447"/>
      <c r="F53" s="2538"/>
      <c r="G53" s="2546"/>
      <c r="H53" s="2544" t="s">
        <v>691</v>
      </c>
      <c r="I53" s="2587"/>
      <c r="J53" s="2588"/>
      <c r="K53" s="2582" t="s">
        <v>838</v>
      </c>
      <c r="L53" s="2582" t="s">
        <v>839</v>
      </c>
      <c r="M53" s="2582"/>
      <c r="N53" s="2582" t="s">
        <v>840</v>
      </c>
      <c r="O53" s="2582" t="s">
        <v>841</v>
      </c>
      <c r="P53" s="2582" t="s">
        <v>842</v>
      </c>
    </row>
    <row r="54" ht="24" customHeight="1" spans="1:16">
      <c r="A54" s="2547" t="s">
        <v>697</v>
      </c>
      <c r="B54" s="2150" t="s">
        <v>698</v>
      </c>
      <c r="C54" s="2150"/>
      <c r="D54" s="2166">
        <f ca="1">ROUND(D47*'数据-取费表'!E29/(1+'数据-取费表'!F30),0)</f>
        <v>0</v>
      </c>
      <c r="E54" s="2171" t="s">
        <v>699</v>
      </c>
      <c r="F54" s="2548">
        <f>'数据-取费表'!E29</f>
        <v>0.056</v>
      </c>
      <c r="G54" s="2549"/>
      <c r="H54" s="2266"/>
      <c r="I54" s="2589"/>
      <c r="J54" s="2588"/>
      <c r="K54" s="2581">
        <v>1</v>
      </c>
      <c r="L54" s="2581" t="s">
        <v>843</v>
      </c>
      <c r="M54" s="2581"/>
      <c r="N54" s="2590">
        <f ca="1">D50</f>
        <v>0</v>
      </c>
      <c r="O54" s="2581" t="str">
        <f>E50</f>
        <v>销售额×税（费）率</v>
      </c>
      <c r="P54" s="2591">
        <f>F50</f>
        <v>0.056</v>
      </c>
    </row>
    <row r="55" ht="12" customHeight="1" spans="1:16">
      <c r="A55" s="2547" t="s">
        <v>701</v>
      </c>
      <c r="B55" s="2149" t="s">
        <v>702</v>
      </c>
      <c r="C55" s="2550"/>
      <c r="D55" s="2166">
        <f ca="1">ROUND(D47*'数据-取费表'!E29/(1+'数据-取费表'!F30),0)</f>
        <v>0</v>
      </c>
      <c r="E55" s="2171" t="s">
        <v>699</v>
      </c>
      <c r="F55" s="2548">
        <f>'数据-取费表'!E29</f>
        <v>0.056</v>
      </c>
      <c r="G55" s="2549"/>
      <c r="H55" s="2266"/>
      <c r="I55" s="2589"/>
      <c r="J55" s="2588"/>
      <c r="K55" s="2581">
        <v>2</v>
      </c>
      <c r="L55" s="2581" t="s">
        <v>844</v>
      </c>
      <c r="M55" s="2581"/>
      <c r="N55" s="2590">
        <f ca="1" t="shared" ref="N55:P56" si="1">D57</f>
        <v>0</v>
      </c>
      <c r="O55" s="2581" t="str">
        <f t="shared" si="1"/>
        <v>销售额×税（费）率</v>
      </c>
      <c r="P55" s="2591">
        <f t="shared" si="1"/>
        <v>0.0005</v>
      </c>
    </row>
    <row r="56" ht="12" customHeight="1" spans="1:16">
      <c r="A56" s="2547" t="s">
        <v>704</v>
      </c>
      <c r="B56" s="2149" t="s">
        <v>705</v>
      </c>
      <c r="C56" s="2550"/>
      <c r="D56" s="2166">
        <f ca="1">C70</f>
        <v>0</v>
      </c>
      <c r="E56" s="447" t="s">
        <v>706</v>
      </c>
      <c r="F56" s="2548">
        <f>'数据-取费表'!E29</f>
        <v>0.056</v>
      </c>
      <c r="G56" s="2549"/>
      <c r="H56" s="2551"/>
      <c r="I56" s="2589"/>
      <c r="J56" s="2588"/>
      <c r="K56" s="2581">
        <v>3</v>
      </c>
      <c r="L56" s="2581" t="s">
        <v>845</v>
      </c>
      <c r="M56" s="2581"/>
      <c r="N56" s="2590">
        <f ca="1" t="shared" si="1"/>
        <v>0</v>
      </c>
      <c r="O56" s="2581" t="str">
        <f t="shared" si="1"/>
        <v>增值额×税（费）率</v>
      </c>
      <c r="P56" s="2592" t="str">
        <f t="shared" si="1"/>
        <v>——</v>
      </c>
    </row>
    <row r="57" ht="24" customHeight="1" spans="1:16">
      <c r="A57" s="2547" t="s">
        <v>708</v>
      </c>
      <c r="B57" s="2171"/>
      <c r="C57" s="2171"/>
      <c r="D57" s="2228">
        <f ca="1">IF(H57="个人住宅",0,ROUND(D47*I57,0))</f>
        <v>0</v>
      </c>
      <c r="E57" s="2171" t="s">
        <v>709</v>
      </c>
      <c r="F57" s="2548">
        <f>IF(H57="正常",I57,"免征")</f>
        <v>0.0005</v>
      </c>
      <c r="G57" s="2549"/>
      <c r="H57" s="2536" t="s">
        <v>846</v>
      </c>
      <c r="I57" s="2593">
        <f>'数据-取费表'!E37</f>
        <v>0.0005</v>
      </c>
      <c r="J57" s="2588"/>
      <c r="K57" s="2581">
        <f>IF(H61="非个人房产","",4)</f>
        <v>4</v>
      </c>
      <c r="L57" s="2581" t="str">
        <f>IF(H61="非个人房产","——","个人所得税")</f>
        <v>个人所得税</v>
      </c>
      <c r="M57" s="2581"/>
      <c r="N57" s="2594">
        <f ca="1">D61</f>
        <v>0</v>
      </c>
      <c r="O57" s="2595" t="str">
        <f>E61</f>
        <v>销售额×税（费）率</v>
      </c>
      <c r="P57" s="2596">
        <f>F61</f>
        <v>0.01</v>
      </c>
    </row>
    <row r="58" ht="24.75" spans="1:16">
      <c r="A58" s="2547" t="s">
        <v>711</v>
      </c>
      <c r="B58" s="2171"/>
      <c r="C58" s="2171"/>
      <c r="D58" s="2228">
        <f ca="1">IF(H58="个人住宅",D59,D60)</f>
        <v>0</v>
      </c>
      <c r="E58" s="2171" t="s">
        <v>712</v>
      </c>
      <c r="F58" s="2548" t="str">
        <f>IF(H58="正常",F60,"免征")</f>
        <v>——</v>
      </c>
      <c r="G58" s="2552" t="s">
        <v>713</v>
      </c>
      <c r="H58" s="2553" t="s">
        <v>846</v>
      </c>
      <c r="I58" s="2554"/>
      <c r="J58" s="2588"/>
      <c r="K58" s="2581" t="str">
        <f>IF(项目基本情况!I6="上海银行",IF(K57="",4,K57+1),"")</f>
        <v/>
      </c>
      <c r="L58" s="2597" t="str">
        <f>IF(项目基本情况!I6="上海银行","其他处置费用","")</f>
        <v/>
      </c>
      <c r="M58" s="2598"/>
      <c r="N58" s="2590" t="str">
        <f ca="1">IF(项目基本情况!I6="上海银行",N71,"")</f>
        <v/>
      </c>
      <c r="O58" s="2597" t="str">
        <f>IF(项目基本情况!I6="上海银行","包含处置中涉及的律师、诉讼、拍卖、评估等费用","")</f>
        <v/>
      </c>
      <c r="P58" s="2599"/>
    </row>
    <row r="59" ht="13.5" spans="1:17">
      <c r="A59" s="2547" t="s">
        <v>683</v>
      </c>
      <c r="B59" s="2149" t="s">
        <v>714</v>
      </c>
      <c r="C59" s="2550"/>
      <c r="D59" s="2537">
        <v>0</v>
      </c>
      <c r="E59" s="2177" t="s">
        <v>685</v>
      </c>
      <c r="F59" s="2116"/>
      <c r="G59" s="2549"/>
      <c r="H59" s="2554"/>
      <c r="I59" s="2554"/>
      <c r="J59" s="2588"/>
      <c r="K59" s="2581">
        <f>IF(AND(K57="",K58=""),4,IF(项目基本情况!I6="上海银行",K58+1,K57+1))</f>
        <v>5</v>
      </c>
      <c r="L59" s="2581" t="s">
        <v>847</v>
      </c>
      <c r="M59" s="2600" t="s">
        <v>848</v>
      </c>
      <c r="N59" s="2601"/>
      <c r="O59" s="2602">
        <f ca="1">SUMIF(N54:N58,"&lt;9e307")</f>
        <v>0</v>
      </c>
      <c r="P59" s="2603"/>
      <c r="Q59" s="2615" t="e">
        <f ca="1">O59/N51</f>
        <v>#VALUE!</v>
      </c>
    </row>
    <row r="60" ht="24.75" spans="1:16">
      <c r="A60" s="2547" t="s">
        <v>697</v>
      </c>
      <c r="B60" s="2149" t="s">
        <v>716</v>
      </c>
      <c r="C60" s="2150"/>
      <c r="D60" s="2228">
        <f ca="1">IF(H60="转让取得",C83,C99)</f>
        <v>0</v>
      </c>
      <c r="E60" s="2171" t="s">
        <v>712</v>
      </c>
      <c r="F60" s="2116" t="s">
        <v>121</v>
      </c>
      <c r="G60" s="2549"/>
      <c r="H60" s="2553" t="s">
        <v>717</v>
      </c>
      <c r="I60" s="2554"/>
      <c r="J60" s="2588"/>
      <c r="K60" s="2581"/>
      <c r="L60" s="2581"/>
      <c r="M60" s="2600" t="s">
        <v>849</v>
      </c>
      <c r="N60" s="2604"/>
      <c r="O60" s="2605" t="str">
        <f ca="1">IF(H19="元",NUMBERSTRING(INT(O59),2)&amp;"元整",NUMBERSTRING(INT(O59*10000),2)&amp;"元整")</f>
        <v>零元整</v>
      </c>
      <c r="P60" s="2606"/>
    </row>
    <row r="61" ht="25.5" spans="1:16">
      <c r="A61" s="2555" t="s">
        <v>719</v>
      </c>
      <c r="B61" s="2556"/>
      <c r="C61" s="2556"/>
      <c r="D61" s="2557">
        <f ca="1">IF(H61="非个人房产","——",IF(H61="个人住宅（满五唯一有凭证）",0,IF(H61="个人其他（无凭证）",ROUND(D47*F61,0),ROUND(C69*F61,0))))</f>
        <v>0</v>
      </c>
      <c r="E61" s="2556" t="str">
        <f>IF(H61="非个人房产","——",IF(H61="个人其他（无凭证）","销售额×税（费）率",IF(H61="个人住宅（满五唯一有凭证）","免征","差额计税")))</f>
        <v>销售额×税（费）率</v>
      </c>
      <c r="F61" s="2558">
        <f>IF(OR(H61="非个人房产",H61="个人住宅（满五唯一有凭证）"),"——",IF(H61="个人其他（有凭证）",20%,1%))</f>
        <v>0.01</v>
      </c>
      <c r="G61" s="2559" t="s">
        <v>720</v>
      </c>
      <c r="H61" s="2560" t="s">
        <v>850</v>
      </c>
      <c r="I61" s="2607" t="s">
        <v>722</v>
      </c>
      <c r="J61" s="2588"/>
      <c r="K61" s="2595">
        <f>K59+1</f>
        <v>6</v>
      </c>
      <c r="L61" s="2581" t="s">
        <v>851</v>
      </c>
      <c r="M61" s="2581" t="s">
        <v>848</v>
      </c>
      <c r="N61" s="2608"/>
      <c r="O61" s="2609" t="e">
        <f ca="1">N51-O59</f>
        <v>#VALUE!</v>
      </c>
      <c r="P61" s="2610"/>
    </row>
    <row r="62" ht="12" customHeight="1" spans="1:16">
      <c r="A62" s="2561"/>
      <c r="B62" s="2444"/>
      <c r="C62" s="2444"/>
      <c r="D62" s="2444"/>
      <c r="E62" s="2561"/>
      <c r="F62" s="2554"/>
      <c r="G62" s="2554"/>
      <c r="H62" s="2562"/>
      <c r="I62" s="2266"/>
      <c r="J62" s="2588"/>
      <c r="K62" s="2611"/>
      <c r="L62" s="2581"/>
      <c r="M62" s="2600" t="s">
        <v>849</v>
      </c>
      <c r="N62" s="2604"/>
      <c r="O62" s="2605" t="e">
        <f ca="1">IF(H19="元",NUMBERSTRING(INT(O61),2)&amp;"元整",NUMBERSTRING(INT(O61*10000),2)&amp;"元整")</f>
        <v>#VALUE!</v>
      </c>
      <c r="P62" s="2606"/>
    </row>
    <row r="63" ht="14.25" spans="1:16">
      <c r="A63" s="2563" t="s">
        <v>723</v>
      </c>
      <c r="B63" s="2563"/>
      <c r="C63" s="2563"/>
      <c r="D63" s="2563"/>
      <c r="E63" s="2563"/>
      <c r="F63" s="2554"/>
      <c r="G63" s="2554"/>
      <c r="H63" s="2562"/>
      <c r="I63" s="2266"/>
      <c r="J63" s="2568"/>
      <c r="K63" s="2581">
        <f>K61+1</f>
        <v>7</v>
      </c>
      <c r="L63" s="2581" t="s">
        <v>852</v>
      </c>
      <c r="M63" s="2581"/>
      <c r="N63" s="2612"/>
      <c r="O63" s="2613" t="e">
        <f ca="1">IF(H19="元",ROUND(O61/项目基本情况!C12,0),ROUND(O61*10000/项目基本情况!C12,0))</f>
        <v>#VALUE!</v>
      </c>
      <c r="P63" s="2614"/>
    </row>
    <row r="64" ht="13.5" spans="1:15">
      <c r="A64" s="459" t="s">
        <v>725</v>
      </c>
      <c r="B64" s="425"/>
      <c r="C64" s="425"/>
      <c r="D64" s="425" t="s">
        <v>726</v>
      </c>
      <c r="E64" s="2564" t="s">
        <v>677</v>
      </c>
      <c r="F64" s="2554"/>
      <c r="G64" s="2554"/>
      <c r="H64" s="2562"/>
      <c r="I64" s="2266"/>
      <c r="J64" s="2568"/>
      <c r="K64" s="2429"/>
      <c r="L64" s="2429"/>
      <c r="M64" s="2429"/>
      <c r="N64" s="2429"/>
      <c r="O64" s="2429"/>
    </row>
    <row r="65" ht="13.5" spans="1:15">
      <c r="A65" s="2617">
        <v>1</v>
      </c>
      <c r="B65" s="2618" t="s">
        <v>727</v>
      </c>
      <c r="C65" s="2619">
        <f ca="1">ROUND((C66+C67)/(1+'数据-取费表'!F30),0)</f>
        <v>0</v>
      </c>
      <c r="D65" s="2618"/>
      <c r="E65" s="2620"/>
      <c r="F65" s="2554"/>
      <c r="G65" s="2554"/>
      <c r="H65" s="2562"/>
      <c r="I65" s="2266"/>
      <c r="J65" s="2568"/>
      <c r="K65" s="2686" t="s">
        <v>853</v>
      </c>
      <c r="L65" s="2686" t="s">
        <v>854</v>
      </c>
      <c r="M65" s="2686" t="e">
        <f ca="1">IF(N51&gt;10000,N51*0.5%,IF(AND(N51&gt;1000,N51&lt;=10000),N51*1%,IF(AND(N51&gt;100,N51&lt;=1000),N51*3%,IF(AND(N51&gt;10,N51&lt;=100),N51*5%,N51*8%))))</f>
        <v>#VALUE!</v>
      </c>
      <c r="N65" s="2116" t="e">
        <f ca="1">ROUND(M65,1)</f>
        <v>#VALUE!</v>
      </c>
      <c r="O65" s="2732"/>
    </row>
    <row r="66" ht="13.5" spans="1:15">
      <c r="A66" s="2621" t="s">
        <v>730</v>
      </c>
      <c r="B66" s="410" t="s">
        <v>731</v>
      </c>
      <c r="C66" s="2622">
        <f ca="1">D47</f>
        <v>0</v>
      </c>
      <c r="D66" s="410" t="s">
        <v>121</v>
      </c>
      <c r="E66" s="2623"/>
      <c r="F66" s="2554"/>
      <c r="G66" s="2554"/>
      <c r="H66" s="2562"/>
      <c r="I66" s="2266"/>
      <c r="J66" s="2568"/>
      <c r="K66" s="2686"/>
      <c r="L66" s="2686" t="s">
        <v>855</v>
      </c>
      <c r="M66" s="2686"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2" t="s">
        <v>856</v>
      </c>
    </row>
    <row r="67" ht="13.5" spans="1:15">
      <c r="A67" s="2621" t="s">
        <v>734</v>
      </c>
      <c r="B67" s="410" t="s">
        <v>735</v>
      </c>
      <c r="C67" s="2624"/>
      <c r="D67" s="410"/>
      <c r="E67" s="2623"/>
      <c r="F67" s="2554"/>
      <c r="G67" s="2554"/>
      <c r="H67" s="2562"/>
      <c r="I67" s="2266"/>
      <c r="J67" s="2568"/>
      <c r="K67" s="2686"/>
      <c r="L67" s="2686" t="s">
        <v>857</v>
      </c>
      <c r="M67" s="2686" t="e">
        <f ca="1">IF(N51&gt;1000,N51*0.1%,IF(AND(N51&gt;500,N51&lt;=1000),N51*0.5%,IF(AND(N51&gt;50,N51&lt;=500),N51*1%,IF(AND(N51&gt;1,N51&lt;=50),N51*1.5%))))</f>
        <v>#VALUE!</v>
      </c>
      <c r="N67" s="2116" t="e">
        <f ca="1" t="shared" si="2"/>
        <v>#VALUE!</v>
      </c>
      <c r="O67" s="2732" t="s">
        <v>856</v>
      </c>
    </row>
    <row r="68" ht="13.5" spans="1:15">
      <c r="A68" s="2625" t="s">
        <v>737</v>
      </c>
      <c r="B68" s="516" t="s">
        <v>738</v>
      </c>
      <c r="C68" s="2626"/>
      <c r="D68" s="516" t="s">
        <v>121</v>
      </c>
      <c r="E68" s="2627" t="s">
        <v>739</v>
      </c>
      <c r="F68" s="2554"/>
      <c r="G68" s="2554"/>
      <c r="H68" s="2562"/>
      <c r="I68" s="2266"/>
      <c r="J68" s="2568"/>
      <c r="K68" s="2686"/>
      <c r="L68" s="2686" t="s">
        <v>858</v>
      </c>
      <c r="M68" s="2686" t="e">
        <f ca="1">N51*0.5%</f>
        <v>#VALUE!</v>
      </c>
      <c r="N68" s="2116" t="e">
        <f ca="1">IF(M68&gt;0.5,0.5,ROUND(M68,0))</f>
        <v>#VALUE!</v>
      </c>
      <c r="O68" s="2732" t="s">
        <v>859</v>
      </c>
    </row>
    <row r="69" ht="13.5" spans="1:15">
      <c r="A69" s="2625" t="s">
        <v>742</v>
      </c>
      <c r="B69" s="516" t="s">
        <v>743</v>
      </c>
      <c r="C69" s="2628">
        <f ca="1">C65-C68</f>
        <v>0</v>
      </c>
      <c r="D69" s="410" t="s">
        <v>121</v>
      </c>
      <c r="E69" s="2623"/>
      <c r="F69" s="2554"/>
      <c r="G69" s="2554"/>
      <c r="H69" s="2562"/>
      <c r="I69" s="2266"/>
      <c r="J69" s="2568"/>
      <c r="K69" s="2686"/>
      <c r="L69" s="2686" t="s">
        <v>860</v>
      </c>
      <c r="M69" s="2686"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2"/>
    </row>
    <row r="70" ht="14.25" spans="1:15">
      <c r="A70" s="2629" t="s">
        <v>745</v>
      </c>
      <c r="B70" s="537" t="s">
        <v>746</v>
      </c>
      <c r="C70" s="2630">
        <f ca="1">IF(C69&lt;=0,0,ROUND(C69*D70,0))</f>
        <v>0</v>
      </c>
      <c r="D70" s="631">
        <f>'数据-取费表'!E29</f>
        <v>0.056</v>
      </c>
      <c r="E70" s="2631"/>
      <c r="F70" s="2554"/>
      <c r="G70" s="2554"/>
      <c r="H70" s="2562"/>
      <c r="I70" s="2266"/>
      <c r="J70" s="2568"/>
      <c r="K70" s="2686"/>
      <c r="L70" s="2686" t="s">
        <v>861</v>
      </c>
      <c r="M70" s="2686" t="e">
        <f ca="1">IF(N51&gt;10000,N51*0.5%,IF(AND(N51&gt;5000,N51&lt;=10000),N51*1%,IF(AND(N51&gt;1000,N51&lt;=5000),N51*2%,IF(AND(N51&gt;200,N51&lt;=1000),N51*3%,N51*5%))))</f>
        <v>#VALUE!</v>
      </c>
      <c r="N70" s="2116" t="e">
        <f ca="1">ROUND(M70,1)</f>
        <v>#VALUE!</v>
      </c>
      <c r="O70" s="2732"/>
    </row>
    <row r="71" s="2427" customFormat="1" ht="7.5" customHeight="1" spans="1:36">
      <c r="A71" s="2632"/>
      <c r="B71" s="507"/>
      <c r="C71" s="2633"/>
      <c r="D71" s="558"/>
      <c r="E71" s="2515"/>
      <c r="F71" s="2561"/>
      <c r="G71" s="2561"/>
      <c r="H71" s="2515"/>
      <c r="I71" s="2444"/>
      <c r="J71" s="2568"/>
      <c r="K71" s="2686"/>
      <c r="L71" s="2686" t="s">
        <v>862</v>
      </c>
      <c r="M71" s="2686"/>
      <c r="N71" s="2116" t="e">
        <f ca="1">ROUND(SUM(N65:N70),0)</f>
        <v>#VALUE!</v>
      </c>
      <c r="O71" s="2733" t="e">
        <f ca="1">N71/N51</f>
        <v>#VALUE!</v>
      </c>
      <c r="P71" s="1712"/>
      <c r="Q71" s="1712"/>
      <c r="R71" s="1712"/>
      <c r="S71" s="1712"/>
      <c r="T71" s="1712"/>
      <c r="U71" s="1712"/>
      <c r="V71" s="1712"/>
      <c r="W71" s="1712"/>
      <c r="X71" s="1712"/>
      <c r="Y71" s="1712"/>
      <c r="Z71" s="1712"/>
      <c r="AA71" s="1712"/>
      <c r="AB71" s="2429"/>
      <c r="AC71" s="2429"/>
      <c r="AD71" s="2429"/>
      <c r="AE71" s="2429"/>
      <c r="AF71" s="2429"/>
      <c r="AG71" s="2429"/>
      <c r="AH71" s="2429"/>
      <c r="AI71" s="2429"/>
      <c r="AJ71" s="2429"/>
    </row>
    <row r="72" s="2428" customFormat="1" ht="15" spans="1:36">
      <c r="A72" s="2634" t="s">
        <v>748</v>
      </c>
      <c r="B72" s="507"/>
      <c r="C72" s="507"/>
      <c r="D72" s="507"/>
      <c r="E72" s="507"/>
      <c r="F72" s="507"/>
      <c r="G72" s="507"/>
      <c r="H72" s="507"/>
      <c r="I72" s="2734"/>
      <c r="J72" s="2735"/>
      <c r="K72" s="367"/>
      <c r="L72" s="367"/>
      <c r="M72" s="367"/>
      <c r="N72" s="367"/>
      <c r="O72" s="367"/>
      <c r="P72" s="367"/>
      <c r="Q72" s="367"/>
      <c r="R72" s="367"/>
      <c r="S72" s="367"/>
      <c r="T72" s="367"/>
      <c r="U72" s="367"/>
      <c r="V72" s="367"/>
      <c r="W72" s="367"/>
      <c r="X72" s="367"/>
      <c r="Y72" s="367"/>
      <c r="Z72" s="367"/>
      <c r="AA72" s="367"/>
      <c r="AB72" s="2741"/>
      <c r="AC72" s="2741"/>
      <c r="AD72" s="2741"/>
      <c r="AE72" s="2741"/>
      <c r="AF72" s="2741"/>
      <c r="AG72" s="2741"/>
      <c r="AH72" s="2741"/>
      <c r="AI72" s="2741"/>
      <c r="AJ72" s="2741"/>
    </row>
    <row r="73" s="2428" customFormat="1" ht="14.25" spans="1:36">
      <c r="A73" s="459" t="s">
        <v>725</v>
      </c>
      <c r="B73" s="425"/>
      <c r="C73" s="425"/>
      <c r="D73" s="425" t="s">
        <v>726</v>
      </c>
      <c r="E73" s="2635" t="s">
        <v>677</v>
      </c>
      <c r="F73" s="2636"/>
      <c r="G73" s="2636"/>
      <c r="H73" s="2637"/>
      <c r="I73" s="2736"/>
      <c r="J73" s="2737"/>
      <c r="K73" s="367"/>
      <c r="L73" s="367"/>
      <c r="M73" s="367"/>
      <c r="N73" s="367"/>
      <c r="O73" s="367"/>
      <c r="P73" s="367"/>
      <c r="Q73" s="367"/>
      <c r="R73" s="367"/>
      <c r="S73" s="367"/>
      <c r="T73" s="367"/>
      <c r="U73" s="367"/>
      <c r="V73" s="367"/>
      <c r="W73" s="367"/>
      <c r="X73" s="367"/>
      <c r="Y73" s="367"/>
      <c r="Z73" s="367"/>
      <c r="AA73" s="367"/>
      <c r="AB73" s="2741"/>
      <c r="AC73" s="2741"/>
      <c r="AD73" s="2741"/>
      <c r="AE73" s="2741"/>
      <c r="AF73" s="2741"/>
      <c r="AG73" s="2741"/>
      <c r="AH73" s="2741"/>
      <c r="AI73" s="2741"/>
      <c r="AJ73" s="2741"/>
    </row>
    <row r="74" s="2428" customFormat="1" ht="14.25" spans="1:36">
      <c r="A74" s="2638">
        <v>1</v>
      </c>
      <c r="B74" s="516" t="s">
        <v>749</v>
      </c>
      <c r="C74" s="2628">
        <f ca="1">ROUND(D47/(1+'数据-取费表'!F30),0)</f>
        <v>0</v>
      </c>
      <c r="D74" s="410" t="s">
        <v>121</v>
      </c>
      <c r="E74" s="2149"/>
      <c r="F74" s="2150"/>
      <c r="G74" s="2150"/>
      <c r="H74" s="2639"/>
      <c r="I74" s="2736"/>
      <c r="J74" s="2737"/>
      <c r="K74" s="367"/>
      <c r="L74" s="367"/>
      <c r="M74" s="367"/>
      <c r="N74" s="367"/>
      <c r="O74" s="367"/>
      <c r="P74" s="367"/>
      <c r="Q74" s="367"/>
      <c r="R74" s="367"/>
      <c r="S74" s="367"/>
      <c r="T74" s="367"/>
      <c r="U74" s="367"/>
      <c r="V74" s="367"/>
      <c r="W74" s="367"/>
      <c r="X74" s="367"/>
      <c r="Y74" s="367"/>
      <c r="Z74" s="367"/>
      <c r="AA74" s="367"/>
      <c r="AB74" s="2741"/>
      <c r="AC74" s="2741"/>
      <c r="AD74" s="2741"/>
      <c r="AE74" s="2741"/>
      <c r="AF74" s="2741"/>
      <c r="AG74" s="2741"/>
      <c r="AH74" s="2741"/>
      <c r="AI74" s="2741"/>
      <c r="AJ74" s="2741"/>
    </row>
    <row r="75" s="2428" customFormat="1" ht="14.25" spans="1:36">
      <c r="A75" s="2640">
        <v>2</v>
      </c>
      <c r="B75" s="2327" t="s">
        <v>751</v>
      </c>
      <c r="C75" s="2628">
        <f ca="1">C76+C80</f>
        <v>0</v>
      </c>
      <c r="D75" s="410" t="s">
        <v>121</v>
      </c>
      <c r="E75" s="2149"/>
      <c r="F75" s="2150"/>
      <c r="G75" s="2150"/>
      <c r="H75" s="2639"/>
      <c r="I75" s="2736"/>
      <c r="J75" s="2737"/>
      <c r="K75" s="367"/>
      <c r="L75" s="367"/>
      <c r="M75" s="367"/>
      <c r="N75" s="367"/>
      <c r="O75" s="367"/>
      <c r="P75" s="367"/>
      <c r="Q75" s="367"/>
      <c r="R75" s="367"/>
      <c r="S75" s="367"/>
      <c r="T75" s="367"/>
      <c r="U75" s="367"/>
      <c r="V75" s="367"/>
      <c r="W75" s="367"/>
      <c r="X75" s="367"/>
      <c r="Y75" s="367"/>
      <c r="Z75" s="367"/>
      <c r="AA75" s="367"/>
      <c r="AB75" s="2741"/>
      <c r="AC75" s="2741"/>
      <c r="AD75" s="2741"/>
      <c r="AE75" s="2741"/>
      <c r="AF75" s="2741"/>
      <c r="AG75" s="2741"/>
      <c r="AH75" s="2741"/>
      <c r="AI75" s="2741"/>
      <c r="AJ75" s="2741"/>
    </row>
    <row r="76" s="2428" customFormat="1" ht="14.25" spans="1:36">
      <c r="A76" s="2621" t="s">
        <v>752</v>
      </c>
      <c r="B76" s="410" t="s">
        <v>753</v>
      </c>
      <c r="C76" s="410">
        <f>ROUND(IF(G79="2016年5月1日后购买",C77/(1+'数据-取费表'!F30)+C78+C79,C77+C78+C79),0)</f>
        <v>0</v>
      </c>
      <c r="D76" s="410" t="s">
        <v>121</v>
      </c>
      <c r="E76" s="2149"/>
      <c r="F76" s="2150"/>
      <c r="G76" s="2150"/>
      <c r="H76" s="2639"/>
      <c r="I76" s="2736"/>
      <c r="J76" s="2737"/>
      <c r="K76" s="367"/>
      <c r="L76" s="367"/>
      <c r="M76" s="367"/>
      <c r="N76" s="367"/>
      <c r="O76" s="367"/>
      <c r="P76" s="367"/>
      <c r="Q76" s="367"/>
      <c r="R76" s="367"/>
      <c r="S76" s="367"/>
      <c r="T76" s="367"/>
      <c r="U76" s="367"/>
      <c r="V76" s="367"/>
      <c r="W76" s="367"/>
      <c r="X76" s="367"/>
      <c r="Y76" s="367"/>
      <c r="Z76" s="367"/>
      <c r="AA76" s="367"/>
      <c r="AB76" s="2741"/>
      <c r="AC76" s="2741"/>
      <c r="AD76" s="2741"/>
      <c r="AE76" s="2741"/>
      <c r="AF76" s="2741"/>
      <c r="AG76" s="2741"/>
      <c r="AH76" s="2741"/>
      <c r="AI76" s="2741"/>
      <c r="AJ76" s="2741"/>
    </row>
    <row r="77" s="2428" customFormat="1" ht="14.25" spans="1:36">
      <c r="A77" s="2621" t="s">
        <v>754</v>
      </c>
      <c r="B77" s="410" t="s">
        <v>755</v>
      </c>
      <c r="C77" s="540"/>
      <c r="D77" s="410" t="s">
        <v>121</v>
      </c>
      <c r="E77" s="2641" t="s">
        <v>756</v>
      </c>
      <c r="F77" s="2642" t="s">
        <v>757</v>
      </c>
      <c r="G77" s="2641" t="s">
        <v>758</v>
      </c>
      <c r="H77" s="2643"/>
      <c r="I77" s="544"/>
      <c r="J77" s="2738"/>
      <c r="K77" s="367"/>
      <c r="L77" s="367"/>
      <c r="M77" s="367"/>
      <c r="N77" s="367"/>
      <c r="O77" s="367"/>
      <c r="P77" s="367"/>
      <c r="Q77" s="367"/>
      <c r="R77" s="367"/>
      <c r="S77" s="367"/>
      <c r="T77" s="367"/>
      <c r="U77" s="367"/>
      <c r="V77" s="367"/>
      <c r="W77" s="367"/>
      <c r="X77" s="367"/>
      <c r="Y77" s="367"/>
      <c r="Z77" s="367"/>
      <c r="AA77" s="367"/>
      <c r="AB77" s="2741"/>
      <c r="AC77" s="2741"/>
      <c r="AD77" s="2741"/>
      <c r="AE77" s="2741"/>
      <c r="AF77" s="2741"/>
      <c r="AG77" s="2741"/>
      <c r="AH77" s="2741"/>
      <c r="AI77" s="2741"/>
      <c r="AJ77" s="2741"/>
    </row>
    <row r="78" s="2428" customFormat="1" ht="24.75" customHeight="1" spans="1:36">
      <c r="A78" s="2621" t="s">
        <v>759</v>
      </c>
      <c r="B78" s="432" t="s">
        <v>760</v>
      </c>
      <c r="C78" s="410">
        <f>IF(F77="购房发票",ROUND(C77*H77*D78,0),0)</f>
        <v>0</v>
      </c>
      <c r="D78" s="2644">
        <v>0.05</v>
      </c>
      <c r="E78" s="2149" t="s">
        <v>761</v>
      </c>
      <c r="F78" s="2150"/>
      <c r="G78" s="2150"/>
      <c r="H78" s="2645"/>
      <c r="I78" s="2736"/>
      <c r="J78" s="2737"/>
      <c r="K78" s="367"/>
      <c r="L78" s="367"/>
      <c r="M78" s="367"/>
      <c r="N78" s="367"/>
      <c r="O78" s="367"/>
      <c r="P78" s="367"/>
      <c r="Q78" s="367"/>
      <c r="R78" s="367"/>
      <c r="S78" s="367"/>
      <c r="T78" s="367"/>
      <c r="U78" s="367"/>
      <c r="V78" s="367"/>
      <c r="W78" s="367"/>
      <c r="X78" s="367"/>
      <c r="Y78" s="367"/>
      <c r="Z78" s="367"/>
      <c r="AA78" s="367"/>
      <c r="AB78" s="2741"/>
      <c r="AC78" s="2741"/>
      <c r="AD78" s="2741"/>
      <c r="AE78" s="2741"/>
      <c r="AF78" s="2741"/>
      <c r="AG78" s="2741"/>
      <c r="AH78" s="2741"/>
      <c r="AI78" s="2741"/>
      <c r="AJ78" s="2741"/>
    </row>
    <row r="79" s="2428" customFormat="1" ht="24.75" customHeight="1" spans="1:36">
      <c r="A79" s="2621" t="s">
        <v>762</v>
      </c>
      <c r="B79" s="410" t="s">
        <v>763</v>
      </c>
      <c r="C79" s="410">
        <f>ROUND(IF(G79="个人住宅",0,IF(G79="2016年5月1日前购买",C77*D79,C77*D79/(1+'数据-取费表'!F30))),0)</f>
        <v>0</v>
      </c>
      <c r="D79" s="2646">
        <f>'数据-取费表'!E36+'数据-取费表'!E37</f>
        <v>0.0305</v>
      </c>
      <c r="E79" s="2228" t="s">
        <v>764</v>
      </c>
      <c r="F79" s="1289"/>
      <c r="G79" s="2647" t="s">
        <v>765</v>
      </c>
      <c r="H79" s="2645" t="str">
        <f>IF(G79="个人买卖住房","免征印花税"," ")</f>
        <v> </v>
      </c>
      <c r="I79" s="2736"/>
      <c r="J79" s="2737"/>
      <c r="K79" s="367"/>
      <c r="L79" s="367"/>
      <c r="M79" s="367"/>
      <c r="N79" s="367"/>
      <c r="O79" s="367"/>
      <c r="P79" s="367"/>
      <c r="Q79" s="367"/>
      <c r="R79" s="367"/>
      <c r="S79" s="367"/>
      <c r="T79" s="367"/>
      <c r="U79" s="367"/>
      <c r="V79" s="367"/>
      <c r="W79" s="367"/>
      <c r="X79" s="367"/>
      <c r="Y79" s="367"/>
      <c r="Z79" s="367"/>
      <c r="AA79" s="367"/>
      <c r="AB79" s="2741"/>
      <c r="AC79" s="2741"/>
      <c r="AD79" s="2741"/>
      <c r="AE79" s="2741"/>
      <c r="AF79" s="2741"/>
      <c r="AG79" s="2741"/>
      <c r="AH79" s="2741"/>
      <c r="AI79" s="2741"/>
      <c r="AJ79" s="2741"/>
    </row>
    <row r="80" s="2428" customFormat="1" ht="24.75" customHeight="1" spans="1:36">
      <c r="A80" s="2621" t="s">
        <v>766</v>
      </c>
      <c r="B80" s="410" t="s">
        <v>767</v>
      </c>
      <c r="C80" s="2648">
        <f ca="1">ROUND(D47*D80/(1+'数据-取费表'!F30),0)</f>
        <v>0</v>
      </c>
      <c r="D80" s="2649">
        <f>'数据-取费表'!E31</f>
        <v>0.006</v>
      </c>
      <c r="E80" s="2650" t="s">
        <v>768</v>
      </c>
      <c r="F80" s="2651"/>
      <c r="G80" s="2651"/>
      <c r="H80" s="2652"/>
      <c r="I80" s="2657"/>
      <c r="J80" s="2739"/>
      <c r="K80" s="367"/>
      <c r="L80" s="367"/>
      <c r="M80" s="367"/>
      <c r="N80" s="367"/>
      <c r="O80" s="367"/>
      <c r="P80" s="367"/>
      <c r="Q80" s="367"/>
      <c r="R80" s="367"/>
      <c r="S80" s="367"/>
      <c r="T80" s="367"/>
      <c r="U80" s="367"/>
      <c r="V80" s="367"/>
      <c r="W80" s="367"/>
      <c r="X80" s="367"/>
      <c r="Y80" s="367"/>
      <c r="Z80" s="367"/>
      <c r="AA80" s="367"/>
      <c r="AB80" s="2741"/>
      <c r="AC80" s="2741"/>
      <c r="AD80" s="2741"/>
      <c r="AE80" s="2741"/>
      <c r="AF80" s="2741"/>
      <c r="AG80" s="2741"/>
      <c r="AH80" s="2741"/>
      <c r="AI80" s="2741"/>
      <c r="AJ80" s="2741"/>
    </row>
    <row r="81" s="2428" customFormat="1" ht="14.25" spans="1:36">
      <c r="A81" s="2625" t="s">
        <v>742</v>
      </c>
      <c r="B81" s="516" t="s">
        <v>769</v>
      </c>
      <c r="C81" s="2628">
        <f ca="1">C74-C75</f>
        <v>0</v>
      </c>
      <c r="D81" s="410" t="s">
        <v>121</v>
      </c>
      <c r="E81" s="2149"/>
      <c r="F81" s="2150"/>
      <c r="G81" s="2150"/>
      <c r="H81" s="2639"/>
      <c r="I81" s="2736"/>
      <c r="J81" s="2737"/>
      <c r="K81" s="367"/>
      <c r="L81" s="367"/>
      <c r="M81" s="367"/>
      <c r="N81" s="367"/>
      <c r="O81" s="367"/>
      <c r="P81" s="367"/>
      <c r="Q81" s="367"/>
      <c r="R81" s="367"/>
      <c r="S81" s="367"/>
      <c r="T81" s="367"/>
      <c r="U81" s="367"/>
      <c r="V81" s="367"/>
      <c r="W81" s="367"/>
      <c r="X81" s="367"/>
      <c r="Y81" s="367"/>
      <c r="Z81" s="367"/>
      <c r="AA81" s="367"/>
      <c r="AB81" s="2741"/>
      <c r="AC81" s="2741"/>
      <c r="AD81" s="2741"/>
      <c r="AE81" s="2741"/>
      <c r="AF81" s="2741"/>
      <c r="AG81" s="2741"/>
      <c r="AH81" s="2741"/>
      <c r="AI81" s="2741"/>
      <c r="AJ81" s="2741"/>
    </row>
    <row r="82" s="2428" customFormat="1" ht="14.25" spans="1:36">
      <c r="A82" s="2625" t="s">
        <v>745</v>
      </c>
      <c r="B82" s="516" t="s">
        <v>770</v>
      </c>
      <c r="C82" s="2653">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39"/>
      <c r="I82" s="2736"/>
      <c r="J82" s="2737"/>
      <c r="K82" s="367"/>
      <c r="L82" s="367"/>
      <c r="M82" s="367"/>
      <c r="N82" s="367"/>
      <c r="O82" s="367"/>
      <c r="P82" s="367"/>
      <c r="Q82" s="367"/>
      <c r="R82" s="367"/>
      <c r="S82" s="367"/>
      <c r="T82" s="367"/>
      <c r="U82" s="367"/>
      <c r="V82" s="367"/>
      <c r="W82" s="367"/>
      <c r="X82" s="367"/>
      <c r="Y82" s="367"/>
      <c r="Z82" s="367"/>
      <c r="AA82" s="367"/>
      <c r="AB82" s="2741"/>
      <c r="AC82" s="2741"/>
      <c r="AD82" s="2741"/>
      <c r="AE82" s="2741"/>
      <c r="AF82" s="2741"/>
      <c r="AG82" s="2741"/>
      <c r="AH82" s="2741"/>
      <c r="AI82" s="2741"/>
      <c r="AJ82" s="2741"/>
    </row>
    <row r="83" s="2428" customFormat="1" ht="15" spans="1:36">
      <c r="A83" s="2629" t="s">
        <v>771</v>
      </c>
      <c r="B83" s="537" t="s">
        <v>772</v>
      </c>
      <c r="C83" s="2654">
        <f ca="1">ROUND(IF(C81&lt;=0,0,IF(C82&gt;=200%,C81*60%-C75*35%,IF(C82&gt;=100%,C81*50%-C75*15%,IF(C82&gt;=50%,C81*40%-C75*5%,IF(C82&lt;50%,C81*30%,0))))),0)</f>
        <v>0</v>
      </c>
      <c r="D83" s="456" t="s">
        <v>121</v>
      </c>
      <c r="E83" s="255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5"/>
      <c r="G83" s="2655"/>
      <c r="H83" s="2656"/>
      <c r="I83" s="2736"/>
      <c r="J83" s="2737"/>
      <c r="K83" s="367"/>
      <c r="L83" s="367"/>
      <c r="M83" s="367"/>
      <c r="N83" s="367"/>
      <c r="O83" s="367"/>
      <c r="P83" s="367"/>
      <c r="Q83" s="367"/>
      <c r="R83" s="367"/>
      <c r="S83" s="367"/>
      <c r="T83" s="367"/>
      <c r="U83" s="367"/>
      <c r="V83" s="367"/>
      <c r="W83" s="367"/>
      <c r="X83" s="367"/>
      <c r="Y83" s="367"/>
      <c r="Z83" s="367"/>
      <c r="AA83" s="367"/>
      <c r="AB83" s="2741"/>
      <c r="AC83" s="2741"/>
      <c r="AD83" s="2741"/>
      <c r="AE83" s="2741"/>
      <c r="AF83" s="2741"/>
      <c r="AG83" s="2741"/>
      <c r="AH83" s="2741"/>
      <c r="AI83" s="2741"/>
      <c r="AJ83" s="2741"/>
    </row>
    <row r="84" s="2428" customFormat="1" ht="7.5" customHeight="1" spans="1:36">
      <c r="A84" s="544"/>
      <c r="B84" s="544"/>
      <c r="C84" s="544"/>
      <c r="D84" s="544"/>
      <c r="E84" s="544"/>
      <c r="F84" s="544"/>
      <c r="G84" s="544"/>
      <c r="H84" s="2657"/>
      <c r="I84" s="2657"/>
      <c r="J84" s="2739"/>
      <c r="K84" s="367"/>
      <c r="L84" s="367"/>
      <c r="M84" s="367"/>
      <c r="N84" s="367"/>
      <c r="O84" s="367"/>
      <c r="P84" s="367"/>
      <c r="Q84" s="367"/>
      <c r="R84" s="367"/>
      <c r="S84" s="367"/>
      <c r="T84" s="367"/>
      <c r="U84" s="367"/>
      <c r="V84" s="367"/>
      <c r="W84" s="367"/>
      <c r="X84" s="367"/>
      <c r="Y84" s="367"/>
      <c r="Z84" s="367"/>
      <c r="AA84" s="367"/>
      <c r="AB84" s="2741"/>
      <c r="AC84" s="2741"/>
      <c r="AD84" s="2741"/>
      <c r="AE84" s="2741"/>
      <c r="AF84" s="2741"/>
      <c r="AG84" s="2741"/>
      <c r="AH84" s="2741"/>
      <c r="AI84" s="2741"/>
      <c r="AJ84" s="2741"/>
    </row>
    <row r="85" s="2428" customFormat="1" ht="15" spans="1:36">
      <c r="A85" s="2634" t="s">
        <v>773</v>
      </c>
      <c r="B85" s="507"/>
      <c r="C85" s="507"/>
      <c r="D85" s="507"/>
      <c r="E85" s="507"/>
      <c r="F85" s="507"/>
      <c r="G85" s="507"/>
      <c r="H85" s="507"/>
      <c r="I85" s="544"/>
      <c r="J85" s="2738"/>
      <c r="K85" s="367"/>
      <c r="L85" s="367"/>
      <c r="M85" s="367"/>
      <c r="N85" s="367"/>
      <c r="O85" s="367"/>
      <c r="P85" s="367"/>
      <c r="Q85" s="367"/>
      <c r="R85" s="367"/>
      <c r="S85" s="367"/>
      <c r="T85" s="367"/>
      <c r="U85" s="367"/>
      <c r="V85" s="367"/>
      <c r="W85" s="367"/>
      <c r="X85" s="367"/>
      <c r="Y85" s="367"/>
      <c r="Z85" s="367"/>
      <c r="AA85" s="367"/>
      <c r="AB85" s="2741"/>
      <c r="AC85" s="2741"/>
      <c r="AD85" s="2741"/>
      <c r="AE85" s="2741"/>
      <c r="AF85" s="2741"/>
      <c r="AG85" s="2741"/>
      <c r="AH85" s="2741"/>
      <c r="AI85" s="2741"/>
      <c r="AJ85" s="2741"/>
    </row>
    <row r="86" s="2428" customFormat="1" ht="14.25" spans="1:36">
      <c r="A86" s="459" t="s">
        <v>725</v>
      </c>
      <c r="B86" s="425"/>
      <c r="C86" s="425"/>
      <c r="D86" s="425" t="s">
        <v>726</v>
      </c>
      <c r="E86" s="2635" t="s">
        <v>677</v>
      </c>
      <c r="F86" s="2636"/>
      <c r="G86" s="2636"/>
      <c r="H86" s="2658"/>
      <c r="I86" s="544"/>
      <c r="J86" s="2738"/>
      <c r="K86" s="367"/>
      <c r="L86" s="367"/>
      <c r="M86" s="367"/>
      <c r="N86" s="367"/>
      <c r="O86" s="367"/>
      <c r="P86" s="367"/>
      <c r="Q86" s="367"/>
      <c r="R86" s="367"/>
      <c r="S86" s="367"/>
      <c r="T86" s="367"/>
      <c r="U86" s="367"/>
      <c r="V86" s="367"/>
      <c r="W86" s="367"/>
      <c r="X86" s="367"/>
      <c r="Y86" s="367"/>
      <c r="Z86" s="367"/>
      <c r="AA86" s="367"/>
      <c r="AB86" s="2741"/>
      <c r="AC86" s="2741"/>
      <c r="AD86" s="2741"/>
      <c r="AE86" s="2741"/>
      <c r="AF86" s="2741"/>
      <c r="AG86" s="2741"/>
      <c r="AH86" s="2741"/>
      <c r="AI86" s="2741"/>
      <c r="AJ86" s="2741"/>
    </row>
    <row r="87" s="2428" customFormat="1" ht="14.25" spans="1:36">
      <c r="A87" s="2638">
        <v>1</v>
      </c>
      <c r="B87" s="516" t="s">
        <v>749</v>
      </c>
      <c r="C87" s="2628">
        <f ca="1">ROUND(D47/(1+'数据-取费表'!F30),0)</f>
        <v>0</v>
      </c>
      <c r="D87" s="410" t="s">
        <v>121</v>
      </c>
      <c r="E87" s="2149"/>
      <c r="F87" s="2150"/>
      <c r="G87" s="2150"/>
      <c r="H87" s="2659"/>
      <c r="I87" s="544"/>
      <c r="J87" s="2738"/>
      <c r="K87" s="367"/>
      <c r="L87" s="367"/>
      <c r="M87" s="367"/>
      <c r="N87" s="367"/>
      <c r="O87" s="367"/>
      <c r="P87" s="367"/>
      <c r="Q87" s="367"/>
      <c r="R87" s="367"/>
      <c r="S87" s="367"/>
      <c r="T87" s="367"/>
      <c r="U87" s="367"/>
      <c r="V87" s="367"/>
      <c r="W87" s="367"/>
      <c r="X87" s="367"/>
      <c r="Y87" s="367"/>
      <c r="Z87" s="367"/>
      <c r="AA87" s="367"/>
      <c r="AB87" s="2741"/>
      <c r="AC87" s="2741"/>
      <c r="AD87" s="2741"/>
      <c r="AE87" s="2741"/>
      <c r="AF87" s="2741"/>
      <c r="AG87" s="2741"/>
      <c r="AH87" s="2741"/>
      <c r="AI87" s="2741"/>
      <c r="AJ87" s="2741"/>
    </row>
    <row r="88" s="2428" customFormat="1" ht="14.25" spans="1:36">
      <c r="A88" s="2640">
        <v>2</v>
      </c>
      <c r="B88" s="2327" t="s">
        <v>751</v>
      </c>
      <c r="C88" s="2628">
        <f ca="1">IF(H90="仅含出让金",C89+C92+C93+C94+C95+C96,C89+C93+C94+C95+C96)</f>
        <v>0</v>
      </c>
      <c r="D88" s="2660"/>
      <c r="E88" s="2149"/>
      <c r="F88" s="2150"/>
      <c r="G88" s="2150"/>
      <c r="H88" s="2659"/>
      <c r="I88" s="544"/>
      <c r="J88" s="2738"/>
      <c r="K88" s="367"/>
      <c r="L88" s="367"/>
      <c r="M88" s="367"/>
      <c r="N88" s="367"/>
      <c r="O88" s="367"/>
      <c r="P88" s="367"/>
      <c r="Q88" s="367"/>
      <c r="R88" s="367"/>
      <c r="S88" s="367"/>
      <c r="T88" s="367"/>
      <c r="U88" s="367"/>
      <c r="V88" s="367"/>
      <c r="W88" s="367"/>
      <c r="X88" s="367"/>
      <c r="Y88" s="367"/>
      <c r="Z88" s="367"/>
      <c r="AA88" s="367"/>
      <c r="AB88" s="2741"/>
      <c r="AC88" s="2741"/>
      <c r="AD88" s="2741"/>
      <c r="AE88" s="2741"/>
      <c r="AF88" s="2741"/>
      <c r="AG88" s="2741"/>
      <c r="AH88" s="2741"/>
      <c r="AI88" s="2741"/>
      <c r="AJ88" s="2741"/>
    </row>
    <row r="89" s="2428" customFormat="1" ht="14.25" spans="1:36">
      <c r="A89" s="2621" t="s">
        <v>752</v>
      </c>
      <c r="B89" s="410" t="s">
        <v>774</v>
      </c>
      <c r="C89" s="2648">
        <f>C90+C91</f>
        <v>0</v>
      </c>
      <c r="D89" s="2649"/>
      <c r="E89" s="2650"/>
      <c r="F89" s="2651"/>
      <c r="G89" s="2651"/>
      <c r="H89" s="2652"/>
      <c r="I89" s="544"/>
      <c r="J89" s="2738"/>
      <c r="K89" s="367"/>
      <c r="L89" s="367"/>
      <c r="M89" s="367"/>
      <c r="N89" s="367"/>
      <c r="O89" s="367"/>
      <c r="P89" s="367"/>
      <c r="Q89" s="367"/>
      <c r="R89" s="367"/>
      <c r="S89" s="367"/>
      <c r="T89" s="367"/>
      <c r="U89" s="367"/>
      <c r="V89" s="367"/>
      <c r="W89" s="367"/>
      <c r="X89" s="367"/>
      <c r="Y89" s="367"/>
      <c r="Z89" s="367"/>
      <c r="AA89" s="367"/>
      <c r="AB89" s="2741"/>
      <c r="AC89" s="2741"/>
      <c r="AD89" s="2741"/>
      <c r="AE89" s="2741"/>
      <c r="AF89" s="2741"/>
      <c r="AG89" s="2741"/>
      <c r="AH89" s="2741"/>
      <c r="AI89" s="2741"/>
      <c r="AJ89" s="2741"/>
    </row>
    <row r="90" s="2428" customFormat="1" ht="14.25" spans="1:36">
      <c r="A90" s="2621" t="s">
        <v>754</v>
      </c>
      <c r="B90" s="410" t="s">
        <v>775</v>
      </c>
      <c r="C90" s="2661"/>
      <c r="D90" s="2649"/>
      <c r="E90" s="2593" t="s">
        <v>776</v>
      </c>
      <c r="F90" s="2651"/>
      <c r="G90" s="2662" t="s">
        <v>777</v>
      </c>
      <c r="H90" s="2663"/>
      <c r="I90" s="544"/>
      <c r="J90" s="2738"/>
      <c r="K90" s="2740" t="s">
        <v>778</v>
      </c>
      <c r="L90" s="2741"/>
      <c r="M90" s="2741"/>
      <c r="N90" s="2741"/>
      <c r="O90" s="2741"/>
      <c r="P90" s="2741"/>
      <c r="Q90" s="2741"/>
      <c r="R90" s="2741"/>
      <c r="S90" s="2741"/>
      <c r="T90" s="367"/>
      <c r="U90" s="367"/>
      <c r="V90" s="367"/>
      <c r="W90" s="367"/>
      <c r="X90" s="367"/>
      <c r="Y90" s="367"/>
      <c r="Z90" s="367"/>
      <c r="AA90" s="367"/>
      <c r="AB90" s="2741"/>
      <c r="AC90" s="2741"/>
      <c r="AD90" s="2741"/>
      <c r="AE90" s="2741"/>
      <c r="AF90" s="2741"/>
      <c r="AG90" s="2741"/>
      <c r="AH90" s="2741"/>
      <c r="AI90" s="2741"/>
      <c r="AJ90" s="2741"/>
    </row>
    <row r="91" s="2428" customFormat="1" ht="14.25" spans="1:36">
      <c r="A91" s="2621" t="s">
        <v>759</v>
      </c>
      <c r="B91" s="410" t="s">
        <v>763</v>
      </c>
      <c r="C91" s="2648">
        <f>ROUND(C90*D91,0)</f>
        <v>0</v>
      </c>
      <c r="D91" s="2649">
        <f>'数据-取费表'!E36+'数据-取费表'!E37</f>
        <v>0.0305</v>
      </c>
      <c r="E91" s="2593" t="s">
        <v>779</v>
      </c>
      <c r="F91" s="2651"/>
      <c r="G91" s="2651"/>
      <c r="H91" s="2652"/>
      <c r="I91" s="544"/>
      <c r="J91" s="2738"/>
      <c r="K91" s="367"/>
      <c r="L91" s="367"/>
      <c r="M91" s="367"/>
      <c r="N91" s="367"/>
      <c r="O91" s="367"/>
      <c r="P91" s="367"/>
      <c r="Q91" s="367"/>
      <c r="R91" s="367"/>
      <c r="S91" s="367"/>
      <c r="T91" s="367"/>
      <c r="U91" s="367"/>
      <c r="V91" s="367"/>
      <c r="W91" s="367"/>
      <c r="X91" s="367"/>
      <c r="Y91" s="367"/>
      <c r="Z91" s="367"/>
      <c r="AA91" s="367"/>
      <c r="AB91" s="2741"/>
      <c r="AC91" s="2741"/>
      <c r="AD91" s="2741"/>
      <c r="AE91" s="2741"/>
      <c r="AF91" s="2741"/>
      <c r="AG91" s="2741"/>
      <c r="AH91" s="2741"/>
      <c r="AI91" s="2741"/>
      <c r="AJ91" s="2741"/>
    </row>
    <row r="92" s="2428" customFormat="1" ht="14.25" spans="1:36">
      <c r="A92" s="2621" t="s">
        <v>766</v>
      </c>
      <c r="B92" s="410" t="s">
        <v>780</v>
      </c>
      <c r="C92" s="2661"/>
      <c r="D92" s="2649"/>
      <c r="E92" s="2593" t="str">
        <f>IF(H90="-","土地取得成本中已包含该笔费用"," ")</f>
        <v> </v>
      </c>
      <c r="F92" s="2651"/>
      <c r="G92" s="2664" t="s">
        <v>781</v>
      </c>
      <c r="H92" s="2665"/>
      <c r="I92" s="544"/>
      <c r="J92" s="2738"/>
      <c r="K92" s="2740" t="s">
        <v>782</v>
      </c>
      <c r="L92" s="2741"/>
      <c r="M92" s="2741"/>
      <c r="N92" s="2741"/>
      <c r="O92" s="2741"/>
      <c r="P92" s="2741"/>
      <c r="Q92" s="2741"/>
      <c r="R92" s="2741"/>
      <c r="S92" s="2741"/>
      <c r="T92" s="367"/>
      <c r="U92" s="367"/>
      <c r="V92" s="367"/>
      <c r="W92" s="367"/>
      <c r="X92" s="367"/>
      <c r="Y92" s="367"/>
      <c r="Z92" s="367"/>
      <c r="AA92" s="367"/>
      <c r="AB92" s="2741"/>
      <c r="AC92" s="2741"/>
      <c r="AD92" s="2741"/>
      <c r="AE92" s="2741"/>
      <c r="AF92" s="2741"/>
      <c r="AG92" s="2741"/>
      <c r="AH92" s="2741"/>
      <c r="AI92" s="2741"/>
      <c r="AJ92" s="2741"/>
    </row>
    <row r="93" s="2428" customFormat="1" ht="30.75" customHeight="1" spans="1:36">
      <c r="A93" s="2621" t="s">
        <v>783</v>
      </c>
      <c r="B93" s="410" t="s">
        <v>784</v>
      </c>
      <c r="C93" s="2648">
        <f>IF(H93="——",成本法!C33,I93)</f>
        <v>0</v>
      </c>
      <c r="D93" s="2649"/>
      <c r="E93" s="2650" t="s">
        <v>785</v>
      </c>
      <c r="F93" s="2651"/>
      <c r="G93" s="2651"/>
      <c r="H93" s="2666" t="s">
        <v>786</v>
      </c>
      <c r="I93" s="2742"/>
      <c r="J93" s="2743"/>
      <c r="K93" s="367"/>
      <c r="L93" s="367"/>
      <c r="M93" s="367"/>
      <c r="N93" s="367"/>
      <c r="O93" s="367"/>
      <c r="P93" s="367"/>
      <c r="Q93" s="367"/>
      <c r="R93" s="367"/>
      <c r="S93" s="367"/>
      <c r="T93" s="367"/>
      <c r="U93" s="367"/>
      <c r="V93" s="367"/>
      <c r="W93" s="367"/>
      <c r="X93" s="367"/>
      <c r="Y93" s="367"/>
      <c r="Z93" s="367"/>
      <c r="AA93" s="367"/>
      <c r="AB93" s="2741"/>
      <c r="AC93" s="2741"/>
      <c r="AD93" s="2741"/>
      <c r="AE93" s="2741"/>
      <c r="AF93" s="2741"/>
      <c r="AG93" s="2741"/>
      <c r="AH93" s="2741"/>
      <c r="AI93" s="2741"/>
      <c r="AJ93" s="2741"/>
    </row>
    <row r="94" s="2428" customFormat="1" ht="25.5" customHeight="1" spans="1:36">
      <c r="A94" s="2621" t="s">
        <v>787</v>
      </c>
      <c r="B94" s="410" t="s">
        <v>788</v>
      </c>
      <c r="C94" s="2648">
        <f>ROUND((C89+C92+C93)*D94,0)</f>
        <v>0</v>
      </c>
      <c r="D94" s="2649">
        <v>0.1</v>
      </c>
      <c r="E94" s="2650" t="s">
        <v>789</v>
      </c>
      <c r="F94" s="2651"/>
      <c r="G94" s="2651"/>
      <c r="H94" s="2652"/>
      <c r="I94" s="544"/>
      <c r="J94" s="2738"/>
      <c r="K94" s="2744" t="s">
        <v>790</v>
      </c>
      <c r="L94" s="2741"/>
      <c r="M94" s="2741"/>
      <c r="N94" s="2741"/>
      <c r="O94" s="2741"/>
      <c r="P94" s="2741"/>
      <c r="Q94" s="367"/>
      <c r="R94" s="367"/>
      <c r="S94" s="367"/>
      <c r="T94" s="367"/>
      <c r="U94" s="367"/>
      <c r="V94" s="367"/>
      <c r="W94" s="367"/>
      <c r="X94" s="367"/>
      <c r="Y94" s="367"/>
      <c r="Z94" s="367"/>
      <c r="AA94" s="367"/>
      <c r="AB94" s="2741"/>
      <c r="AC94" s="2741"/>
      <c r="AD94" s="2741"/>
      <c r="AE94" s="2741"/>
      <c r="AF94" s="2741"/>
      <c r="AG94" s="2741"/>
      <c r="AH94" s="2741"/>
      <c r="AI94" s="2741"/>
      <c r="AJ94" s="2741"/>
    </row>
    <row r="95" s="2428" customFormat="1" ht="25.5" customHeight="1" spans="1:36">
      <c r="A95" s="2621" t="s">
        <v>791</v>
      </c>
      <c r="B95" s="410" t="s">
        <v>767</v>
      </c>
      <c r="C95" s="2648">
        <f ca="1">ROUND(D47*D95/(1+'数据-取费表'!F30),0)</f>
        <v>0</v>
      </c>
      <c r="D95" s="2649">
        <f>'数据-取费表'!E31</f>
        <v>0.006</v>
      </c>
      <c r="E95" s="2650" t="s">
        <v>768</v>
      </c>
      <c r="F95" s="2651"/>
      <c r="G95" s="2651"/>
      <c r="H95" s="2652"/>
      <c r="I95" s="544"/>
      <c r="J95" s="2738"/>
      <c r="K95" s="367"/>
      <c r="L95" s="367"/>
      <c r="M95" s="367"/>
      <c r="N95" s="367"/>
      <c r="O95" s="367"/>
      <c r="P95" s="367"/>
      <c r="Q95" s="367"/>
      <c r="R95" s="367"/>
      <c r="S95" s="367"/>
      <c r="T95" s="367"/>
      <c r="U95" s="367"/>
      <c r="V95" s="367"/>
      <c r="W95" s="367"/>
      <c r="X95" s="367"/>
      <c r="Y95" s="367"/>
      <c r="Z95" s="367"/>
      <c r="AA95" s="367"/>
      <c r="AB95" s="2741"/>
      <c r="AC95" s="2741"/>
      <c r="AD95" s="2741"/>
      <c r="AE95" s="2741"/>
      <c r="AF95" s="2741"/>
      <c r="AG95" s="2741"/>
      <c r="AH95" s="2741"/>
      <c r="AI95" s="2741"/>
      <c r="AJ95" s="2741"/>
    </row>
    <row r="96" s="2428" customFormat="1" ht="25.5" customHeight="1" spans="1:36">
      <c r="A96" s="2621" t="s">
        <v>792</v>
      </c>
      <c r="B96" s="410" t="s">
        <v>793</v>
      </c>
      <c r="C96" s="2648">
        <f>ROUND((C89+C92+C93)*D96,0)</f>
        <v>0</v>
      </c>
      <c r="D96" s="2649">
        <v>0.2</v>
      </c>
      <c r="E96" s="2650" t="s">
        <v>794</v>
      </c>
      <c r="F96" s="2651"/>
      <c r="G96" s="2651"/>
      <c r="H96" s="2652"/>
      <c r="I96" s="544"/>
      <c r="J96" s="2738"/>
      <c r="K96" s="367"/>
      <c r="L96" s="367"/>
      <c r="M96" s="367"/>
      <c r="N96" s="367"/>
      <c r="O96" s="367"/>
      <c r="P96" s="367"/>
      <c r="Q96" s="367"/>
      <c r="R96" s="367"/>
      <c r="S96" s="367"/>
      <c r="T96" s="367"/>
      <c r="U96" s="367"/>
      <c r="V96" s="367"/>
      <c r="W96" s="367"/>
      <c r="X96" s="367"/>
      <c r="Y96" s="367"/>
      <c r="Z96" s="367"/>
      <c r="AA96" s="367"/>
      <c r="AB96" s="2741"/>
      <c r="AC96" s="2741"/>
      <c r="AD96" s="2741"/>
      <c r="AE96" s="2741"/>
      <c r="AF96" s="2741"/>
      <c r="AG96" s="2741"/>
      <c r="AH96" s="2741"/>
      <c r="AI96" s="2741"/>
      <c r="AJ96" s="2741"/>
    </row>
    <row r="97" s="2428" customFormat="1" ht="14.25" spans="1:36">
      <c r="A97" s="2625" t="s">
        <v>742</v>
      </c>
      <c r="B97" s="516" t="s">
        <v>769</v>
      </c>
      <c r="C97" s="2628">
        <f ca="1">ROUND(C87-C88,0)</f>
        <v>0</v>
      </c>
      <c r="D97" s="410" t="s">
        <v>121</v>
      </c>
      <c r="E97" s="2149"/>
      <c r="F97" s="2150"/>
      <c r="G97" s="2150"/>
      <c r="H97" s="2659"/>
      <c r="I97" s="544"/>
      <c r="J97" s="2738"/>
      <c r="K97" s="367"/>
      <c r="L97" s="367"/>
      <c r="M97" s="367"/>
      <c r="N97" s="367"/>
      <c r="O97" s="367"/>
      <c r="P97" s="367"/>
      <c r="Q97" s="367"/>
      <c r="R97" s="367"/>
      <c r="S97" s="367"/>
      <c r="T97" s="367"/>
      <c r="U97" s="367"/>
      <c r="V97" s="367"/>
      <c r="W97" s="367"/>
      <c r="X97" s="367"/>
      <c r="Y97" s="367"/>
      <c r="Z97" s="367"/>
      <c r="AA97" s="367"/>
      <c r="AB97" s="2741"/>
      <c r="AC97" s="2741"/>
      <c r="AD97" s="2741"/>
      <c r="AE97" s="2741"/>
      <c r="AF97" s="2741"/>
      <c r="AG97" s="2741"/>
      <c r="AH97" s="2741"/>
      <c r="AI97" s="2741"/>
      <c r="AJ97" s="2741"/>
    </row>
    <row r="98" s="2428" customFormat="1" ht="14.25" spans="1:36">
      <c r="A98" s="2625" t="s">
        <v>745</v>
      </c>
      <c r="B98" s="516" t="s">
        <v>770</v>
      </c>
      <c r="C98" s="2653">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59"/>
      <c r="I98" s="544"/>
      <c r="J98" s="2738"/>
      <c r="K98" s="367"/>
      <c r="L98" s="367"/>
      <c r="M98" s="367"/>
      <c r="N98" s="367"/>
      <c r="O98" s="367"/>
      <c r="P98" s="367"/>
      <c r="Q98" s="367"/>
      <c r="R98" s="367"/>
      <c r="S98" s="367"/>
      <c r="T98" s="367"/>
      <c r="U98" s="367"/>
      <c r="V98" s="367"/>
      <c r="W98" s="367"/>
      <c r="X98" s="367"/>
      <c r="Y98" s="367"/>
      <c r="Z98" s="367"/>
      <c r="AA98" s="367"/>
      <c r="AB98" s="2741"/>
      <c r="AC98" s="2741"/>
      <c r="AD98" s="2741"/>
      <c r="AE98" s="2741"/>
      <c r="AF98" s="2741"/>
      <c r="AG98" s="2741"/>
      <c r="AH98" s="2741"/>
      <c r="AI98" s="2741"/>
      <c r="AJ98" s="2741"/>
    </row>
    <row r="99" s="2428" customFormat="1" ht="15" spans="1:36">
      <c r="A99" s="2667" t="s">
        <v>771</v>
      </c>
      <c r="B99" s="537" t="s">
        <v>772</v>
      </c>
      <c r="C99" s="2668">
        <f ca="1">ROUND(IF(C97&lt;=0,0,IF(C98&gt;=200%,C97*60%-C88*35%,IF(C98&gt;=100%,C97*50%-C88*15%,IF(C98&gt;=50%,C97*40%-C88*5%,IF(C98&lt;50%,C97*30%,0))))),0)</f>
        <v>0</v>
      </c>
      <c r="D99" s="2669" t="s">
        <v>121</v>
      </c>
      <c r="E99" s="255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5"/>
      <c r="G99" s="2655"/>
      <c r="H99" s="2670"/>
      <c r="I99" s="2745"/>
      <c r="J99" s="2746"/>
      <c r="K99" s="367"/>
      <c r="L99" s="367"/>
      <c r="M99" s="367"/>
      <c r="N99" s="367"/>
      <c r="O99" s="367"/>
      <c r="P99" s="367"/>
      <c r="Q99" s="367"/>
      <c r="R99" s="367"/>
      <c r="S99" s="367"/>
      <c r="T99" s="367"/>
      <c r="U99" s="367"/>
      <c r="V99" s="367"/>
      <c r="W99" s="367"/>
      <c r="X99" s="367"/>
      <c r="Y99" s="367"/>
      <c r="Z99" s="367"/>
      <c r="AA99" s="367"/>
      <c r="AB99" s="2741"/>
      <c r="AC99" s="2741"/>
      <c r="AD99" s="2741"/>
      <c r="AE99" s="2741"/>
      <c r="AF99" s="2741"/>
      <c r="AG99" s="2741"/>
      <c r="AH99" s="2741"/>
      <c r="AI99" s="2741"/>
      <c r="AJ99" s="2741"/>
    </row>
    <row r="100" customHeight="1" spans="1:9">
      <c r="A100" s="2517" t="s">
        <v>795</v>
      </c>
      <c r="B100" s="2433"/>
      <c r="C100" s="2433"/>
      <c r="D100" s="2433"/>
      <c r="E100" s="2671"/>
      <c r="F100" s="2671"/>
      <c r="G100" s="2671"/>
      <c r="H100" s="2672"/>
      <c r="I100" s="2433"/>
    </row>
    <row r="101" ht="15" spans="1:10">
      <c r="A101" s="2673" t="s">
        <v>796</v>
      </c>
      <c r="B101" s="2674"/>
      <c r="C101" s="2674"/>
      <c r="D101" s="2675"/>
      <c r="E101" s="2433"/>
      <c r="F101" s="2676" t="s">
        <v>863</v>
      </c>
      <c r="G101" s="2677"/>
      <c r="H101" s="2677"/>
      <c r="I101" s="2747"/>
      <c r="J101" s="2748"/>
    </row>
    <row r="102" ht="15" spans="1:10">
      <c r="A102" s="2678" t="s">
        <v>798</v>
      </c>
      <c r="B102" s="2679"/>
      <c r="C102" s="2680">
        <f>C4</f>
        <v>0</v>
      </c>
      <c r="D102" s="2681">
        <f>D4</f>
        <v>0</v>
      </c>
      <c r="E102" s="2433"/>
      <c r="F102" s="2682" t="s">
        <v>799</v>
      </c>
      <c r="G102" s="2683"/>
      <c r="H102" s="2684" t="s">
        <v>800</v>
      </c>
      <c r="I102" s="2749"/>
      <c r="J102" s="2750"/>
    </row>
    <row r="103" ht="13.5" spans="1:10">
      <c r="A103" s="2685" t="s">
        <v>864</v>
      </c>
      <c r="B103" s="518" t="str">
        <f>IF(H19="元","总价（元）","总价（万元）")</f>
        <v>总价（元）</v>
      </c>
      <c r="C103" s="2686" t="e">
        <f ca="1">C19</f>
        <v>#REF!</v>
      </c>
      <c r="D103" s="2687" t="e">
        <f ca="1">D19</f>
        <v>#REF!</v>
      </c>
      <c r="E103" s="2433"/>
      <c r="F103" s="2688"/>
      <c r="G103" s="2689"/>
      <c r="H103" s="2690">
        <f>典型户型修正!B25</f>
        <v>0</v>
      </c>
      <c r="I103" s="2749"/>
      <c r="J103" s="2750"/>
    </row>
    <row r="104" ht="13.5" spans="1:10">
      <c r="A104" s="2685"/>
      <c r="B104" s="518" t="s">
        <v>802</v>
      </c>
      <c r="C104" s="2691" t="e">
        <f ca="1">C20</f>
        <v>#REF!</v>
      </c>
      <c r="D104" s="2692" t="e">
        <f ca="1">D20</f>
        <v>#REF!</v>
      </c>
      <c r="E104" s="2433"/>
      <c r="F104" s="2640" t="s">
        <v>803</v>
      </c>
      <c r="G104" s="2327"/>
      <c r="H104" s="2693" t="str">
        <f>C110</f>
        <v>总价（元）</v>
      </c>
      <c r="I104" s="2710">
        <f ca="1">H125</f>
        <v>0</v>
      </c>
      <c r="J104" s="2750"/>
    </row>
    <row r="105" ht="13.5" spans="1:10">
      <c r="A105" s="2685" t="s">
        <v>865</v>
      </c>
      <c r="B105" s="519" t="str">
        <f>B103</f>
        <v>总价（元）</v>
      </c>
      <c r="C105" s="2228" t="e">
        <f ca="1">ROUND(IF('数据-取费表'!B4="总价",G19,IF(H19="元",G20*'数据-取费表'!E5,G20*'数据-取费表'!E5/10000)),0)</f>
        <v>#REF!</v>
      </c>
      <c r="D105" s="2694"/>
      <c r="E105" s="2433"/>
      <c r="F105" s="2640"/>
      <c r="G105" s="2327"/>
      <c r="H105" s="2693" t="s">
        <v>802</v>
      </c>
      <c r="I105" s="2623" t="e">
        <f ca="1">I125</f>
        <v>#DIV/0!</v>
      </c>
      <c r="J105" s="2567"/>
    </row>
    <row r="106" ht="13.5" spans="1:10">
      <c r="A106" s="2685"/>
      <c r="B106" s="518" t="s">
        <v>802</v>
      </c>
      <c r="C106" s="2515" t="e">
        <f ca="1">ROUND(IF('数据-取费表'!B4="楼面单价",G20,IF(H19="元",G19/'数据-取费表'!E5,G19*10000/'数据-取费表'!E5)),0)</f>
        <v>#REF!</v>
      </c>
      <c r="D106" s="2694"/>
      <c r="E106" s="2433"/>
      <c r="F106" s="2640"/>
      <c r="G106" s="2327"/>
      <c r="H106" s="2693"/>
      <c r="I106" s="2751"/>
      <c r="J106" s="2752"/>
    </row>
    <row r="107" ht="13.5" spans="1:10">
      <c r="A107" s="2695" t="s">
        <v>866</v>
      </c>
      <c r="B107" s="2696" t="str">
        <f>B103</f>
        <v>总价（元）</v>
      </c>
      <c r="C107" s="2697">
        <f ca="1">H125</f>
        <v>0</v>
      </c>
      <c r="D107" s="2698"/>
      <c r="E107" s="2433"/>
      <c r="F107" s="2699" t="s">
        <v>806</v>
      </c>
      <c r="G107" s="2700"/>
      <c r="H107" s="2701" t="str">
        <f>C112</f>
        <v>总额（元）</v>
      </c>
      <c r="I107" s="2710">
        <f>SUMIF(I108:I110,"&lt;9E307")</f>
        <v>0</v>
      </c>
      <c r="J107" s="2750"/>
    </row>
    <row r="108" ht="15" spans="1:17">
      <c r="A108" s="567"/>
      <c r="B108" s="2702" t="s">
        <v>802</v>
      </c>
      <c r="C108" s="2703" t="e">
        <f ca="1">I125</f>
        <v>#DIV/0!</v>
      </c>
      <c r="D108" s="2704"/>
      <c r="E108" s="2433"/>
      <c r="F108" s="2705" t="s">
        <v>807</v>
      </c>
      <c r="G108" s="2706"/>
      <c r="H108" s="2701" t="str">
        <f>C113</f>
        <v>总额（元）</v>
      </c>
      <c r="I108" s="2753">
        <f>IF(D38="同一抵押权人同一抵押物续贷",C38&amp;"（续贷，未扣减，详见特别提示）",C38)</f>
        <v>0</v>
      </c>
      <c r="J108" s="2567"/>
      <c r="L108" s="2754" t="str">
        <f>IF(D125=0,"本次评估不存在"&amp;A125&amp;"。","本次评估"&amp;A125&amp;"为"&amp;D125&amp;"元人民币。")</f>
        <v>本次评估不存在北京市房地产。</v>
      </c>
      <c r="M108" s="2433"/>
      <c r="N108" s="2433"/>
      <c r="O108" s="2433"/>
      <c r="P108" s="2433"/>
      <c r="Q108" s="2433"/>
    </row>
    <row r="109" ht="15" spans="1:10">
      <c r="A109" s="2707" t="s">
        <v>805</v>
      </c>
      <c r="B109" s="2708"/>
      <c r="C109" s="2708"/>
      <c r="D109" s="2709"/>
      <c r="E109" s="2433"/>
      <c r="F109" s="2705" t="s">
        <v>808</v>
      </c>
      <c r="G109" s="2706"/>
      <c r="H109" s="2701" t="str">
        <f>C114</f>
        <v>总额（元）</v>
      </c>
      <c r="I109" s="2623">
        <f>C39</f>
        <v>0</v>
      </c>
      <c r="J109" s="2567"/>
    </row>
    <row r="110" ht="13.5" spans="1:10">
      <c r="A110" s="2640" t="s">
        <v>867</v>
      </c>
      <c r="B110" s="2327"/>
      <c r="C110" s="2693" t="str">
        <f>B103</f>
        <v>总价（元）</v>
      </c>
      <c r="D110" s="2710">
        <f ca="1">H125</f>
        <v>0</v>
      </c>
      <c r="E110" s="2433"/>
      <c r="F110" s="2705" t="s">
        <v>809</v>
      </c>
      <c r="G110" s="2706"/>
      <c r="H110" s="2701" t="str">
        <f>C115</f>
        <v>总额（元）</v>
      </c>
      <c r="I110" s="2623">
        <f>C40</f>
        <v>0</v>
      </c>
      <c r="J110" s="2567"/>
    </row>
    <row r="111" ht="13.5" spans="1:10">
      <c r="A111" s="2640"/>
      <c r="B111" s="2327"/>
      <c r="C111" s="2693" t="s">
        <v>802</v>
      </c>
      <c r="D111" s="2623" t="e">
        <f ca="1">I125</f>
        <v>#DIV/0!</v>
      </c>
      <c r="E111" s="2433"/>
      <c r="F111" s="2640"/>
      <c r="G111" s="2327"/>
      <c r="H111" s="552"/>
      <c r="I111" s="2755"/>
      <c r="J111" s="2756"/>
    </row>
    <row r="112" ht="28.5" customHeight="1" spans="1:10">
      <c r="A112" s="2711" t="s">
        <v>806</v>
      </c>
      <c r="B112" s="2712"/>
      <c r="C112" s="2701" t="str">
        <f>IF(H19="元","总额（元）","总额（万元）")</f>
        <v>总额（元）</v>
      </c>
      <c r="D112" s="2710">
        <f>IF(D38="正常操作",I108+I109+I110,I109+I110)</f>
        <v>0</v>
      </c>
      <c r="E112" s="2433"/>
      <c r="F112" s="2713" t="str">
        <f>IF(项目基本情况!F5="已注销","——","3.房地产抵押价值")</f>
        <v>3.房地产抵押价值</v>
      </c>
      <c r="G112" s="2522"/>
      <c r="H112" s="2515" t="str">
        <f>C116</f>
        <v>总价（元）</v>
      </c>
      <c r="I112" s="2710">
        <f ca="1">IF(F112="——","——",I104-I107)</f>
        <v>0</v>
      </c>
      <c r="J112" s="2750"/>
    </row>
    <row r="113" ht="13.5" spans="1:10">
      <c r="A113" s="2705" t="s">
        <v>807</v>
      </c>
      <c r="B113" s="2706"/>
      <c r="C113" s="2701" t="str">
        <f>C112</f>
        <v>总额（元）</v>
      </c>
      <c r="D113" s="2623">
        <f>IF(D38="同一抵押权人同一抵押物续贷",C38&amp;"（未扣减，详见特别提示）",C38)</f>
        <v>0</v>
      </c>
      <c r="E113" s="2433"/>
      <c r="F113" s="2714"/>
      <c r="G113" s="2531"/>
      <c r="H113" s="2693" t="s">
        <v>802</v>
      </c>
      <c r="I113" s="2757" t="e">
        <f ca="1">D117</f>
        <v>#DIV/0!</v>
      </c>
      <c r="J113" s="2758"/>
    </row>
    <row r="114" ht="13.5" spans="1:10">
      <c r="A114" s="2705" t="s">
        <v>808</v>
      </c>
      <c r="B114" s="2706"/>
      <c r="C114" s="2701" t="str">
        <f>C112</f>
        <v>总额（元）</v>
      </c>
      <c r="D114" s="2623">
        <f>C39</f>
        <v>0</v>
      </c>
      <c r="E114" s="2433"/>
      <c r="F114" s="2713" t="str">
        <f>IF(项目基本情况!F5="已注销及未注销","4.抵押担保权已注销时的房地产抵押价值",IF(项目基本情况!F5="已注销","3.抵押担保权已注销时的房地产抵押价值","——"))</f>
        <v>——</v>
      </c>
      <c r="G114" s="2522"/>
      <c r="H114" s="2515" t="str">
        <f>C118</f>
        <v>总价（元）</v>
      </c>
      <c r="I114" s="2710" t="str">
        <f ca="1">IF(F114="——","——",I104-I109-I110)</f>
        <v>——</v>
      </c>
      <c r="J114" s="2750"/>
    </row>
    <row r="115" ht="13.5" spans="1:10">
      <c r="A115" s="2705" t="s">
        <v>809</v>
      </c>
      <c r="B115" s="2706"/>
      <c r="C115" s="2701" t="str">
        <f>C112</f>
        <v>总额（元）</v>
      </c>
      <c r="D115" s="2623">
        <f>C40</f>
        <v>0</v>
      </c>
      <c r="E115" s="2433"/>
      <c r="F115" s="2714"/>
      <c r="G115" s="2531"/>
      <c r="H115" s="2693" t="s">
        <v>802</v>
      </c>
      <c r="I115" s="2623" t="str">
        <f ca="1">D119</f>
        <v>——</v>
      </c>
      <c r="J115" s="2567"/>
    </row>
    <row r="116" ht="13.5" spans="1:10">
      <c r="A116" s="2640" t="str">
        <f>IF(项目基本情况!F5="已注销","——","3.房地产抵押价值")</f>
        <v>3.房地产抵押价值</v>
      </c>
      <c r="B116" s="2327"/>
      <c r="C116" s="2693" t="str">
        <f>B103</f>
        <v>总价（元）</v>
      </c>
      <c r="D116" s="2710">
        <f ca="1">IF(A116="——","——",D110-D112)</f>
        <v>0</v>
      </c>
      <c r="E116" s="2433"/>
      <c r="F116" s="2713" t="str">
        <f>IF(项目基本情况!G5="抵押净值",IF(OR(项目基本情况!F5="已注销",项目基本情况!F5="房地产抵押价值"),"4.抵押净值","5.抵押净值"),"——")</f>
        <v>——</v>
      </c>
      <c r="G116" s="2522"/>
      <c r="H116" s="2693" t="str">
        <f>C120</f>
        <v>总价（元）</v>
      </c>
      <c r="I116" s="2710" t="str">
        <f ca="1">IF(F116="——","——",O61)</f>
        <v>——</v>
      </c>
      <c r="J116" s="2750"/>
    </row>
    <row r="117" ht="14.25" spans="1:10">
      <c r="A117" s="2640"/>
      <c r="B117" s="2327"/>
      <c r="C117" s="2693" t="s">
        <v>802</v>
      </c>
      <c r="D117" s="2623" t="e">
        <f ca="1">ROUND(IF(D116=D110,D111,IF(H19="元",D116/B125,D116*10000/B125)),0)</f>
        <v>#DIV/0!</v>
      </c>
      <c r="E117" s="2433"/>
      <c r="F117" s="2715"/>
      <c r="G117" s="2716"/>
      <c r="H117" s="2717" t="s">
        <v>802</v>
      </c>
      <c r="I117" s="2721" t="str">
        <f ca="1">D121</f>
        <v>——</v>
      </c>
      <c r="J117" s="2567"/>
    </row>
    <row r="118" ht="15.75" spans="1:16">
      <c r="A118" s="2640" t="str">
        <f>IF(项目基本情况!F5="已注销及未注销","4.抵押担保权已注销时的房地产抵押价值",IF(项目基本情况!F5="已注销","3.抵押担保权已注销时的房地产抵押价值","——"))</f>
        <v>——</v>
      </c>
      <c r="B118" s="2327"/>
      <c r="C118" s="2693" t="str">
        <f>B103</f>
        <v>总价（元）</v>
      </c>
      <c r="D118" s="2710" t="str">
        <f ca="1">IF(A118="——","——",D110-D114-D115)</f>
        <v>——</v>
      </c>
      <c r="E118" s="2433"/>
      <c r="F118" s="2718"/>
      <c r="G118" s="2718"/>
      <c r="H118" s="2719"/>
      <c r="I118" s="2719"/>
      <c r="J118" s="2759"/>
      <c r="O118" s="1709"/>
      <c r="P118" s="1709"/>
    </row>
    <row r="119" s="2429" customFormat="1" ht="12.75" spans="1:27">
      <c r="A119" s="2640"/>
      <c r="B119" s="2327"/>
      <c r="C119" s="2693" t="s">
        <v>802</v>
      </c>
      <c r="D119" s="2623" t="str">
        <f ca="1">IF(A118="——","——",IF(H19="元",ROUND(D118/B125,0),ROUND(D118*10000/B125,0)))</f>
        <v>——</v>
      </c>
      <c r="E119" s="2433"/>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0"/>
      <c r="K119" s="1712"/>
      <c r="L119" s="1712"/>
      <c r="M119" s="1712"/>
      <c r="N119" s="1712"/>
      <c r="O119" s="1709"/>
      <c r="P119" s="1709"/>
      <c r="Q119" s="1712"/>
      <c r="R119" s="1712"/>
      <c r="S119" s="1712"/>
      <c r="T119" s="1712"/>
      <c r="U119" s="1712"/>
      <c r="V119" s="1712"/>
      <c r="W119" s="1712"/>
      <c r="X119" s="1712"/>
      <c r="Y119" s="1712"/>
      <c r="Z119" s="1712"/>
      <c r="AA119" s="1712"/>
    </row>
    <row r="120" s="2429" customFormat="1" ht="12.75" spans="1:27">
      <c r="A120" s="2640" t="str">
        <f>IF(项目基本情况!G5="抵押净值",IF(OR(项目基本情况!F5="已注销",项目基本情况!F5="房地产抵押价值"),"4.抵押净值","5.抵押净值"),"——")</f>
        <v>——</v>
      </c>
      <c r="B120" s="2327"/>
      <c r="C120" s="2693" t="str">
        <f>B103</f>
        <v>总价（元）</v>
      </c>
      <c r="D120" s="2710" t="str">
        <f ca="1">IF(A120="——","——",O61)</f>
        <v>——</v>
      </c>
      <c r="E120" s="2433"/>
      <c r="F120" s="699"/>
      <c r="G120" s="699"/>
      <c r="H120" s="699"/>
      <c r="I120" s="699"/>
      <c r="J120" s="2760"/>
      <c r="K120" s="1712"/>
      <c r="L120" s="1712"/>
      <c r="M120" s="1712"/>
      <c r="N120" s="1712"/>
      <c r="O120" s="1709"/>
      <c r="P120" s="1709"/>
      <c r="Q120" s="1712"/>
      <c r="R120" s="1712"/>
      <c r="S120" s="1712"/>
      <c r="T120" s="1712"/>
      <c r="U120" s="1712"/>
      <c r="V120" s="1712"/>
      <c r="W120" s="1712"/>
      <c r="X120" s="1712"/>
      <c r="Y120" s="1712"/>
      <c r="Z120" s="1712"/>
      <c r="AA120" s="1712"/>
    </row>
    <row r="121" s="2429" customFormat="1" ht="13.5" spans="1:27">
      <c r="A121" s="2720"/>
      <c r="B121" s="2654"/>
      <c r="C121" s="2717" t="s">
        <v>802</v>
      </c>
      <c r="D121" s="2721" t="str">
        <f ca="1">IF(D120=D110,D111,IF(A120="——","——",O63))</f>
        <v>——</v>
      </c>
      <c r="E121" s="2433"/>
      <c r="F121" s="699"/>
      <c r="G121" s="699"/>
      <c r="H121" s="699"/>
      <c r="I121" s="699"/>
      <c r="J121" s="2760"/>
      <c r="K121" s="1712"/>
      <c r="L121" s="1712"/>
      <c r="M121" s="1712"/>
      <c r="N121" s="1712"/>
      <c r="O121" s="1709"/>
      <c r="P121" s="1709"/>
      <c r="Q121" s="1712"/>
      <c r="R121" s="1712"/>
      <c r="S121" s="1712"/>
      <c r="T121" s="1712"/>
      <c r="U121" s="1712"/>
      <c r="V121" s="1712"/>
      <c r="W121" s="1712"/>
      <c r="X121" s="1712"/>
      <c r="Y121" s="1712"/>
      <c r="Z121" s="1712"/>
      <c r="AA121" s="1712"/>
    </row>
    <row r="122" s="2429" customFormat="1" ht="15" spans="1:27">
      <c r="A122" s="2722" t="s">
        <v>810</v>
      </c>
      <c r="B122" s="2723"/>
      <c r="C122" s="2723"/>
      <c r="D122" s="2723"/>
      <c r="E122" s="2723"/>
      <c r="F122" s="2723"/>
      <c r="G122" s="2723"/>
      <c r="H122" s="2723"/>
      <c r="I122" s="2723"/>
      <c r="J122" s="2761"/>
      <c r="K122" s="1712"/>
      <c r="L122" s="1712"/>
      <c r="M122" s="1712"/>
      <c r="N122" s="1712"/>
      <c r="O122" s="1712"/>
      <c r="P122" s="1712"/>
      <c r="Q122" s="1712"/>
      <c r="R122" s="1712"/>
      <c r="S122" s="1712"/>
      <c r="T122" s="1712"/>
      <c r="U122" s="1712"/>
      <c r="V122" s="1712"/>
      <c r="W122" s="1712"/>
      <c r="X122" s="1712"/>
      <c r="Y122" s="1712"/>
      <c r="Z122" s="1712"/>
      <c r="AA122" s="1712"/>
    </row>
    <row r="123" s="2429" customFormat="1" ht="12.75" spans="1:27">
      <c r="A123" s="2547" t="s">
        <v>811</v>
      </c>
      <c r="B123" s="2177" t="s">
        <v>358</v>
      </c>
      <c r="C123" s="2177" t="s">
        <v>812</v>
      </c>
      <c r="D123" s="2724" t="s">
        <v>813</v>
      </c>
      <c r="E123" s="2725"/>
      <c r="F123" s="2171" t="s">
        <v>655</v>
      </c>
      <c r="G123" s="2171"/>
      <c r="H123" s="2171" t="s">
        <v>814</v>
      </c>
      <c r="I123" s="2623"/>
      <c r="J123" s="2567"/>
      <c r="K123" s="1712"/>
      <c r="L123" s="1712"/>
      <c r="M123" s="1712"/>
      <c r="N123" s="1712"/>
      <c r="O123" s="1712"/>
      <c r="P123" s="1712"/>
      <c r="Q123" s="1712"/>
      <c r="R123" s="1712"/>
      <c r="S123" s="1712"/>
      <c r="T123" s="1712"/>
      <c r="U123" s="1712"/>
      <c r="V123" s="1712"/>
      <c r="W123" s="1712"/>
      <c r="X123" s="1712"/>
      <c r="Y123" s="1712"/>
      <c r="Z123" s="1712"/>
      <c r="AA123" s="1712"/>
    </row>
    <row r="124" s="2429" customFormat="1" ht="12.75" spans="1:27">
      <c r="A124" s="2547"/>
      <c r="B124" s="447"/>
      <c r="C124" s="447"/>
      <c r="D124" s="2171" t="s">
        <v>815</v>
      </c>
      <c r="E124" s="2171" t="s">
        <v>816</v>
      </c>
      <c r="F124" s="2171" t="s">
        <v>815</v>
      </c>
      <c r="G124" s="2171" t="s">
        <v>816</v>
      </c>
      <c r="H124" s="2171" t="s">
        <v>815</v>
      </c>
      <c r="I124" s="2623" t="s">
        <v>816</v>
      </c>
      <c r="J124" s="2567"/>
      <c r="K124" s="1712"/>
      <c r="L124" s="1712"/>
      <c r="M124" s="1712"/>
      <c r="N124" s="1712"/>
      <c r="O124" s="1712"/>
      <c r="P124" s="1712"/>
      <c r="Q124" s="1712"/>
      <c r="R124" s="1712"/>
      <c r="S124" s="1712"/>
      <c r="T124" s="1712"/>
      <c r="U124" s="1712"/>
      <c r="V124" s="1712"/>
      <c r="W124" s="1712"/>
      <c r="X124" s="1712"/>
      <c r="Y124" s="1712"/>
      <c r="Z124" s="1712"/>
      <c r="AA124" s="1712"/>
    </row>
    <row r="125" s="2429" customFormat="1" ht="12.75" spans="1:27">
      <c r="A125" s="2547" t="str">
        <f>项目基本情况!I1</f>
        <v>北京市房地产</v>
      </c>
      <c r="B125" s="2171">
        <f>典型户型修正!B25</f>
        <v>0</v>
      </c>
      <c r="C125" s="2726"/>
      <c r="D125" s="2171">
        <f>C36</f>
        <v>0</v>
      </c>
      <c r="E125" s="2171" t="e">
        <f>ROUND(IF(H19="元",D125/B125,D125*10000/B125),0)</f>
        <v>#DIV/0!</v>
      </c>
      <c r="F125" s="2171">
        <f>C37</f>
        <v>0</v>
      </c>
      <c r="G125" s="2171" t="e">
        <f>ROUND(IF(H19="元",F125/B125,F125*10000/B125),0)</f>
        <v>#DIV/0!</v>
      </c>
      <c r="H125" s="2171">
        <f ca="1">C34</f>
        <v>0</v>
      </c>
      <c r="I125" s="2623" t="e">
        <f ca="1">C35</f>
        <v>#DIV/0!</v>
      </c>
      <c r="J125" s="2567"/>
      <c r="K125" s="1712"/>
      <c r="L125" s="1712"/>
      <c r="M125" s="1712"/>
      <c r="N125" s="1712"/>
      <c r="O125" s="1712"/>
      <c r="P125" s="1712"/>
      <c r="Q125" s="1712"/>
      <c r="R125" s="1712"/>
      <c r="S125" s="1712"/>
      <c r="T125" s="1712"/>
      <c r="U125" s="1712"/>
      <c r="V125" s="1712"/>
      <c r="W125" s="1712"/>
      <c r="X125" s="1712"/>
      <c r="Y125" s="1712"/>
      <c r="Z125" s="1712"/>
      <c r="AA125" s="1712"/>
    </row>
    <row r="126" s="2429" customFormat="1" ht="12.75" spans="1:27">
      <c r="A126" s="2547" t="s">
        <v>817</v>
      </c>
      <c r="B126" s="2171"/>
      <c r="C126" s="2171"/>
      <c r="D126" s="2727" t="str">
        <f>IF(H19="元",NUMBERSTRING(INT(D125),2)&amp;"元整",NUMBERSTRING(INT(D125*10000),2)&amp;"元整")</f>
        <v>零元整</v>
      </c>
      <c r="E126" s="2728"/>
      <c r="F126" s="2727" t="str">
        <f>IF(H19="元",NUMBERSTRING(INT(F125),2)&amp;"元整",NUMBERSTRING(INT(F125*10000),2)&amp;"元整")</f>
        <v>零元整</v>
      </c>
      <c r="G126" s="2728"/>
      <c r="H126" s="2727" t="str">
        <f ca="1">IF(H19="元",NUMBERSTRING(INT(H125),2)&amp;"元整",NUMBERSTRING(INT(H125*10000),2)&amp;"元整")</f>
        <v>零元整</v>
      </c>
      <c r="I126" s="2762"/>
      <c r="J126" s="2763"/>
      <c r="K126" s="1712"/>
      <c r="L126" s="1712"/>
      <c r="M126" s="1712"/>
      <c r="N126" s="1712"/>
      <c r="O126" s="1712"/>
      <c r="P126" s="1712"/>
      <c r="Q126" s="1712"/>
      <c r="R126" s="1712"/>
      <c r="S126" s="1712"/>
      <c r="T126" s="1712"/>
      <c r="U126" s="1712"/>
      <c r="V126" s="1712"/>
      <c r="W126" s="1712"/>
      <c r="X126" s="1712"/>
      <c r="Y126" s="1712"/>
      <c r="Z126" s="1712"/>
      <c r="AA126" s="1712"/>
    </row>
    <row r="127" s="2429" customFormat="1" ht="12.75" spans="1:27">
      <c r="A127" s="2682" t="str">
        <f>IF(项目基本情况!D5="房地产市场价值","——",MID(A112,3,LEN(A112)-2))</f>
        <v>估价师所知悉的法定优先受偿款</v>
      </c>
      <c r="B127" s="2684"/>
      <c r="C127" s="2683"/>
      <c r="D127" s="2690">
        <f>I107</f>
        <v>0</v>
      </c>
      <c r="E127" s="2684"/>
      <c r="F127" s="2684"/>
      <c r="G127" s="2684"/>
      <c r="H127" s="2684"/>
      <c r="I127" s="2749"/>
      <c r="J127" s="2750"/>
      <c r="K127" s="1712"/>
      <c r="L127" s="1712"/>
      <c r="M127" s="1712"/>
      <c r="N127" s="1712"/>
      <c r="O127" s="1712"/>
      <c r="P127" s="1712"/>
      <c r="Q127" s="1712"/>
      <c r="R127" s="1712"/>
      <c r="S127" s="1712"/>
      <c r="T127" s="1712"/>
      <c r="U127" s="1712"/>
      <c r="V127" s="1712"/>
      <c r="W127" s="1712"/>
      <c r="X127" s="1712"/>
      <c r="Y127" s="1712"/>
      <c r="Z127" s="1712"/>
      <c r="AA127" s="1712"/>
    </row>
    <row r="128" s="2429" customFormat="1" ht="12.75" spans="1:27">
      <c r="A128" s="2729" t="s">
        <v>817</v>
      </c>
      <c r="B128" s="2150"/>
      <c r="C128" s="2550"/>
      <c r="D128" s="2730">
        <f>H111</f>
        <v>0</v>
      </c>
      <c r="E128" s="2731"/>
      <c r="F128" s="2731"/>
      <c r="G128" s="2731"/>
      <c r="H128" s="2731"/>
      <c r="I128" s="2764"/>
      <c r="J128" s="2765"/>
      <c r="K128" s="1712"/>
      <c r="L128" s="1712"/>
      <c r="M128" s="1712"/>
      <c r="N128" s="1712"/>
      <c r="O128" s="1712"/>
      <c r="P128" s="1712"/>
      <c r="Q128" s="1712"/>
      <c r="R128" s="1712"/>
      <c r="S128" s="1712"/>
      <c r="T128" s="1712"/>
      <c r="U128" s="1712"/>
      <c r="V128" s="1712"/>
      <c r="W128" s="1712"/>
      <c r="X128" s="1712"/>
      <c r="Y128" s="1712"/>
      <c r="Z128" s="1712"/>
      <c r="AA128" s="1712"/>
    </row>
    <row r="129" s="2429" customFormat="1" ht="12.75" spans="1:27">
      <c r="A129" s="2640" t="str">
        <f>IF(项目基本情况!D5="房地产市场价值","——",MID(A116,3,LEN(A116)-2))</f>
        <v>房地产抵押价值</v>
      </c>
      <c r="B129" s="2327"/>
      <c r="C129" s="2327"/>
      <c r="D129" s="2690">
        <f ca="1">I112</f>
        <v>0</v>
      </c>
      <c r="E129" s="2684"/>
      <c r="F129" s="2684"/>
      <c r="G129" s="2684"/>
      <c r="H129" s="2684"/>
      <c r="I129" s="2749"/>
      <c r="J129" s="2750"/>
      <c r="K129" s="1712"/>
      <c r="L129" s="1712"/>
      <c r="M129" s="1712"/>
      <c r="N129" s="1712"/>
      <c r="O129" s="1712"/>
      <c r="P129" s="1712"/>
      <c r="Q129" s="1712"/>
      <c r="R129" s="1712"/>
      <c r="S129" s="1712"/>
      <c r="T129" s="1712"/>
      <c r="U129" s="1712"/>
      <c r="V129" s="1712"/>
      <c r="W129" s="1712"/>
      <c r="X129" s="1712"/>
      <c r="Y129" s="1712"/>
      <c r="Z129" s="1712"/>
      <c r="AA129" s="1712"/>
    </row>
    <row r="130" s="2429" customFormat="1" ht="12.75" spans="1:27">
      <c r="A130" s="2547" t="s">
        <v>817</v>
      </c>
      <c r="B130" s="2171"/>
      <c r="C130" s="2171"/>
      <c r="D130" s="2730" t="e">
        <f ca="1">I113</f>
        <v>#DIV/0!</v>
      </c>
      <c r="E130" s="2731"/>
      <c r="F130" s="2731"/>
      <c r="G130" s="2731"/>
      <c r="H130" s="2731"/>
      <c r="I130" s="2764"/>
      <c r="J130" s="2765"/>
      <c r="K130" s="1712"/>
      <c r="L130" s="1712"/>
      <c r="M130" s="1712"/>
      <c r="N130" s="1712"/>
      <c r="O130" s="1712"/>
      <c r="P130" s="1712"/>
      <c r="Q130" s="1712"/>
      <c r="R130" s="1712"/>
      <c r="S130" s="1712"/>
      <c r="T130" s="1712"/>
      <c r="U130" s="1712"/>
      <c r="V130" s="1712"/>
      <c r="W130" s="1712"/>
      <c r="X130" s="1712"/>
      <c r="Y130" s="1712"/>
      <c r="Z130" s="1712"/>
      <c r="AA130" s="1712"/>
    </row>
    <row r="131" s="2429" customFormat="1" ht="13.5" spans="1:27">
      <c r="A131" s="2640" t="str">
        <f>IF(项目基本情况!D5="房地产市场价值","——",MID(A118,3,LEN(A118)-2))</f>
        <v/>
      </c>
      <c r="B131" s="2327"/>
      <c r="C131" s="2327"/>
      <c r="D131" s="2520" t="str">
        <f ca="1">I114</f>
        <v>——</v>
      </c>
      <c r="E131" s="2521"/>
      <c r="F131" s="2521"/>
      <c r="G131" s="2521"/>
      <c r="H131" s="2521"/>
      <c r="I131" s="2788"/>
      <c r="J131" s="2750"/>
      <c r="K131" s="1712"/>
      <c r="L131" s="1712"/>
      <c r="M131" s="1712"/>
      <c r="N131" s="1712"/>
      <c r="O131" s="1712"/>
      <c r="P131" s="1712"/>
      <c r="Q131" s="1712"/>
      <c r="R131" s="1712"/>
      <c r="S131" s="1712"/>
      <c r="T131" s="1712"/>
      <c r="U131" s="1712"/>
      <c r="V131" s="1712"/>
      <c r="W131" s="1712"/>
      <c r="X131" s="1712"/>
      <c r="Y131" s="1712"/>
      <c r="Z131" s="1712"/>
      <c r="AA131" s="1712"/>
    </row>
    <row r="132" s="2429" customFormat="1" ht="14.25" spans="1:27">
      <c r="A132" s="2547" t="s">
        <v>817</v>
      </c>
      <c r="B132" s="2171"/>
      <c r="C132" s="2149"/>
      <c r="D132" s="2766" t="str">
        <f ca="1">I115</f>
        <v>——</v>
      </c>
      <c r="E132" s="2766"/>
      <c r="F132" s="2766"/>
      <c r="G132" s="2766"/>
      <c r="H132" s="2766"/>
      <c r="I132" s="2766"/>
      <c r="J132" s="2765"/>
      <c r="K132" s="1712"/>
      <c r="L132" s="1712"/>
      <c r="M132" s="1712"/>
      <c r="N132" s="1712"/>
      <c r="O132" s="1712"/>
      <c r="P132" s="1712"/>
      <c r="Q132" s="1712"/>
      <c r="R132" s="1712"/>
      <c r="S132" s="1712"/>
      <c r="T132" s="1712"/>
      <c r="U132" s="1712"/>
      <c r="V132" s="1712"/>
      <c r="W132" s="1712"/>
      <c r="X132" s="1712"/>
      <c r="Y132" s="1712"/>
      <c r="Z132" s="1712"/>
      <c r="AA132" s="1712"/>
    </row>
    <row r="133" s="2429" customFormat="1" ht="14.25" spans="1:27">
      <c r="A133" s="2640" t="str">
        <f>IF(项目基本情况!D5="房地产市场价值","——",MID(F116,3,LEN(F116)-2))</f>
        <v/>
      </c>
      <c r="B133" s="2327"/>
      <c r="C133" s="2690"/>
      <c r="D133" s="2767" t="str">
        <f ca="1">I116</f>
        <v>——</v>
      </c>
      <c r="E133" s="2767"/>
      <c r="F133" s="2767"/>
      <c r="G133" s="2767"/>
      <c r="H133" s="2767"/>
      <c r="I133" s="2767"/>
      <c r="J133" s="2750"/>
      <c r="K133" s="1712"/>
      <c r="L133" s="1712"/>
      <c r="M133" s="1712"/>
      <c r="N133" s="1712"/>
      <c r="O133" s="1712"/>
      <c r="P133" s="1712"/>
      <c r="Q133" s="1712"/>
      <c r="R133" s="1712"/>
      <c r="S133" s="1712"/>
      <c r="T133" s="1712"/>
      <c r="U133" s="1712"/>
      <c r="V133" s="1712"/>
      <c r="W133" s="1712"/>
      <c r="X133" s="1712"/>
      <c r="Y133" s="1712"/>
      <c r="Z133" s="1712"/>
      <c r="AA133" s="1712"/>
    </row>
    <row r="134" s="2429" customFormat="1" ht="14.25" spans="1:27">
      <c r="A134" s="2555" t="s">
        <v>817</v>
      </c>
      <c r="B134" s="2556"/>
      <c r="C134" s="2556"/>
      <c r="D134" s="2768">
        <f>H118</f>
        <v>0</v>
      </c>
      <c r="E134" s="2769"/>
      <c r="F134" s="2769"/>
      <c r="G134" s="2769"/>
      <c r="H134" s="2769"/>
      <c r="I134" s="2789"/>
      <c r="J134" s="2765"/>
      <c r="K134" s="1712"/>
      <c r="L134" s="1712"/>
      <c r="M134" s="1712"/>
      <c r="N134" s="1712"/>
      <c r="O134" s="1712"/>
      <c r="P134" s="1712"/>
      <c r="Q134" s="1712"/>
      <c r="R134" s="1712"/>
      <c r="S134" s="1712"/>
      <c r="T134" s="1712"/>
      <c r="U134" s="1712"/>
      <c r="V134" s="1712"/>
      <c r="W134" s="1712"/>
      <c r="X134" s="1712"/>
      <c r="Y134" s="1712"/>
      <c r="Z134" s="1712"/>
      <c r="AA134" s="1712"/>
    </row>
    <row r="135" s="2429" customFormat="1" ht="12.75" spans="1:27">
      <c r="A135" s="2515" t="str">
        <f>IF(H19="元","单位：平方米、元、元/平方米（币种：人民币）","单位：平方米、万元、元/平方米（币种：人民币）")</f>
        <v>单位：平方米、元、元/平方米（币种：人民币）</v>
      </c>
      <c r="B135" s="2515"/>
      <c r="C135" s="2515"/>
      <c r="D135" s="2515"/>
      <c r="E135" s="2515"/>
      <c r="F135" s="2515"/>
      <c r="G135" s="2515"/>
      <c r="H135" s="2515"/>
      <c r="I135" s="2515"/>
      <c r="J135" s="2790"/>
      <c r="K135" s="1712"/>
      <c r="L135" s="1712"/>
      <c r="M135" s="1712"/>
      <c r="N135" s="1712"/>
      <c r="O135" s="1712"/>
      <c r="P135" s="1712"/>
      <c r="Q135" s="1712"/>
      <c r="R135" s="1712"/>
      <c r="S135" s="1712"/>
      <c r="T135" s="1712"/>
      <c r="U135" s="1712"/>
      <c r="V135" s="1712"/>
      <c r="W135" s="1712"/>
      <c r="X135" s="1712"/>
      <c r="Y135" s="1712"/>
      <c r="Z135" s="1712"/>
      <c r="AA135" s="1712"/>
    </row>
    <row r="136" s="2429" customFormat="1" ht="13.5" spans="1:27">
      <c r="A136" s="2770" t="str">
        <f>IF(B33="总价","（以上估价结果中楼面单价为总价除以建筑面积得出）","（以上估价结果中总价为楼面单价乘以建筑面积得出）")</f>
        <v>（以上估价结果中总价为楼面单价乘以建筑面积得出）</v>
      </c>
      <c r="B136" s="2770"/>
      <c r="C136" s="2770"/>
      <c r="D136" s="2770"/>
      <c r="E136" s="2770"/>
      <c r="F136" s="2770"/>
      <c r="G136" s="2770"/>
      <c r="H136" s="2770"/>
      <c r="I136" s="2770"/>
      <c r="J136" s="2756"/>
      <c r="K136" s="1712"/>
      <c r="L136" s="1712"/>
      <c r="M136" s="1712"/>
      <c r="N136" s="1712"/>
      <c r="O136" s="1712"/>
      <c r="P136" s="1712"/>
      <c r="Q136" s="1712"/>
      <c r="R136" s="1712"/>
      <c r="S136" s="1712"/>
      <c r="T136" s="1712"/>
      <c r="U136" s="1712"/>
      <c r="V136" s="1712"/>
      <c r="W136" s="1712"/>
      <c r="X136" s="1712"/>
      <c r="Y136" s="1712"/>
      <c r="Z136" s="1712"/>
      <c r="AA136" s="1712"/>
    </row>
    <row r="137" s="2429" customFormat="1" customHeight="1" spans="1:27">
      <c r="A137" s="2771" t="s">
        <v>818</v>
      </c>
      <c r="B137" s="2772"/>
      <c r="C137" s="2773" t="s">
        <v>819</v>
      </c>
      <c r="D137" s="2774"/>
      <c r="E137" s="2774"/>
      <c r="F137" s="2774"/>
      <c r="G137" s="2774"/>
      <c r="H137" s="2775"/>
      <c r="I137" s="2791"/>
      <c r="J137" s="2792"/>
      <c r="K137" s="1712"/>
      <c r="L137" s="1712"/>
      <c r="M137" s="1712"/>
      <c r="N137" s="1712"/>
      <c r="O137" s="1712"/>
      <c r="P137" s="1712"/>
      <c r="Q137" s="1712"/>
      <c r="R137" s="1712"/>
      <c r="S137" s="1712"/>
      <c r="T137" s="1712"/>
      <c r="U137" s="1712"/>
      <c r="V137" s="1712"/>
      <c r="W137" s="1712"/>
      <c r="X137" s="1712"/>
      <c r="Y137" s="1712"/>
      <c r="Z137" s="1712"/>
      <c r="AA137" s="1712"/>
    </row>
    <row r="138" s="2429" customFormat="1" customHeight="1" spans="1:27">
      <c r="A138" s="2776">
        <v>1</v>
      </c>
      <c r="B138" s="2777"/>
      <c r="C138" s="2777"/>
      <c r="D138" s="2774"/>
      <c r="E138" s="2774"/>
      <c r="F138" s="2774"/>
      <c r="G138" s="2774"/>
      <c r="H138" s="2775"/>
      <c r="I138" s="2791"/>
      <c r="J138" s="2792"/>
      <c r="K138" s="1712"/>
      <c r="L138" s="1712"/>
      <c r="M138" s="1712"/>
      <c r="N138" s="1712"/>
      <c r="O138" s="1712"/>
      <c r="P138" s="1712"/>
      <c r="Q138" s="1712"/>
      <c r="R138" s="1712"/>
      <c r="S138" s="1712"/>
      <c r="T138" s="1712"/>
      <c r="U138" s="1712"/>
      <c r="V138" s="1712"/>
      <c r="W138" s="1712"/>
      <c r="X138" s="1712"/>
      <c r="Y138" s="1712"/>
      <c r="Z138" s="1712"/>
      <c r="AA138" s="1712"/>
    </row>
    <row r="139" s="2429" customFormat="1" customHeight="1" spans="1:27">
      <c r="A139" s="2776">
        <v>2</v>
      </c>
      <c r="B139" s="2777"/>
      <c r="C139" s="2777"/>
      <c r="D139" s="2774"/>
      <c r="E139" s="2774"/>
      <c r="F139" s="2774"/>
      <c r="G139" s="2774"/>
      <c r="H139" s="2775"/>
      <c r="I139" s="2791"/>
      <c r="J139" s="2792"/>
      <c r="K139" s="1712"/>
      <c r="L139" s="1712"/>
      <c r="M139" s="1712"/>
      <c r="N139" s="1712"/>
      <c r="O139" s="1712"/>
      <c r="P139" s="1712"/>
      <c r="Q139" s="1712"/>
      <c r="R139" s="1712"/>
      <c r="S139" s="1712"/>
      <c r="T139" s="1712"/>
      <c r="U139" s="1712"/>
      <c r="V139" s="1712"/>
      <c r="W139" s="1712"/>
      <c r="X139" s="1712"/>
      <c r="Y139" s="1712"/>
      <c r="Z139" s="1712"/>
      <c r="AA139" s="1712"/>
    </row>
    <row r="140" s="2429" customFormat="1" customHeight="1" spans="1:27">
      <c r="A140" s="2776">
        <v>3</v>
      </c>
      <c r="B140" s="2777"/>
      <c r="C140" s="2777"/>
      <c r="D140" s="2774"/>
      <c r="E140" s="2774"/>
      <c r="F140" s="1709"/>
      <c r="G140" s="1709"/>
      <c r="H140" s="1709"/>
      <c r="I140" s="1709"/>
      <c r="J140" s="2793"/>
      <c r="K140" s="1712"/>
      <c r="L140" s="1712"/>
      <c r="M140" s="1712"/>
      <c r="N140" s="1712"/>
      <c r="O140" s="1712"/>
      <c r="P140" s="1712"/>
      <c r="Q140" s="1712"/>
      <c r="R140" s="1712"/>
      <c r="S140" s="1712"/>
      <c r="T140" s="1712"/>
      <c r="U140" s="1712"/>
      <c r="V140" s="1712"/>
      <c r="W140" s="1712"/>
      <c r="X140" s="1712"/>
      <c r="Y140" s="1712"/>
      <c r="Z140" s="1712"/>
      <c r="AA140" s="1712"/>
    </row>
    <row r="141" s="2429" customFormat="1" customHeight="1" spans="1:27">
      <c r="A141" s="2778"/>
      <c r="B141" s="2779"/>
      <c r="C141" s="2779"/>
      <c r="D141" s="2780"/>
      <c r="E141" s="2780"/>
      <c r="F141" s="2780"/>
      <c r="G141" s="2780"/>
      <c r="H141" s="2781"/>
      <c r="I141" s="2794"/>
      <c r="J141" s="2792"/>
      <c r="K141" s="1712"/>
      <c r="L141" s="1712"/>
      <c r="M141" s="1712"/>
      <c r="N141" s="1712"/>
      <c r="O141" s="1712"/>
      <c r="P141" s="1712"/>
      <c r="Q141" s="1712"/>
      <c r="R141" s="1712"/>
      <c r="S141" s="1712"/>
      <c r="T141" s="1712"/>
      <c r="U141" s="1712"/>
      <c r="V141" s="1712"/>
      <c r="W141" s="1712"/>
      <c r="X141" s="1712"/>
      <c r="Y141" s="1712"/>
      <c r="Z141" s="1712"/>
      <c r="AA141" s="1712"/>
    </row>
    <row r="142" s="2429" customFormat="1" customHeight="1" spans="1:27">
      <c r="A142" s="2777"/>
      <c r="B142" s="2777"/>
      <c r="C142" s="2777"/>
      <c r="D142" s="2774"/>
      <c r="E142" s="2774"/>
      <c r="F142" s="2774"/>
      <c r="G142" s="2774"/>
      <c r="H142" s="2775"/>
      <c r="I142" s="1712"/>
      <c r="J142" s="2793"/>
      <c r="K142" s="1712"/>
      <c r="L142" s="1712"/>
      <c r="M142" s="1712"/>
      <c r="N142" s="1712"/>
      <c r="O142" s="1712"/>
      <c r="P142" s="1712"/>
      <c r="Q142" s="1712"/>
      <c r="R142" s="1712"/>
      <c r="S142" s="1712"/>
      <c r="T142" s="1712"/>
      <c r="U142" s="1712"/>
      <c r="V142" s="1712"/>
      <c r="W142" s="1712"/>
      <c r="X142" s="1712"/>
      <c r="Y142" s="1712"/>
      <c r="Z142" s="1712"/>
      <c r="AA142" s="1712"/>
    </row>
    <row r="143" s="2429" customFormat="1" customHeight="1" spans="1:27">
      <c r="A143" s="1712"/>
      <c r="B143" s="1712"/>
      <c r="C143" s="1712"/>
      <c r="D143" s="1712"/>
      <c r="E143" s="1712"/>
      <c r="F143" s="2782" t="s">
        <v>820</v>
      </c>
      <c r="G143" s="2783"/>
      <c r="H143" s="2783"/>
      <c r="I143" s="2795" t="s">
        <v>821</v>
      </c>
      <c r="J143" s="2796"/>
      <c r="K143" s="1712"/>
      <c r="L143" s="1712"/>
      <c r="M143" s="1712"/>
      <c r="N143" s="1712"/>
      <c r="O143" s="1712"/>
      <c r="P143" s="1712"/>
      <c r="Q143" s="1712"/>
      <c r="R143" s="1712"/>
      <c r="S143" s="1712"/>
      <c r="T143" s="1712"/>
      <c r="U143" s="1712"/>
      <c r="V143" s="1712"/>
      <c r="W143" s="1712"/>
      <c r="X143" s="1712"/>
      <c r="Y143" s="1712"/>
      <c r="Z143" s="1712"/>
      <c r="AA143" s="1712"/>
    </row>
    <row r="144" s="2429" customFormat="1" customHeight="1" spans="1:27">
      <c r="A144" s="1712"/>
      <c r="B144" s="2784" t="s">
        <v>822</v>
      </c>
      <c r="C144" s="1712"/>
      <c r="D144" s="1712"/>
      <c r="E144" s="1712"/>
      <c r="F144" s="1712"/>
      <c r="G144" s="1712"/>
      <c r="H144" s="1712"/>
      <c r="I144" s="1712"/>
      <c r="J144" s="2793"/>
      <c r="K144" s="1712"/>
      <c r="L144" s="1712"/>
      <c r="M144" s="1712"/>
      <c r="N144" s="1712"/>
      <c r="O144" s="1712"/>
      <c r="P144" s="1712"/>
      <c r="Q144" s="1712"/>
      <c r="R144" s="1712"/>
      <c r="S144" s="1712"/>
      <c r="T144" s="1712"/>
      <c r="U144" s="1712"/>
      <c r="V144" s="1712"/>
      <c r="W144" s="1712"/>
      <c r="X144" s="1712"/>
      <c r="Y144" s="1712"/>
      <c r="Z144" s="1712"/>
      <c r="AA144" s="1712"/>
    </row>
    <row r="145" s="2429" customFormat="1" customHeight="1" spans="1:27">
      <c r="A145" s="1712"/>
      <c r="B145" s="1712"/>
      <c r="C145" s="1712"/>
      <c r="D145" s="1712"/>
      <c r="E145" s="1712"/>
      <c r="F145" s="1712"/>
      <c r="G145" s="1712"/>
      <c r="H145" s="1712"/>
      <c r="I145" s="1712"/>
      <c r="J145" s="2793"/>
      <c r="K145" s="1712"/>
      <c r="L145" s="1712"/>
      <c r="M145" s="1712"/>
      <c r="N145" s="1712"/>
      <c r="O145" s="1712"/>
      <c r="P145" s="1712"/>
      <c r="Q145" s="1712"/>
      <c r="R145" s="1712"/>
      <c r="S145" s="1712"/>
      <c r="T145" s="1712"/>
      <c r="U145" s="1712"/>
      <c r="V145" s="1712"/>
      <c r="W145" s="1712"/>
      <c r="X145" s="1712"/>
      <c r="Y145" s="1712"/>
      <c r="Z145" s="1712"/>
      <c r="AA145" s="1712"/>
    </row>
    <row r="146" s="2429" customFormat="1" customHeight="1" spans="1:27">
      <c r="A146" s="1712"/>
      <c r="B146" s="2783"/>
      <c r="C146" s="2783"/>
      <c r="D146" s="2783"/>
      <c r="E146" s="2783"/>
      <c r="F146" s="2783"/>
      <c r="G146" s="2783"/>
      <c r="H146" s="2783"/>
      <c r="I146" s="2795" t="s">
        <v>823</v>
      </c>
      <c r="J146" s="2796"/>
      <c r="K146" s="1712"/>
      <c r="L146" s="1712"/>
      <c r="M146" s="1712"/>
      <c r="N146" s="1712"/>
      <c r="O146" s="1712"/>
      <c r="P146" s="1712"/>
      <c r="Q146" s="1712"/>
      <c r="R146" s="1712"/>
      <c r="S146" s="1712"/>
      <c r="T146" s="1712"/>
      <c r="U146" s="1712"/>
      <c r="V146" s="1712"/>
      <c r="W146" s="1712"/>
      <c r="X146" s="1712"/>
      <c r="Y146" s="1712"/>
      <c r="Z146" s="1712"/>
      <c r="AA146" s="1712"/>
    </row>
    <row r="147" s="2429" customFormat="1" customHeight="1" spans="1:27">
      <c r="A147" s="1712"/>
      <c r="B147" s="2784" t="s">
        <v>824</v>
      </c>
      <c r="C147" s="1712"/>
      <c r="D147" s="1712"/>
      <c r="E147" s="1712"/>
      <c r="F147" s="1712"/>
      <c r="G147" s="1712"/>
      <c r="H147" s="1712"/>
      <c r="I147" s="1712"/>
      <c r="J147" s="2793"/>
      <c r="K147" s="1712"/>
      <c r="L147" s="1712"/>
      <c r="M147" s="1712"/>
      <c r="N147" s="1712"/>
      <c r="O147" s="1712"/>
      <c r="P147" s="1712"/>
      <c r="Q147" s="1712"/>
      <c r="R147" s="1712"/>
      <c r="S147" s="1712"/>
      <c r="T147" s="1712"/>
      <c r="U147" s="1712"/>
      <c r="V147" s="1712"/>
      <c r="W147" s="1712"/>
      <c r="X147" s="1712"/>
      <c r="Y147" s="1712"/>
      <c r="Z147" s="1712"/>
      <c r="AA147" s="1712"/>
    </row>
    <row r="148" s="2429" customFormat="1" customHeight="1" spans="1:27">
      <c r="A148" s="1712"/>
      <c r="B148" s="2784"/>
      <c r="C148" s="1712"/>
      <c r="D148" s="1712"/>
      <c r="E148" s="1712"/>
      <c r="F148" s="1712"/>
      <c r="G148" s="1712"/>
      <c r="H148" s="1712"/>
      <c r="I148" s="1712"/>
      <c r="J148" s="2793"/>
      <c r="K148" s="1712"/>
      <c r="L148" s="1712"/>
      <c r="M148" s="1712"/>
      <c r="N148" s="1712"/>
      <c r="O148" s="1712"/>
      <c r="P148" s="1712"/>
      <c r="Q148" s="1712"/>
      <c r="R148" s="1712"/>
      <c r="S148" s="1712"/>
      <c r="T148" s="1712"/>
      <c r="U148" s="1712"/>
      <c r="V148" s="1712"/>
      <c r="W148" s="1712"/>
      <c r="X148" s="1712"/>
      <c r="Y148" s="1712"/>
      <c r="Z148" s="1712"/>
      <c r="AA148" s="1712"/>
    </row>
    <row r="149" s="2429" customFormat="1" customHeight="1" spans="1:27">
      <c r="A149" s="1712"/>
      <c r="B149" s="2783"/>
      <c r="C149" s="2783"/>
      <c r="D149" s="2783"/>
      <c r="E149" s="2783"/>
      <c r="F149" s="2783"/>
      <c r="G149" s="2783"/>
      <c r="H149" s="2783"/>
      <c r="I149" s="2795" t="s">
        <v>823</v>
      </c>
      <c r="J149" s="2796"/>
      <c r="K149" s="1712"/>
      <c r="L149" s="1712"/>
      <c r="M149" s="1712"/>
      <c r="N149" s="1712"/>
      <c r="O149" s="1712"/>
      <c r="P149" s="1712"/>
      <c r="Q149" s="1712"/>
      <c r="R149" s="1712"/>
      <c r="S149" s="1712"/>
      <c r="T149" s="1712"/>
      <c r="U149" s="1712"/>
      <c r="V149" s="1712"/>
      <c r="W149" s="1712"/>
      <c r="X149" s="1712"/>
      <c r="Y149" s="1712"/>
      <c r="Z149" s="1712"/>
      <c r="AA149" s="1712"/>
    </row>
    <row r="150" s="2429" customFormat="1" customHeight="1" spans="1:27">
      <c r="A150" s="1712"/>
      <c r="B150" s="2784"/>
      <c r="C150" s="2785"/>
      <c r="D150" s="2786"/>
      <c r="E150" s="2786"/>
      <c r="F150" s="2787"/>
      <c r="G150" s="1712"/>
      <c r="H150" s="1712"/>
      <c r="I150" s="1712"/>
      <c r="J150" s="2793"/>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4"/>
      <c r="C151" s="2785"/>
      <c r="D151" s="2786"/>
      <c r="E151" s="2786"/>
      <c r="J151" s="2793"/>
    </row>
    <row r="152" s="1712" customFormat="1" customHeight="1" spans="10:10">
      <c r="J152" s="2793"/>
    </row>
    <row r="153" s="1712" customFormat="1" customHeight="1" spans="10:10">
      <c r="J153" s="2793"/>
    </row>
    <row r="154" s="1712" customFormat="1" customHeight="1" spans="10:10">
      <c r="J154" s="2793"/>
    </row>
    <row r="155" s="1712" customFormat="1" customHeight="1" spans="10:10">
      <c r="J155" s="2793"/>
    </row>
    <row r="156" s="1712" customFormat="1" customHeight="1" spans="10:10">
      <c r="J156" s="2793"/>
    </row>
    <row r="157" s="1712" customFormat="1" customHeight="1" spans="10:10">
      <c r="J157" s="2793"/>
    </row>
    <row r="158" s="1712" customFormat="1" customHeight="1" spans="10:10">
      <c r="J158" s="2793"/>
    </row>
    <row r="159" s="1712" customFormat="1" customHeight="1" spans="10:10">
      <c r="J159" s="2793"/>
    </row>
    <row r="160" s="1712" customFormat="1" customHeight="1" spans="10:10">
      <c r="J160" s="2793"/>
    </row>
    <row r="161" s="1712" customFormat="1" customHeight="1" spans="10:10">
      <c r="J161" s="2793"/>
    </row>
    <row r="162" s="1712" customFormat="1" customHeight="1" spans="10:10">
      <c r="J162" s="2793"/>
    </row>
    <row r="163" s="1712" customFormat="1" customHeight="1" spans="10:10">
      <c r="J163" s="2793"/>
    </row>
    <row r="164" s="1712" customFormat="1" customHeight="1" spans="10:10">
      <c r="J164" s="2793"/>
    </row>
    <row r="165" s="1712" customFormat="1" customHeight="1" spans="10:10">
      <c r="J165" s="2793"/>
    </row>
    <row r="166" s="1712" customFormat="1" customHeight="1" spans="10:10">
      <c r="J166" s="2793"/>
    </row>
    <row r="167" s="1712" customFormat="1" customHeight="1" spans="10:10">
      <c r="J167" s="2793"/>
    </row>
    <row r="168" s="1712" customFormat="1" customHeight="1" spans="10:10">
      <c r="J168" s="2793"/>
    </row>
    <row r="169" s="1712" customFormat="1" customHeight="1" spans="10:10">
      <c r="J169" s="2793"/>
    </row>
    <row r="170" s="1712" customFormat="1" customHeight="1" spans="10:10">
      <c r="J170" s="2793"/>
    </row>
    <row r="171" s="1712" customFormat="1" customHeight="1" spans="10:10">
      <c r="J171" s="2793"/>
    </row>
    <row r="172" s="1712" customFormat="1" customHeight="1" spans="10:10">
      <c r="J172" s="2793"/>
    </row>
    <row r="173" s="1712" customFormat="1" customHeight="1" spans="10:10">
      <c r="J173" s="2793"/>
    </row>
    <row r="174" s="1712" customFormat="1" customHeight="1" spans="10:10">
      <c r="J174" s="2793"/>
    </row>
    <row r="175" s="1712" customFormat="1" customHeight="1" spans="10:10">
      <c r="J175" s="2793"/>
    </row>
    <row r="176" s="1712" customFormat="1" customHeight="1" spans="10:10">
      <c r="J176" s="2793"/>
    </row>
    <row r="177" s="1712" customFormat="1" customHeight="1" spans="10:10">
      <c r="J177" s="2793"/>
    </row>
    <row r="178" s="1712" customFormat="1" customHeight="1" spans="10:10">
      <c r="J178" s="2793"/>
    </row>
    <row r="179" s="1712" customFormat="1" customHeight="1" spans="10:10">
      <c r="J179" s="2793"/>
    </row>
    <row r="180" s="1712" customFormat="1" customHeight="1" spans="10:10">
      <c r="J180" s="2793"/>
    </row>
    <row r="181" s="1712" customFormat="1" customHeight="1" spans="10:10">
      <c r="J181" s="2793"/>
    </row>
    <row r="182" s="1712" customFormat="1" customHeight="1" spans="10:10">
      <c r="J182" s="2793"/>
    </row>
    <row r="183" s="1712" customFormat="1" customHeight="1" spans="10:10">
      <c r="J183" s="2793"/>
    </row>
    <row r="184" s="1712" customFormat="1" customHeight="1" spans="10:10">
      <c r="J184" s="2793"/>
    </row>
    <row r="185" s="1712" customFormat="1" customHeight="1" spans="10:10">
      <c r="J185" s="2793"/>
    </row>
    <row r="186" s="1712" customFormat="1" customHeight="1" spans="10:10">
      <c r="J186" s="2793"/>
    </row>
    <row r="187" s="1712" customFormat="1" customHeight="1" spans="10:10">
      <c r="J187" s="2793"/>
    </row>
    <row r="188" s="1712" customFormat="1" customHeight="1" spans="10:10">
      <c r="J188" s="2793"/>
    </row>
    <row r="189" s="1712" customFormat="1" customHeight="1" spans="10:10">
      <c r="J189" s="2793"/>
    </row>
    <row r="190" s="1712" customFormat="1" customHeight="1" spans="10:10">
      <c r="J190" s="2793"/>
    </row>
    <row r="191" s="1712" customFormat="1" customHeight="1" spans="10:10">
      <c r="J191" s="2793"/>
    </row>
    <row r="192" s="1712" customFormat="1" customHeight="1" spans="10:10">
      <c r="J192" s="2793"/>
    </row>
    <row r="193" s="1712" customFormat="1" customHeight="1" spans="10:10">
      <c r="J193" s="2793"/>
    </row>
    <row r="194" s="1712" customFormat="1" customHeight="1" spans="10:10">
      <c r="J194" s="2793"/>
    </row>
    <row r="195" s="1712" customFormat="1" customHeight="1" spans="10:10">
      <c r="J195" s="2793"/>
    </row>
    <row r="196" s="1712" customFormat="1" customHeight="1" spans="10:10">
      <c r="J196" s="2793"/>
    </row>
    <row r="197" s="1712" customFormat="1" customHeight="1" spans="10:10">
      <c r="J197" s="2793"/>
    </row>
    <row r="198" s="1712" customFormat="1" customHeight="1" spans="10:10">
      <c r="J198" s="2793"/>
    </row>
    <row r="199" s="1712" customFormat="1" customHeight="1" spans="10:10">
      <c r="J199" s="2793"/>
    </row>
    <row r="200" s="1712" customFormat="1" customHeight="1" spans="10:10">
      <c r="J200" s="2793"/>
    </row>
    <row r="201" s="1712" customFormat="1" customHeight="1" spans="10:10">
      <c r="J201" s="2793"/>
    </row>
    <row r="202" s="1712" customFormat="1" customHeight="1" spans="10:10">
      <c r="J202" s="2793"/>
    </row>
    <row r="203" s="1712" customFormat="1" customHeight="1" spans="10:10">
      <c r="J203" s="2793"/>
    </row>
    <row r="204" s="1712" customFormat="1" customHeight="1" spans="10:10">
      <c r="J204" s="2793"/>
    </row>
    <row r="205" s="1712" customFormat="1" customHeight="1" spans="10:10">
      <c r="J205" s="2793"/>
    </row>
    <row r="206" s="1712" customFormat="1" customHeight="1" spans="10:10">
      <c r="J206" s="2793"/>
    </row>
    <row r="207" s="1712" customFormat="1" customHeight="1" spans="10:10">
      <c r="J207" s="2793"/>
    </row>
    <row r="208" s="1712" customFormat="1" customHeight="1" spans="10:10">
      <c r="J208" s="2793"/>
    </row>
    <row r="209" s="1712" customFormat="1" customHeight="1" spans="10:10">
      <c r="J209" s="2793"/>
    </row>
    <row r="210" s="1712" customFormat="1" customHeight="1" spans="10:10">
      <c r="J210" s="2793"/>
    </row>
    <row r="211" s="1712" customFormat="1" customHeight="1" spans="10:10">
      <c r="J211" s="2793"/>
    </row>
    <row r="212" s="1712" customFormat="1" customHeight="1" spans="10:10">
      <c r="J212" s="2793"/>
    </row>
    <row r="213" s="1712" customFormat="1" customHeight="1" spans="10:10">
      <c r="J213" s="2793"/>
    </row>
    <row r="214" s="1712" customFormat="1" customHeight="1" spans="10:10">
      <c r="J214" s="2793"/>
    </row>
    <row r="215" s="1712" customFormat="1" customHeight="1" spans="10:10">
      <c r="J215" s="2793"/>
    </row>
    <row r="216" s="1712" customFormat="1" customHeight="1" spans="10:10">
      <c r="J216" s="2793"/>
    </row>
    <row r="217" s="1712" customFormat="1" customHeight="1" spans="10:10">
      <c r="J217" s="2793"/>
    </row>
    <row r="218" s="1712" customFormat="1" customHeight="1" spans="10:10">
      <c r="J218" s="2793"/>
    </row>
    <row r="219" s="1712" customFormat="1" customHeight="1" spans="10:10">
      <c r="J219" s="2793"/>
    </row>
    <row r="220" s="1712" customFormat="1" customHeight="1" spans="10:10">
      <c r="J220" s="2793"/>
    </row>
    <row r="221" s="1712" customFormat="1" customHeight="1" spans="10:10">
      <c r="J221" s="2793"/>
    </row>
    <row r="222" s="1712" customFormat="1" customHeight="1" spans="10:10">
      <c r="J222" s="2793"/>
    </row>
    <row r="223" s="1712" customFormat="1" customHeight="1" spans="10:10">
      <c r="J223" s="2793"/>
    </row>
    <row r="224" s="1712" customFormat="1" customHeight="1" spans="10:10">
      <c r="J224" s="2793"/>
    </row>
    <row r="225" s="1712" customFormat="1" customHeight="1" spans="10:10">
      <c r="J225" s="2793"/>
    </row>
    <row r="226" s="1712" customFormat="1" customHeight="1" spans="10:10">
      <c r="J226" s="2793"/>
    </row>
    <row r="227" s="1712" customFormat="1" customHeight="1" spans="10:10">
      <c r="J227" s="2793"/>
    </row>
    <row r="228" s="1712" customFormat="1" customHeight="1" spans="10:10">
      <c r="J228" s="2793"/>
    </row>
    <row r="229" s="1712" customFormat="1" customHeight="1" spans="10:10">
      <c r="J229" s="2793"/>
    </row>
    <row r="230" s="1712" customFormat="1" customHeight="1" spans="10:10">
      <c r="J230" s="2793"/>
    </row>
    <row r="231" s="1712" customFormat="1" customHeight="1" spans="10:10">
      <c r="J231" s="2793"/>
    </row>
    <row r="232" s="1712" customFormat="1" customHeight="1" spans="10:10">
      <c r="J232" s="2793"/>
    </row>
    <row r="233" s="1712" customFormat="1" customHeight="1" spans="10:10">
      <c r="J233" s="2793"/>
    </row>
    <row r="234" s="1712" customFormat="1" customHeight="1" spans="10:10">
      <c r="J234" s="2793"/>
    </row>
    <row r="235" s="1712" customFormat="1" customHeight="1" spans="10:10">
      <c r="J235" s="2793"/>
    </row>
    <row r="236" s="1712" customFormat="1" customHeight="1" spans="10:10">
      <c r="J236" s="2793"/>
    </row>
    <row r="237" s="1712" customFormat="1" customHeight="1" spans="10:10">
      <c r="J237" s="2793"/>
    </row>
    <row r="238" s="1712" customFormat="1" customHeight="1" spans="10:10">
      <c r="J238" s="2793"/>
    </row>
    <row r="239" s="1712" customFormat="1" customHeight="1" spans="10:10">
      <c r="J239" s="2793"/>
    </row>
    <row r="240" s="1712" customFormat="1" customHeight="1" spans="10:10">
      <c r="J240" s="2793"/>
    </row>
    <row r="241" s="1712" customFormat="1" customHeight="1" spans="10:10">
      <c r="J241" s="2793"/>
    </row>
    <row r="242" s="1712" customFormat="1" customHeight="1" spans="10:10">
      <c r="J242" s="2793"/>
    </row>
    <row r="243" s="1712" customFormat="1" customHeight="1" spans="10:10">
      <c r="J243" s="2793"/>
    </row>
    <row r="244" s="1712" customFormat="1" customHeight="1" spans="10:10">
      <c r="J244" s="2793"/>
    </row>
    <row r="245" s="1712" customFormat="1" customHeight="1" spans="10:10">
      <c r="J245" s="2793"/>
    </row>
    <row r="246" s="1712" customFormat="1" customHeight="1" spans="10:10">
      <c r="J246" s="2793"/>
    </row>
    <row r="247" s="1712" customFormat="1" customHeight="1" spans="10:10">
      <c r="J247" s="2793"/>
    </row>
    <row r="248" s="1712" customFormat="1" customHeight="1" spans="10:10">
      <c r="J248" s="2793"/>
    </row>
    <row r="249" s="1712" customFormat="1" customHeight="1" spans="10:10">
      <c r="J249" s="2793"/>
    </row>
    <row r="250" s="1712" customFormat="1" customHeight="1" spans="10:10">
      <c r="J250" s="2793"/>
    </row>
    <row r="251" s="1712" customFormat="1" customHeight="1" spans="10:10">
      <c r="J251" s="2793"/>
    </row>
    <row r="252" s="1712" customFormat="1" customHeight="1" spans="10:10">
      <c r="J252" s="2793"/>
    </row>
    <row r="253" s="1712" customFormat="1" customHeight="1" spans="10:10">
      <c r="J253" s="2793"/>
    </row>
    <row r="254" s="1712" customFormat="1" customHeight="1" spans="10:10">
      <c r="J254" s="2793"/>
    </row>
    <row r="255" s="1712" customFormat="1" customHeight="1" spans="10:10">
      <c r="J255" s="2793"/>
    </row>
    <row r="256" s="1712" customFormat="1" customHeight="1" spans="10:10">
      <c r="J256" s="2793"/>
    </row>
    <row r="257" s="1712" customFormat="1" customHeight="1" spans="10:10">
      <c r="J257" s="2793"/>
    </row>
    <row r="258" s="1712" customFormat="1" customHeight="1" spans="10:10">
      <c r="J258" s="2793"/>
    </row>
    <row r="259" s="1712" customFormat="1" customHeight="1" spans="10:10">
      <c r="J259" s="2793"/>
    </row>
    <row r="260" s="1712" customFormat="1" customHeight="1" spans="10:10">
      <c r="J260" s="2793"/>
    </row>
    <row r="261" s="1712" customFormat="1" customHeight="1" spans="10:10">
      <c r="J261" s="2793"/>
    </row>
    <row r="262" s="1712" customFormat="1" customHeight="1" spans="10:10">
      <c r="J262" s="2793"/>
    </row>
    <row r="263" s="1712" customFormat="1" customHeight="1" spans="10:10">
      <c r="J263" s="2793"/>
    </row>
    <row r="264" s="1712" customFormat="1" customHeight="1" spans="10:10">
      <c r="J264" s="2793"/>
    </row>
    <row r="265" s="1712" customFormat="1" customHeight="1" spans="10:10">
      <c r="J265" s="2793"/>
    </row>
    <row r="266" s="1712" customFormat="1" customHeight="1" spans="10:10">
      <c r="J266" s="2793"/>
    </row>
    <row r="267" s="1712" customFormat="1" customHeight="1" spans="10:10">
      <c r="J267" s="2793"/>
    </row>
    <row r="268" s="1712" customFormat="1" customHeight="1" spans="10:10">
      <c r="J268" s="2793"/>
    </row>
    <row r="269" s="1712" customFormat="1" customHeight="1" spans="10:10">
      <c r="J269" s="2793"/>
    </row>
    <row r="270" s="1712" customFormat="1" customHeight="1" spans="10:10">
      <c r="J270" s="2793"/>
    </row>
    <row r="271" s="1712" customFormat="1" customHeight="1" spans="10:10">
      <c r="J271" s="2793"/>
    </row>
    <row r="272" s="1712" customFormat="1" customHeight="1" spans="10:10">
      <c r="J272" s="2793"/>
    </row>
    <row r="273" s="1712" customFormat="1" customHeight="1" spans="10:10">
      <c r="J273" s="2793"/>
    </row>
    <row r="274" s="1712" customFormat="1" customHeight="1" spans="10:10">
      <c r="J274" s="2793"/>
    </row>
    <row r="275" s="1712" customFormat="1" customHeight="1" spans="10:10">
      <c r="J275" s="2793"/>
    </row>
    <row r="276" s="1712" customFormat="1" customHeight="1" spans="10:10">
      <c r="J276" s="2793"/>
    </row>
    <row r="277" s="1712" customFormat="1" customHeight="1" spans="10:10">
      <c r="J277" s="2793"/>
    </row>
    <row r="278" s="1712" customFormat="1" customHeight="1" spans="10:10">
      <c r="J278" s="2793"/>
    </row>
    <row r="279" s="1712" customFormat="1" customHeight="1" spans="10:10">
      <c r="J279" s="2793"/>
    </row>
    <row r="280" s="1712" customFormat="1" customHeight="1" spans="10:10">
      <c r="J280" s="2793"/>
    </row>
    <row r="281" s="1712" customFormat="1" customHeight="1" spans="10:10">
      <c r="J281" s="2793"/>
    </row>
    <row r="282" s="1712" customFormat="1" customHeight="1" spans="10:10">
      <c r="J282" s="2793"/>
    </row>
    <row r="283" s="1712" customFormat="1" customHeight="1" spans="10:10">
      <c r="J283" s="2793"/>
    </row>
    <row r="284" s="1712" customFormat="1" customHeight="1" spans="10:10">
      <c r="J284" s="2793"/>
    </row>
    <row r="285" s="1712" customFormat="1" customHeight="1" spans="10:10">
      <c r="J285" s="2793"/>
    </row>
    <row r="286" s="1712" customFormat="1" customHeight="1" spans="10:10">
      <c r="J286" s="2793"/>
    </row>
    <row r="287" s="1712" customFormat="1" customHeight="1" spans="10:10">
      <c r="J287" s="2793"/>
    </row>
    <row r="288" s="1712" customFormat="1" customHeight="1" spans="10:10">
      <c r="J288" s="2793"/>
    </row>
    <row r="289" s="1712" customFormat="1" customHeight="1" spans="10:10">
      <c r="J289" s="2793"/>
    </row>
    <row r="290" s="1712" customFormat="1" customHeight="1" spans="10:10">
      <c r="J290" s="2793"/>
    </row>
    <row r="291" s="1712" customFormat="1" customHeight="1" spans="10:10">
      <c r="J291" s="2793"/>
    </row>
    <row r="292" s="1712" customFormat="1" customHeight="1" spans="10:10">
      <c r="J292" s="2793"/>
    </row>
    <row r="293" s="1712" customFormat="1" customHeight="1" spans="10:10">
      <c r="J293" s="2793"/>
    </row>
    <row r="294" s="1712" customFormat="1" customHeight="1" spans="10:10">
      <c r="J294" s="2793"/>
    </row>
    <row r="295" s="1712" customFormat="1" customHeight="1" spans="10:10">
      <c r="J295" s="2793"/>
    </row>
    <row r="296" s="1712" customFormat="1" customHeight="1" spans="10:10">
      <c r="J296" s="2793"/>
    </row>
    <row r="297" s="1712" customFormat="1" customHeight="1" spans="10:10">
      <c r="J297" s="2793"/>
    </row>
    <row r="298" s="1712" customFormat="1" customHeight="1" spans="10:10">
      <c r="J298" s="2793"/>
    </row>
    <row r="299" s="1712" customFormat="1" customHeight="1" spans="10:10">
      <c r="J299" s="2793"/>
    </row>
    <row r="300" s="1712" customFormat="1" customHeight="1" spans="10:10">
      <c r="J300" s="2793"/>
    </row>
    <row r="301" s="1712" customFormat="1" customHeight="1" spans="10:10">
      <c r="J301" s="2793"/>
    </row>
    <row r="302" s="1712" customFormat="1" customHeight="1" spans="10:10">
      <c r="J302" s="2793"/>
    </row>
    <row r="303" s="1712" customFormat="1" customHeight="1" spans="10:10">
      <c r="J303" s="2793"/>
    </row>
    <row r="304" s="1712" customFormat="1" customHeight="1" spans="10:10">
      <c r="J304" s="2793"/>
    </row>
    <row r="305" s="1712" customFormat="1" customHeight="1" spans="10:10">
      <c r="J305" s="2793"/>
    </row>
    <row r="306" s="1712" customFormat="1" customHeight="1" spans="10:10">
      <c r="J306" s="2793"/>
    </row>
    <row r="307" s="1712" customFormat="1" customHeight="1" spans="10:10">
      <c r="J307" s="2793"/>
    </row>
    <row r="308" s="1712" customFormat="1" customHeight="1" spans="10:10">
      <c r="J308" s="2793"/>
    </row>
    <row r="309" s="1712" customFormat="1" customHeight="1" spans="10:10">
      <c r="J309" s="2793"/>
    </row>
    <row r="310" s="1712" customFormat="1" customHeight="1" spans="10:10">
      <c r="J310" s="2793"/>
    </row>
    <row r="311" s="1712" customFormat="1" customHeight="1" spans="10:10">
      <c r="J311" s="2793"/>
    </row>
    <row r="312" s="1712" customFormat="1" customHeight="1" spans="10:10">
      <c r="J312" s="2793"/>
    </row>
    <row r="313" s="1712" customFormat="1" customHeight="1" spans="10:10">
      <c r="J313" s="2793"/>
    </row>
    <row r="314" s="1712" customFormat="1" customHeight="1" spans="10:10">
      <c r="J314" s="2793"/>
    </row>
    <row r="315" s="1712" customFormat="1" customHeight="1" spans="10:10">
      <c r="J315" s="2793"/>
    </row>
    <row r="316" s="1712" customFormat="1" customHeight="1" spans="10:10">
      <c r="J316" s="2793"/>
    </row>
    <row r="317" s="1712" customFormat="1" customHeight="1" spans="10:10">
      <c r="J317" s="2793"/>
    </row>
    <row r="318" s="1712" customFormat="1" customHeight="1" spans="10:10">
      <c r="J318" s="2793"/>
    </row>
    <row r="319" s="1712" customFormat="1" customHeight="1" spans="10:10">
      <c r="J319" s="2793"/>
    </row>
    <row r="320" s="1712" customFormat="1" customHeight="1" spans="10:10">
      <c r="J320" s="2793"/>
    </row>
    <row r="321" s="1712" customFormat="1" customHeight="1" spans="10:10">
      <c r="J321" s="2793"/>
    </row>
    <row r="322" s="1712" customFormat="1" customHeight="1" spans="10:10">
      <c r="J322" s="2793"/>
    </row>
    <row r="323" s="1712" customFormat="1" customHeight="1" spans="10:10">
      <c r="J323" s="2793"/>
    </row>
    <row r="324" s="1712" customFormat="1" customHeight="1" spans="10:10">
      <c r="J324" s="2793"/>
    </row>
    <row r="325" s="1712" customFormat="1" customHeight="1" spans="10:10">
      <c r="J325" s="2793"/>
    </row>
    <row r="326" s="1712" customFormat="1" customHeight="1" spans="10:10">
      <c r="J326" s="2793"/>
    </row>
    <row r="327" s="1712" customFormat="1" customHeight="1" spans="10:10">
      <c r="J327" s="2793"/>
    </row>
    <row r="328" s="1712" customFormat="1" customHeight="1" spans="10:10">
      <c r="J328" s="2793"/>
    </row>
    <row r="329" s="1712" customFormat="1" customHeight="1" spans="10:10">
      <c r="J329" s="2793"/>
    </row>
    <row r="330" s="1712" customFormat="1" customHeight="1" spans="10:10">
      <c r="J330" s="2793"/>
    </row>
    <row r="331" s="1712" customFormat="1" customHeight="1" spans="10:10">
      <c r="J331" s="2793"/>
    </row>
    <row r="332" s="1712" customFormat="1" customHeight="1" spans="10:10">
      <c r="J332" s="2793"/>
    </row>
    <row r="333" s="1712" customFormat="1" customHeight="1" spans="10:10">
      <c r="J333" s="2793"/>
    </row>
    <row r="334" s="1712" customFormat="1" customHeight="1" spans="10:10">
      <c r="J334" s="2793"/>
    </row>
    <row r="335" s="1712" customFormat="1" customHeight="1" spans="10:10">
      <c r="J335" s="2793"/>
    </row>
    <row r="336" s="1712" customFormat="1" customHeight="1" spans="10:10">
      <c r="J336" s="2793"/>
    </row>
    <row r="337" s="1712" customFormat="1" customHeight="1" spans="10:10">
      <c r="J337" s="2793"/>
    </row>
    <row r="338" s="1712" customFormat="1" customHeight="1" spans="10:10">
      <c r="J338" s="2793"/>
    </row>
    <row r="339" s="1712" customFormat="1" customHeight="1" spans="10:10">
      <c r="J339" s="2793"/>
    </row>
    <row r="340" s="1712" customFormat="1" customHeight="1" spans="10:10">
      <c r="J340" s="2793"/>
    </row>
    <row r="341" s="1712" customFormat="1" customHeight="1" spans="10:10">
      <c r="J341" s="2793"/>
    </row>
    <row r="342" s="1712" customFormat="1" customHeight="1" spans="10:10">
      <c r="J342" s="2793"/>
    </row>
    <row r="343" s="1712" customFormat="1" customHeight="1" spans="10:10">
      <c r="J343" s="2793"/>
    </row>
    <row r="344" s="1712" customFormat="1" customHeight="1" spans="10:10">
      <c r="J344" s="2793"/>
    </row>
    <row r="345" s="1712" customFormat="1" customHeight="1" spans="10:10">
      <c r="J345" s="2793"/>
    </row>
    <row r="346" s="1712" customFormat="1" customHeight="1" spans="10:10">
      <c r="J346" s="2793"/>
    </row>
    <row r="347" s="1712" customFormat="1" customHeight="1" spans="10:10">
      <c r="J347" s="2793"/>
    </row>
    <row r="348" s="1712" customFormat="1" customHeight="1" spans="10:10">
      <c r="J348" s="2793"/>
    </row>
    <row r="349" s="1712" customFormat="1" customHeight="1" spans="10:10">
      <c r="J349" s="2793"/>
    </row>
    <row r="350" s="1712" customFormat="1" customHeight="1" spans="10:10">
      <c r="J350" s="2793"/>
    </row>
    <row r="351" s="1712" customFormat="1" customHeight="1" spans="10:10">
      <c r="J351" s="2793"/>
    </row>
    <row r="352" s="1712" customFormat="1" customHeight="1" spans="10:10">
      <c r="J352" s="2793"/>
    </row>
    <row r="353" s="1712" customFormat="1" customHeight="1" spans="10:10">
      <c r="J353" s="2793"/>
    </row>
    <row r="354" s="1712" customFormat="1" customHeight="1" spans="10:10">
      <c r="J354" s="2793"/>
    </row>
    <row r="355" s="1712" customFormat="1" customHeight="1" spans="10:10">
      <c r="J355" s="2793"/>
    </row>
    <row r="356" s="1712" customFormat="1" customHeight="1" spans="10:10">
      <c r="J356" s="2793"/>
    </row>
    <row r="357" s="1712" customFormat="1" customHeight="1" spans="10:10">
      <c r="J357" s="2793"/>
    </row>
    <row r="358" s="1712" customFormat="1" customHeight="1" spans="10:10">
      <c r="J358" s="2793"/>
    </row>
    <row r="359" s="1712" customFormat="1" customHeight="1" spans="10:10">
      <c r="J359" s="2793"/>
    </row>
    <row r="360" s="1712" customFormat="1" customHeight="1" spans="10:10">
      <c r="J360" s="2793"/>
    </row>
    <row r="361" s="1712" customFormat="1" customHeight="1" spans="10:10">
      <c r="J361" s="2793"/>
    </row>
    <row r="362" s="1712" customFormat="1" customHeight="1" spans="10:10">
      <c r="J362" s="2793"/>
    </row>
    <row r="363" s="1712" customFormat="1" customHeight="1" spans="10:10">
      <c r="J363" s="2793"/>
    </row>
    <row r="364" s="1712" customFormat="1" customHeight="1" spans="10:10">
      <c r="J364" s="2793"/>
    </row>
    <row r="365" s="1712" customFormat="1" customHeight="1" spans="10:10">
      <c r="J365" s="2793"/>
    </row>
    <row r="366" s="1712" customFormat="1" customHeight="1" spans="10:10">
      <c r="J366" s="2793"/>
    </row>
    <row r="367" s="1712" customFormat="1" customHeight="1" spans="10:10">
      <c r="J367" s="2793"/>
    </row>
    <row r="368" s="1712" customFormat="1" customHeight="1" spans="10:10">
      <c r="J368" s="2793"/>
    </row>
    <row r="369" s="1712" customFormat="1" customHeight="1" spans="10:10">
      <c r="J369" s="2793"/>
    </row>
    <row r="370" s="1712" customFormat="1" customHeight="1" spans="10:10">
      <c r="J370" s="2793"/>
    </row>
    <row r="371" s="1712" customFormat="1" customHeight="1" spans="10:10">
      <c r="J371" s="2793"/>
    </row>
    <row r="372" s="1712" customFormat="1" customHeight="1" spans="10:10">
      <c r="J372" s="2793"/>
    </row>
    <row r="373" s="1712" customFormat="1" customHeight="1" spans="10:10">
      <c r="J373" s="2793"/>
    </row>
    <row r="374" s="1712" customFormat="1" customHeight="1" spans="10:10">
      <c r="J374" s="2793"/>
    </row>
    <row r="375" s="1712" customFormat="1" customHeight="1" spans="10:10">
      <c r="J375" s="2793"/>
    </row>
    <row r="376" s="1712" customFormat="1" customHeight="1" spans="10:10">
      <c r="J376" s="2793"/>
    </row>
    <row r="377" s="1712" customFormat="1" customHeight="1" spans="10:10">
      <c r="J377" s="2793"/>
    </row>
    <row r="378" s="1712" customFormat="1" customHeight="1" spans="10:10">
      <c r="J378" s="2793"/>
    </row>
    <row r="379" s="1712" customFormat="1" customHeight="1" spans="10:10">
      <c r="J379" s="2793"/>
    </row>
    <row r="380" s="1712" customFormat="1" customHeight="1" spans="10:10">
      <c r="J380" s="2793"/>
    </row>
    <row r="381" s="1712" customFormat="1" customHeight="1" spans="10:10">
      <c r="J381" s="2793"/>
    </row>
    <row r="382" s="1712" customFormat="1" customHeight="1" spans="10:10">
      <c r="J382" s="2793"/>
    </row>
    <row r="383" s="2429" customFormat="1" customHeight="1" spans="10:27">
      <c r="J383" s="2431"/>
      <c r="K383" s="1712"/>
      <c r="L383" s="1712"/>
      <c r="M383" s="1712"/>
      <c r="N383" s="1712"/>
      <c r="O383" s="1712"/>
      <c r="P383" s="1712"/>
      <c r="Q383" s="1712"/>
      <c r="R383" s="1712"/>
      <c r="S383" s="1712"/>
      <c r="T383" s="1712"/>
      <c r="U383" s="1712"/>
      <c r="V383" s="1712"/>
      <c r="W383" s="1712"/>
      <c r="X383" s="1712"/>
      <c r="Y383" s="1712"/>
      <c r="Z383" s="1712"/>
      <c r="AA383" s="1712"/>
    </row>
    <row r="384" s="2429" customFormat="1" customHeight="1" spans="10:27">
      <c r="J384" s="2431"/>
      <c r="K384" s="1712"/>
      <c r="L384" s="1712"/>
      <c r="M384" s="1712"/>
      <c r="N384" s="1712"/>
      <c r="O384" s="1712"/>
      <c r="P384" s="1712"/>
      <c r="Q384" s="1712"/>
      <c r="R384" s="1712"/>
      <c r="S384" s="1712"/>
      <c r="T384" s="1712"/>
      <c r="U384" s="1712"/>
      <c r="V384" s="1712"/>
      <c r="W384" s="1712"/>
      <c r="X384" s="1712"/>
      <c r="Y384" s="1712"/>
      <c r="Z384" s="1712"/>
      <c r="AA384" s="1712"/>
    </row>
    <row r="385" s="2429" customFormat="1" customHeight="1" spans="10:27">
      <c r="J385" s="2431"/>
      <c r="K385" s="1712"/>
      <c r="L385" s="1712"/>
      <c r="M385" s="1712"/>
      <c r="N385" s="1712"/>
      <c r="O385" s="1712"/>
      <c r="P385" s="1712"/>
      <c r="Q385" s="1712"/>
      <c r="R385" s="1712"/>
      <c r="S385" s="1712"/>
      <c r="T385" s="1712"/>
      <c r="U385" s="1712"/>
      <c r="V385" s="1712"/>
      <c r="W385" s="1712"/>
      <c r="X385" s="1712"/>
      <c r="Y385" s="1712"/>
      <c r="Z385" s="1712"/>
      <c r="AA385" s="1712"/>
    </row>
    <row r="386" s="2429" customFormat="1" customHeight="1" spans="10:27">
      <c r="J386" s="2431"/>
      <c r="K386" s="1712"/>
      <c r="L386" s="1712"/>
      <c r="M386" s="1712"/>
      <c r="N386" s="1712"/>
      <c r="O386" s="1712"/>
      <c r="P386" s="1712"/>
      <c r="Q386" s="1712"/>
      <c r="R386" s="1712"/>
      <c r="S386" s="1712"/>
      <c r="T386" s="1712"/>
      <c r="U386" s="1712"/>
      <c r="V386" s="1712"/>
      <c r="W386" s="1712"/>
      <c r="X386" s="1712"/>
      <c r="Y386" s="1712"/>
      <c r="Z386" s="1712"/>
      <c r="AA386" s="1712"/>
    </row>
    <row r="387" s="2429" customFormat="1" customHeight="1" spans="10:27">
      <c r="J387" s="2431"/>
      <c r="K387" s="1712"/>
      <c r="L387" s="1712"/>
      <c r="M387" s="1712"/>
      <c r="N387" s="1712"/>
      <c r="O387" s="1712"/>
      <c r="P387" s="1712"/>
      <c r="Q387" s="1712"/>
      <c r="R387" s="1712"/>
      <c r="S387" s="1712"/>
      <c r="T387" s="1712"/>
      <c r="U387" s="1712"/>
      <c r="V387" s="1712"/>
      <c r="W387" s="1712"/>
      <c r="X387" s="1712"/>
      <c r="Y387" s="1712"/>
      <c r="Z387" s="1712"/>
      <c r="AA387" s="1712"/>
    </row>
    <row r="388" s="2429" customFormat="1" customHeight="1" spans="10:27">
      <c r="J388" s="2431"/>
      <c r="K388" s="1712"/>
      <c r="L388" s="1712"/>
      <c r="M388" s="1712"/>
      <c r="N388" s="1712"/>
      <c r="O388" s="1712"/>
      <c r="P388" s="1712"/>
      <c r="Q388" s="1712"/>
      <c r="R388" s="1712"/>
      <c r="S388" s="1712"/>
      <c r="T388" s="1712"/>
      <c r="U388" s="1712"/>
      <c r="V388" s="1712"/>
      <c r="W388" s="1712"/>
      <c r="X388" s="1712"/>
      <c r="Y388" s="1712"/>
      <c r="Z388" s="1712"/>
      <c r="AA388" s="1712"/>
    </row>
    <row r="389" s="2429" customFormat="1" customHeight="1" spans="10:27">
      <c r="J389" s="2431"/>
      <c r="K389" s="1712"/>
      <c r="L389" s="1712"/>
      <c r="M389" s="1712"/>
      <c r="N389" s="1712"/>
      <c r="O389" s="1712"/>
      <c r="P389" s="1712"/>
      <c r="Q389" s="1712"/>
      <c r="R389" s="1712"/>
      <c r="S389" s="1712"/>
      <c r="T389" s="1712"/>
      <c r="U389" s="1712"/>
      <c r="V389" s="1712"/>
      <c r="W389" s="1712"/>
      <c r="X389" s="1712"/>
      <c r="Y389" s="1712"/>
      <c r="Z389" s="1712"/>
      <c r="AA389" s="1712"/>
    </row>
    <row r="390" s="2429" customFormat="1" customHeight="1" spans="10:27">
      <c r="J390" s="2431"/>
      <c r="K390" s="1712"/>
      <c r="L390" s="1712"/>
      <c r="M390" s="1712"/>
      <c r="N390" s="1712"/>
      <c r="O390" s="1712"/>
      <c r="P390" s="1712"/>
      <c r="Q390" s="1712"/>
      <c r="R390" s="1712"/>
      <c r="S390" s="1712"/>
      <c r="T390" s="1712"/>
      <c r="U390" s="1712"/>
      <c r="V390" s="1712"/>
      <c r="W390" s="1712"/>
      <c r="X390" s="1712"/>
      <c r="Y390" s="1712"/>
      <c r="Z390" s="1712"/>
      <c r="AA390" s="1712"/>
    </row>
    <row r="391" s="2429" customFormat="1" customHeight="1" spans="10:27">
      <c r="J391" s="2431"/>
      <c r="K391" s="1712"/>
      <c r="L391" s="1712"/>
      <c r="M391" s="1712"/>
      <c r="N391" s="1712"/>
      <c r="O391" s="1712"/>
      <c r="P391" s="1712"/>
      <c r="Q391" s="1712"/>
      <c r="R391" s="1712"/>
      <c r="S391" s="1712"/>
      <c r="T391" s="1712"/>
      <c r="U391" s="1712"/>
      <c r="V391" s="1712"/>
      <c r="W391" s="1712"/>
      <c r="X391" s="1712"/>
      <c r="Y391" s="1712"/>
      <c r="Z391" s="1712"/>
      <c r="AA391" s="1712"/>
    </row>
    <row r="392" s="2429" customFormat="1" customHeight="1" spans="10:27">
      <c r="J392" s="2431"/>
      <c r="K392" s="1712"/>
      <c r="L392" s="1712"/>
      <c r="M392" s="1712"/>
      <c r="N392" s="1712"/>
      <c r="O392" s="1712"/>
      <c r="P392" s="1712"/>
      <c r="Q392" s="1712"/>
      <c r="R392" s="1712"/>
      <c r="S392" s="1712"/>
      <c r="T392" s="1712"/>
      <c r="U392" s="1712"/>
      <c r="V392" s="1712"/>
      <c r="W392" s="1712"/>
      <c r="X392" s="1712"/>
      <c r="Y392" s="1712"/>
      <c r="Z392" s="1712"/>
      <c r="AA392" s="1712"/>
    </row>
    <row r="393" s="2429" customFormat="1" customHeight="1" spans="10:27">
      <c r="J393" s="2431"/>
      <c r="K393" s="1712"/>
      <c r="L393" s="1712"/>
      <c r="M393" s="1712"/>
      <c r="N393" s="1712"/>
      <c r="O393" s="1712"/>
      <c r="P393" s="1712"/>
      <c r="Q393" s="1712"/>
      <c r="R393" s="1712"/>
      <c r="S393" s="1712"/>
      <c r="T393" s="1712"/>
      <c r="U393" s="1712"/>
      <c r="V393" s="1712"/>
      <c r="W393" s="1712"/>
      <c r="X393" s="1712"/>
      <c r="Y393" s="1712"/>
      <c r="Z393" s="1712"/>
      <c r="AA393" s="1712"/>
    </row>
    <row r="394" s="2429" customFormat="1" customHeight="1" spans="10:27">
      <c r="J394" s="2431"/>
      <c r="K394" s="1712"/>
      <c r="L394" s="1712"/>
      <c r="M394" s="1712"/>
      <c r="N394" s="1712"/>
      <c r="O394" s="1712"/>
      <c r="P394" s="1712"/>
      <c r="Q394" s="1712"/>
      <c r="R394" s="1712"/>
      <c r="S394" s="1712"/>
      <c r="T394" s="1712"/>
      <c r="U394" s="1712"/>
      <c r="V394" s="1712"/>
      <c r="W394" s="1712"/>
      <c r="X394" s="1712"/>
      <c r="Y394" s="1712"/>
      <c r="Z394" s="1712"/>
      <c r="AA394" s="1712"/>
    </row>
    <row r="395" s="2429" customFormat="1" customHeight="1" spans="10:27">
      <c r="J395" s="2431"/>
      <c r="K395" s="1712"/>
      <c r="L395" s="1712"/>
      <c r="M395" s="1712"/>
      <c r="N395" s="1712"/>
      <c r="O395" s="1712"/>
      <c r="P395" s="1712"/>
      <c r="Q395" s="1712"/>
      <c r="R395" s="1712"/>
      <c r="S395" s="1712"/>
      <c r="T395" s="1712"/>
      <c r="U395" s="1712"/>
      <c r="V395" s="1712"/>
      <c r="W395" s="1712"/>
      <c r="X395" s="1712"/>
      <c r="Y395" s="1712"/>
      <c r="Z395" s="1712"/>
      <c r="AA395" s="1712"/>
    </row>
    <row r="396" s="2429" customFormat="1" customHeight="1" spans="10:27">
      <c r="J396" s="2431"/>
      <c r="K396" s="1712"/>
      <c r="L396" s="1712"/>
      <c r="M396" s="1712"/>
      <c r="N396" s="1712"/>
      <c r="O396" s="1712"/>
      <c r="P396" s="1712"/>
      <c r="Q396" s="1712"/>
      <c r="R396" s="1712"/>
      <c r="S396" s="1712"/>
      <c r="T396" s="1712"/>
      <c r="U396" s="1712"/>
      <c r="V396" s="1712"/>
      <c r="W396" s="1712"/>
      <c r="X396" s="1712"/>
      <c r="Y396" s="1712"/>
      <c r="Z396" s="1712"/>
      <c r="AA396" s="1712"/>
    </row>
    <row r="397" s="2429" customFormat="1" customHeight="1" spans="10:27">
      <c r="J397" s="2431"/>
      <c r="K397" s="1712"/>
      <c r="L397" s="1712"/>
      <c r="M397" s="1712"/>
      <c r="N397" s="1712"/>
      <c r="O397" s="1712"/>
      <c r="P397" s="1712"/>
      <c r="Q397" s="1712"/>
      <c r="R397" s="1712"/>
      <c r="S397" s="1712"/>
      <c r="T397" s="1712"/>
      <c r="U397" s="1712"/>
      <c r="V397" s="1712"/>
      <c r="W397" s="1712"/>
      <c r="X397" s="1712"/>
      <c r="Y397" s="1712"/>
      <c r="Z397" s="1712"/>
      <c r="AA397" s="1712"/>
    </row>
    <row r="398" s="2429" customFormat="1" customHeight="1" spans="10:27">
      <c r="J398" s="2431"/>
      <c r="K398" s="1712"/>
      <c r="L398" s="1712"/>
      <c r="M398" s="1712"/>
      <c r="N398" s="1712"/>
      <c r="O398" s="1712"/>
      <c r="P398" s="1712"/>
      <c r="Q398" s="1712"/>
      <c r="R398" s="1712"/>
      <c r="S398" s="1712"/>
      <c r="T398" s="1712"/>
      <c r="U398" s="1712"/>
      <c r="V398" s="1712"/>
      <c r="W398" s="1712"/>
      <c r="X398" s="1712"/>
      <c r="Y398" s="1712"/>
      <c r="Z398" s="1712"/>
      <c r="AA398" s="1712"/>
    </row>
    <row r="399" s="2429" customFormat="1" customHeight="1" spans="10:27">
      <c r="J399" s="2431"/>
      <c r="K399" s="1712"/>
      <c r="L399" s="1712"/>
      <c r="M399" s="1712"/>
      <c r="N399" s="1712"/>
      <c r="O399" s="1712"/>
      <c r="P399" s="1712"/>
      <c r="Q399" s="1712"/>
      <c r="R399" s="1712"/>
      <c r="S399" s="1712"/>
      <c r="T399" s="1712"/>
      <c r="U399" s="1712"/>
      <c r="V399" s="1712"/>
      <c r="W399" s="1712"/>
      <c r="X399" s="1712"/>
      <c r="Y399" s="1712"/>
      <c r="Z399" s="1712"/>
      <c r="AA399" s="1712"/>
    </row>
    <row r="400" s="2429" customFormat="1" customHeight="1" spans="10:27">
      <c r="J400" s="2431"/>
      <c r="K400" s="1712"/>
      <c r="L400" s="1712"/>
      <c r="M400" s="1712"/>
      <c r="N400" s="1712"/>
      <c r="O400" s="1712"/>
      <c r="P400" s="1712"/>
      <c r="Q400" s="1712"/>
      <c r="R400" s="1712"/>
      <c r="S400" s="1712"/>
      <c r="T400" s="1712"/>
      <c r="U400" s="1712"/>
      <c r="V400" s="1712"/>
      <c r="W400" s="1712"/>
      <c r="X400" s="1712"/>
      <c r="Y400" s="1712"/>
      <c r="Z400" s="1712"/>
      <c r="AA400" s="1712"/>
    </row>
    <row r="401" s="2429" customFormat="1" customHeight="1" spans="10:27">
      <c r="J401" s="2431"/>
      <c r="K401" s="1712"/>
      <c r="L401" s="1712"/>
      <c r="M401" s="1712"/>
      <c r="N401" s="1712"/>
      <c r="O401" s="1712"/>
      <c r="P401" s="1712"/>
      <c r="Q401" s="1712"/>
      <c r="R401" s="1712"/>
      <c r="S401" s="1712"/>
      <c r="T401" s="1712"/>
      <c r="U401" s="1712"/>
      <c r="V401" s="1712"/>
      <c r="W401" s="1712"/>
      <c r="X401" s="1712"/>
      <c r="Y401" s="1712"/>
      <c r="Z401" s="1712"/>
      <c r="AA401" s="1712"/>
    </row>
    <row r="402" s="2429" customFormat="1" customHeight="1" spans="10:27">
      <c r="J402" s="2431"/>
      <c r="K402" s="1712"/>
      <c r="L402" s="1712"/>
      <c r="M402" s="1712"/>
      <c r="N402" s="1712"/>
      <c r="O402" s="1712"/>
      <c r="P402" s="1712"/>
      <c r="Q402" s="1712"/>
      <c r="R402" s="1712"/>
      <c r="S402" s="1712"/>
      <c r="T402" s="1712"/>
      <c r="U402" s="1712"/>
      <c r="V402" s="1712"/>
      <c r="W402" s="1712"/>
      <c r="X402" s="1712"/>
      <c r="Y402" s="1712"/>
      <c r="Z402" s="1712"/>
      <c r="AA402" s="1712"/>
    </row>
    <row r="403" s="2429" customFormat="1" customHeight="1" spans="10:27">
      <c r="J403" s="2431"/>
      <c r="K403" s="1712"/>
      <c r="L403" s="1712"/>
      <c r="M403" s="1712"/>
      <c r="N403" s="1712"/>
      <c r="O403" s="1712"/>
      <c r="P403" s="1712"/>
      <c r="Q403" s="1712"/>
      <c r="R403" s="1712"/>
      <c r="S403" s="1712"/>
      <c r="T403" s="1712"/>
      <c r="U403" s="1712"/>
      <c r="V403" s="1712"/>
      <c r="W403" s="1712"/>
      <c r="X403" s="1712"/>
      <c r="Y403" s="1712"/>
      <c r="Z403" s="1712"/>
      <c r="AA403" s="1712"/>
    </row>
    <row r="404" s="2429" customFormat="1" customHeight="1" spans="10:27">
      <c r="J404" s="2431"/>
      <c r="K404" s="1712"/>
      <c r="L404" s="1712"/>
      <c r="M404" s="1712"/>
      <c r="N404" s="1712"/>
      <c r="O404" s="1712"/>
      <c r="P404" s="1712"/>
      <c r="Q404" s="1712"/>
      <c r="R404" s="1712"/>
      <c r="S404" s="1712"/>
      <c r="T404" s="1712"/>
      <c r="U404" s="1712"/>
      <c r="V404" s="1712"/>
      <c r="W404" s="1712"/>
      <c r="X404" s="1712"/>
      <c r="Y404" s="1712"/>
      <c r="Z404" s="1712"/>
      <c r="AA404" s="1712"/>
    </row>
    <row r="405" s="2429" customFormat="1" customHeight="1" spans="10:27">
      <c r="J405" s="2431"/>
      <c r="K405" s="1712"/>
      <c r="L405" s="1712"/>
      <c r="M405" s="1712"/>
      <c r="N405" s="1712"/>
      <c r="O405" s="1712"/>
      <c r="P405" s="1712"/>
      <c r="Q405" s="1712"/>
      <c r="R405" s="1712"/>
      <c r="S405" s="1712"/>
      <c r="T405" s="1712"/>
      <c r="U405" s="1712"/>
      <c r="V405" s="1712"/>
      <c r="W405" s="1712"/>
      <c r="X405" s="1712"/>
      <c r="Y405" s="1712"/>
      <c r="Z405" s="1712"/>
      <c r="AA405" s="1712"/>
    </row>
    <row r="406" s="2429" customFormat="1" customHeight="1" spans="10:27">
      <c r="J406" s="2431"/>
      <c r="K406" s="1712"/>
      <c r="L406" s="1712"/>
      <c r="M406" s="1712"/>
      <c r="N406" s="1712"/>
      <c r="O406" s="1712"/>
      <c r="P406" s="1712"/>
      <c r="Q406" s="1712"/>
      <c r="R406" s="1712"/>
      <c r="S406" s="1712"/>
      <c r="T406" s="1712"/>
      <c r="U406" s="1712"/>
      <c r="V406" s="1712"/>
      <c r="W406" s="1712"/>
      <c r="X406" s="1712"/>
      <c r="Y406" s="1712"/>
      <c r="Z406" s="1712"/>
      <c r="AA406" s="1712"/>
    </row>
    <row r="407" s="2429" customFormat="1" customHeight="1" spans="10:27">
      <c r="J407" s="2431"/>
      <c r="K407" s="1712"/>
      <c r="L407" s="1712"/>
      <c r="M407" s="1712"/>
      <c r="N407" s="1712"/>
      <c r="O407" s="1712"/>
      <c r="P407" s="1712"/>
      <c r="Q407" s="1712"/>
      <c r="R407" s="1712"/>
      <c r="S407" s="1712"/>
      <c r="T407" s="1712"/>
      <c r="U407" s="1712"/>
      <c r="V407" s="1712"/>
      <c r="W407" s="1712"/>
      <c r="X407" s="1712"/>
      <c r="Y407" s="1712"/>
      <c r="Z407" s="1712"/>
      <c r="AA407" s="1712"/>
    </row>
    <row r="408" s="2429" customFormat="1" customHeight="1" spans="10:27">
      <c r="J408" s="2431"/>
      <c r="K408" s="1712"/>
      <c r="L408" s="1712"/>
      <c r="M408" s="1712"/>
      <c r="N408" s="1712"/>
      <c r="O408" s="1712"/>
      <c r="P408" s="1712"/>
      <c r="Q408" s="1712"/>
      <c r="R408" s="1712"/>
      <c r="S408" s="1712"/>
      <c r="T408" s="1712"/>
      <c r="U408" s="1712"/>
      <c r="V408" s="1712"/>
      <c r="W408" s="1712"/>
      <c r="X408" s="1712"/>
      <c r="Y408" s="1712"/>
      <c r="Z408" s="1712"/>
      <c r="AA408" s="1712"/>
    </row>
    <row r="409" s="2429" customFormat="1" customHeight="1" spans="10:27">
      <c r="J409" s="2431"/>
      <c r="K409" s="1712"/>
      <c r="L409" s="1712"/>
      <c r="M409" s="1712"/>
      <c r="N409" s="1712"/>
      <c r="O409" s="1712"/>
      <c r="P409" s="1712"/>
      <c r="Q409" s="1712"/>
      <c r="R409" s="1712"/>
      <c r="S409" s="1712"/>
      <c r="T409" s="1712"/>
      <c r="U409" s="1712"/>
      <c r="V409" s="1712"/>
      <c r="W409" s="1712"/>
      <c r="X409" s="1712"/>
      <c r="Y409" s="1712"/>
      <c r="Z409" s="1712"/>
      <c r="AA409" s="1712"/>
    </row>
    <row r="410" s="2429" customFormat="1" customHeight="1" spans="10:27">
      <c r="J410" s="2431"/>
      <c r="K410" s="1712"/>
      <c r="L410" s="1712"/>
      <c r="M410" s="1712"/>
      <c r="N410" s="1712"/>
      <c r="O410" s="1712"/>
      <c r="P410" s="1712"/>
      <c r="Q410" s="1712"/>
      <c r="R410" s="1712"/>
      <c r="S410" s="1712"/>
      <c r="T410" s="1712"/>
      <c r="U410" s="1712"/>
      <c r="V410" s="1712"/>
      <c r="W410" s="1712"/>
      <c r="X410" s="1712"/>
      <c r="Y410" s="1712"/>
      <c r="Z410" s="1712"/>
      <c r="AA410" s="1712"/>
    </row>
    <row r="411" s="2429" customFormat="1" customHeight="1" spans="10:27">
      <c r="J411" s="2431"/>
      <c r="K411" s="1712"/>
      <c r="L411" s="1712"/>
      <c r="M411" s="1712"/>
      <c r="N411" s="1712"/>
      <c r="O411" s="1712"/>
      <c r="P411" s="1712"/>
      <c r="Q411" s="1712"/>
      <c r="R411" s="1712"/>
      <c r="S411" s="1712"/>
      <c r="T411" s="1712"/>
      <c r="U411" s="1712"/>
      <c r="V411" s="1712"/>
      <c r="W411" s="1712"/>
      <c r="X411" s="1712"/>
      <c r="Y411" s="1712"/>
      <c r="Z411" s="1712"/>
      <c r="AA411" s="1712"/>
    </row>
    <row r="412" s="2429" customFormat="1" customHeight="1" spans="10:27">
      <c r="J412" s="2431"/>
      <c r="K412" s="1712"/>
      <c r="L412" s="1712"/>
      <c r="M412" s="1712"/>
      <c r="N412" s="1712"/>
      <c r="O412" s="1712"/>
      <c r="P412" s="1712"/>
      <c r="Q412" s="1712"/>
      <c r="R412" s="1712"/>
      <c r="S412" s="1712"/>
      <c r="T412" s="1712"/>
      <c r="U412" s="1712"/>
      <c r="V412" s="1712"/>
      <c r="W412" s="1712"/>
      <c r="X412" s="1712"/>
      <c r="Y412" s="1712"/>
      <c r="Z412" s="1712"/>
      <c r="AA412" s="1712"/>
    </row>
    <row r="413" s="2429" customFormat="1" customHeight="1" spans="10:27">
      <c r="J413" s="2431"/>
      <c r="K413" s="1712"/>
      <c r="L413" s="1712"/>
      <c r="M413" s="1712"/>
      <c r="N413" s="1712"/>
      <c r="O413" s="1712"/>
      <c r="P413" s="1712"/>
      <c r="Q413" s="1712"/>
      <c r="R413" s="1712"/>
      <c r="S413" s="1712"/>
      <c r="T413" s="1712"/>
      <c r="U413" s="1712"/>
      <c r="V413" s="1712"/>
      <c r="W413" s="1712"/>
      <c r="X413" s="1712"/>
      <c r="Y413" s="1712"/>
      <c r="Z413" s="1712"/>
      <c r="AA413" s="1712"/>
    </row>
    <row r="414" s="2429" customFormat="1" customHeight="1" spans="10:27">
      <c r="J414" s="2431"/>
      <c r="K414" s="1712"/>
      <c r="L414" s="1712"/>
      <c r="M414" s="1712"/>
      <c r="N414" s="1712"/>
      <c r="O414" s="1712"/>
      <c r="P414" s="1712"/>
      <c r="Q414" s="1712"/>
      <c r="R414" s="1712"/>
      <c r="S414" s="1712"/>
      <c r="T414" s="1712"/>
      <c r="U414" s="1712"/>
      <c r="V414" s="1712"/>
      <c r="W414" s="1712"/>
      <c r="X414" s="1712"/>
      <c r="Y414" s="1712"/>
      <c r="Z414" s="1712"/>
      <c r="AA414" s="1712"/>
    </row>
    <row r="415" s="2429" customFormat="1" customHeight="1" spans="10:27">
      <c r="J415" s="2431"/>
      <c r="K415" s="1712"/>
      <c r="L415" s="1712"/>
      <c r="M415" s="1712"/>
      <c r="N415" s="1712"/>
      <c r="O415" s="1712"/>
      <c r="P415" s="1712"/>
      <c r="Q415" s="1712"/>
      <c r="R415" s="1712"/>
      <c r="S415" s="1712"/>
      <c r="T415" s="1712"/>
      <c r="U415" s="1712"/>
      <c r="V415" s="1712"/>
      <c r="W415" s="1712"/>
      <c r="X415" s="1712"/>
      <c r="Y415" s="1712"/>
      <c r="Z415" s="1712"/>
      <c r="AA415" s="1712"/>
    </row>
    <row r="416" s="2429" customFormat="1" customHeight="1" spans="10:27">
      <c r="J416" s="2431"/>
      <c r="K416" s="1712"/>
      <c r="L416" s="1712"/>
      <c r="M416" s="1712"/>
      <c r="N416" s="1712"/>
      <c r="O416" s="1712"/>
      <c r="P416" s="1712"/>
      <c r="Q416" s="1712"/>
      <c r="R416" s="1712"/>
      <c r="S416" s="1712"/>
      <c r="T416" s="1712"/>
      <c r="U416" s="1712"/>
      <c r="V416" s="1712"/>
      <c r="W416" s="1712"/>
      <c r="X416" s="1712"/>
      <c r="Y416" s="1712"/>
      <c r="Z416" s="1712"/>
      <c r="AA416" s="1712"/>
    </row>
    <row r="417" s="2429" customFormat="1" customHeight="1" spans="10:27">
      <c r="J417" s="2431"/>
      <c r="K417" s="1712"/>
      <c r="L417" s="1712"/>
      <c r="M417" s="1712"/>
      <c r="N417" s="1712"/>
      <c r="O417" s="1712"/>
      <c r="P417" s="1712"/>
      <c r="Q417" s="1712"/>
      <c r="R417" s="1712"/>
      <c r="S417" s="1712"/>
      <c r="T417" s="1712"/>
      <c r="U417" s="1712"/>
      <c r="V417" s="1712"/>
      <c r="W417" s="1712"/>
      <c r="X417" s="1712"/>
      <c r="Y417" s="1712"/>
      <c r="Z417" s="1712"/>
      <c r="AA417" s="1712"/>
    </row>
    <row r="418" s="2429" customFormat="1" customHeight="1" spans="10:27">
      <c r="J418" s="2431"/>
      <c r="K418" s="1712"/>
      <c r="L418" s="1712"/>
      <c r="M418" s="1712"/>
      <c r="N418" s="1712"/>
      <c r="O418" s="1712"/>
      <c r="P418" s="1712"/>
      <c r="Q418" s="1712"/>
      <c r="R418" s="1712"/>
      <c r="S418" s="1712"/>
      <c r="T418" s="1712"/>
      <c r="U418" s="1712"/>
      <c r="V418" s="1712"/>
      <c r="W418" s="1712"/>
      <c r="X418" s="1712"/>
      <c r="Y418" s="1712"/>
      <c r="Z418" s="1712"/>
      <c r="AA418" s="1712"/>
    </row>
    <row r="419" s="2429" customFormat="1" customHeight="1" spans="10:27">
      <c r="J419" s="2431"/>
      <c r="K419" s="1712"/>
      <c r="L419" s="1712"/>
      <c r="M419" s="1712"/>
      <c r="N419" s="1712"/>
      <c r="O419" s="1712"/>
      <c r="P419" s="1712"/>
      <c r="Q419" s="1712"/>
      <c r="R419" s="1712"/>
      <c r="S419" s="1712"/>
      <c r="T419" s="1712"/>
      <c r="U419" s="1712"/>
      <c r="V419" s="1712"/>
      <c r="W419" s="1712"/>
      <c r="X419" s="1712"/>
      <c r="Y419" s="1712"/>
      <c r="Z419" s="1712"/>
      <c r="AA419" s="1712"/>
    </row>
    <row r="420" s="2429" customFormat="1" customHeight="1" spans="10:27">
      <c r="J420" s="2431"/>
      <c r="K420" s="1712"/>
      <c r="L420" s="1712"/>
      <c r="M420" s="1712"/>
      <c r="N420" s="1712"/>
      <c r="O420" s="1712"/>
      <c r="P420" s="1712"/>
      <c r="Q420" s="1712"/>
      <c r="R420" s="1712"/>
      <c r="S420" s="1712"/>
      <c r="T420" s="1712"/>
      <c r="U420" s="1712"/>
      <c r="V420" s="1712"/>
      <c r="W420" s="1712"/>
      <c r="X420" s="1712"/>
      <c r="Y420" s="1712"/>
      <c r="Z420" s="1712"/>
      <c r="AA420" s="1712"/>
    </row>
    <row r="421" s="2429" customFormat="1" customHeight="1" spans="10:27">
      <c r="J421" s="2431"/>
      <c r="K421" s="1712"/>
      <c r="L421" s="1712"/>
      <c r="M421" s="1712"/>
      <c r="N421" s="1712"/>
      <c r="O421" s="1712"/>
      <c r="P421" s="1712"/>
      <c r="Q421" s="1712"/>
      <c r="R421" s="1712"/>
      <c r="S421" s="1712"/>
      <c r="T421" s="1712"/>
      <c r="U421" s="1712"/>
      <c r="V421" s="1712"/>
      <c r="W421" s="1712"/>
      <c r="X421" s="1712"/>
      <c r="Y421" s="1712"/>
      <c r="Z421" s="1712"/>
      <c r="AA421" s="1712"/>
    </row>
    <row r="422" s="2429" customFormat="1" customHeight="1" spans="10:27">
      <c r="J422" s="2431"/>
      <c r="K422" s="1712"/>
      <c r="L422" s="1712"/>
      <c r="M422" s="1712"/>
      <c r="N422" s="1712"/>
      <c r="O422" s="1712"/>
      <c r="P422" s="1712"/>
      <c r="Q422" s="1712"/>
      <c r="R422" s="1712"/>
      <c r="S422" s="1712"/>
      <c r="T422" s="1712"/>
      <c r="U422" s="1712"/>
      <c r="V422" s="1712"/>
      <c r="W422" s="1712"/>
      <c r="X422" s="1712"/>
      <c r="Y422" s="1712"/>
      <c r="Z422" s="1712"/>
      <c r="AA422" s="1712"/>
    </row>
    <row r="423" s="2429" customFormat="1" customHeight="1" spans="10:27">
      <c r="J423" s="2431"/>
      <c r="K423" s="1712"/>
      <c r="L423" s="1712"/>
      <c r="M423" s="1712"/>
      <c r="N423" s="1712"/>
      <c r="O423" s="1712"/>
      <c r="P423" s="1712"/>
      <c r="Q423" s="1712"/>
      <c r="R423" s="1712"/>
      <c r="S423" s="1712"/>
      <c r="T423" s="1712"/>
      <c r="U423" s="1712"/>
      <c r="V423" s="1712"/>
      <c r="W423" s="1712"/>
      <c r="X423" s="1712"/>
      <c r="Y423" s="1712"/>
      <c r="Z423" s="1712"/>
      <c r="AA423" s="1712"/>
    </row>
    <row r="424" s="2429" customFormat="1" customHeight="1" spans="10:27">
      <c r="J424" s="2431"/>
      <c r="K424" s="1712"/>
      <c r="L424" s="1712"/>
      <c r="M424" s="1712"/>
      <c r="N424" s="1712"/>
      <c r="O424" s="1712"/>
      <c r="P424" s="1712"/>
      <c r="Q424" s="1712"/>
      <c r="R424" s="1712"/>
      <c r="S424" s="1712"/>
      <c r="T424" s="1712"/>
      <c r="U424" s="1712"/>
      <c r="V424" s="1712"/>
      <c r="W424" s="1712"/>
      <c r="X424" s="1712"/>
      <c r="Y424" s="1712"/>
      <c r="Z424" s="1712"/>
      <c r="AA424" s="1712"/>
    </row>
    <row r="425" s="2429" customFormat="1" customHeight="1" spans="10:27">
      <c r="J425" s="2431"/>
      <c r="K425" s="1712"/>
      <c r="L425" s="1712"/>
      <c r="M425" s="1712"/>
      <c r="N425" s="1712"/>
      <c r="O425" s="1712"/>
      <c r="P425" s="1712"/>
      <c r="Q425" s="1712"/>
      <c r="R425" s="1712"/>
      <c r="S425" s="1712"/>
      <c r="T425" s="1712"/>
      <c r="U425" s="1712"/>
      <c r="V425" s="1712"/>
      <c r="W425" s="1712"/>
      <c r="X425" s="1712"/>
      <c r="Y425" s="1712"/>
      <c r="Z425" s="1712"/>
      <c r="AA425" s="1712"/>
    </row>
    <row r="426" s="2429" customFormat="1" customHeight="1" spans="10:27">
      <c r="J426" s="2431"/>
      <c r="K426" s="1712"/>
      <c r="L426" s="1712"/>
      <c r="M426" s="1712"/>
      <c r="N426" s="1712"/>
      <c r="O426" s="1712"/>
      <c r="P426" s="1712"/>
      <c r="Q426" s="1712"/>
      <c r="R426" s="1712"/>
      <c r="S426" s="1712"/>
      <c r="T426" s="1712"/>
      <c r="U426" s="1712"/>
      <c r="V426" s="1712"/>
      <c r="W426" s="1712"/>
      <c r="X426" s="1712"/>
      <c r="Y426" s="1712"/>
      <c r="Z426" s="1712"/>
      <c r="AA426" s="1712"/>
    </row>
    <row r="427" s="2429" customFormat="1" customHeight="1" spans="10:27">
      <c r="J427" s="2431"/>
      <c r="K427" s="1712"/>
      <c r="L427" s="1712"/>
      <c r="M427" s="1712"/>
      <c r="N427" s="1712"/>
      <c r="O427" s="1712"/>
      <c r="P427" s="1712"/>
      <c r="Q427" s="1712"/>
      <c r="R427" s="1712"/>
      <c r="S427" s="1712"/>
      <c r="T427" s="1712"/>
      <c r="U427" s="1712"/>
      <c r="V427" s="1712"/>
      <c r="W427" s="1712"/>
      <c r="X427" s="1712"/>
      <c r="Y427" s="1712"/>
      <c r="Z427" s="1712"/>
      <c r="AA427" s="1712"/>
    </row>
    <row r="428" s="2429" customFormat="1" customHeight="1" spans="10:27">
      <c r="J428" s="2431"/>
      <c r="K428" s="1712"/>
      <c r="L428" s="1712"/>
      <c r="M428" s="1712"/>
      <c r="N428" s="1712"/>
      <c r="O428" s="1712"/>
      <c r="P428" s="1712"/>
      <c r="Q428" s="1712"/>
      <c r="R428" s="1712"/>
      <c r="S428" s="1712"/>
      <c r="T428" s="1712"/>
      <c r="U428" s="1712"/>
      <c r="V428" s="1712"/>
      <c r="W428" s="1712"/>
      <c r="X428" s="1712"/>
      <c r="Y428" s="1712"/>
      <c r="Z428" s="1712"/>
      <c r="AA428" s="1712"/>
    </row>
    <row r="429" s="2429" customFormat="1" customHeight="1" spans="10:27">
      <c r="J429" s="2431"/>
      <c r="K429" s="1712"/>
      <c r="L429" s="1712"/>
      <c r="M429" s="1712"/>
      <c r="N429" s="1712"/>
      <c r="O429" s="1712"/>
      <c r="P429" s="1712"/>
      <c r="Q429" s="1712"/>
      <c r="R429" s="1712"/>
      <c r="S429" s="1712"/>
      <c r="T429" s="1712"/>
      <c r="U429" s="1712"/>
      <c r="V429" s="1712"/>
      <c r="W429" s="1712"/>
      <c r="X429" s="1712"/>
      <c r="Y429" s="1712"/>
      <c r="Z429" s="1712"/>
      <c r="AA429" s="1712"/>
    </row>
    <row r="430" s="2429" customFormat="1" customHeight="1" spans="10:27">
      <c r="J430" s="2431"/>
      <c r="K430" s="1712"/>
      <c r="L430" s="1712"/>
      <c r="M430" s="1712"/>
      <c r="N430" s="1712"/>
      <c r="O430" s="1712"/>
      <c r="P430" s="1712"/>
      <c r="Q430" s="1712"/>
      <c r="R430" s="1712"/>
      <c r="S430" s="1712"/>
      <c r="T430" s="1712"/>
      <c r="U430" s="1712"/>
      <c r="V430" s="1712"/>
      <c r="W430" s="1712"/>
      <c r="X430" s="1712"/>
      <c r="Y430" s="1712"/>
      <c r="Z430" s="1712"/>
      <c r="AA430" s="1712"/>
    </row>
    <row r="431" s="2429" customFormat="1" customHeight="1" spans="10:27">
      <c r="J431" s="2431"/>
      <c r="K431" s="1712"/>
      <c r="L431" s="1712"/>
      <c r="M431" s="1712"/>
      <c r="N431" s="1712"/>
      <c r="O431" s="1712"/>
      <c r="P431" s="1712"/>
      <c r="Q431" s="1712"/>
      <c r="R431" s="1712"/>
      <c r="S431" s="1712"/>
      <c r="T431" s="1712"/>
      <c r="U431" s="1712"/>
      <c r="V431" s="1712"/>
      <c r="W431" s="1712"/>
      <c r="X431" s="1712"/>
      <c r="Y431" s="1712"/>
      <c r="Z431" s="1712"/>
      <c r="AA431" s="1712"/>
    </row>
    <row r="432" s="2429" customFormat="1" customHeight="1" spans="10:27">
      <c r="J432" s="2431"/>
      <c r="K432" s="1712"/>
      <c r="L432" s="1712"/>
      <c r="M432" s="1712"/>
      <c r="N432" s="1712"/>
      <c r="O432" s="1712"/>
      <c r="P432" s="1712"/>
      <c r="Q432" s="1712"/>
      <c r="R432" s="1712"/>
      <c r="S432" s="1712"/>
      <c r="T432" s="1712"/>
      <c r="U432" s="1712"/>
      <c r="V432" s="1712"/>
      <c r="W432" s="1712"/>
      <c r="X432" s="1712"/>
      <c r="Y432" s="1712"/>
      <c r="Z432" s="1712"/>
      <c r="AA432" s="1712"/>
    </row>
    <row r="433" s="2429" customFormat="1" customHeight="1" spans="10:27">
      <c r="J433" s="2431"/>
      <c r="K433" s="1712"/>
      <c r="L433" s="1712"/>
      <c r="M433" s="1712"/>
      <c r="N433" s="1712"/>
      <c r="O433" s="1712"/>
      <c r="P433" s="1712"/>
      <c r="Q433" s="1712"/>
      <c r="R433" s="1712"/>
      <c r="S433" s="1712"/>
      <c r="T433" s="1712"/>
      <c r="U433" s="1712"/>
      <c r="V433" s="1712"/>
      <c r="W433" s="1712"/>
      <c r="X433" s="1712"/>
      <c r="Y433" s="1712"/>
      <c r="Z433" s="1712"/>
      <c r="AA433" s="1712"/>
    </row>
    <row r="434" s="2429" customFormat="1" customHeight="1" spans="10:27">
      <c r="J434" s="2431"/>
      <c r="K434" s="1712"/>
      <c r="L434" s="1712"/>
      <c r="M434" s="1712"/>
      <c r="N434" s="1712"/>
      <c r="O434" s="1712"/>
      <c r="P434" s="1712"/>
      <c r="Q434" s="1712"/>
      <c r="R434" s="1712"/>
      <c r="S434" s="1712"/>
      <c r="T434" s="1712"/>
      <c r="U434" s="1712"/>
      <c r="V434" s="1712"/>
      <c r="W434" s="1712"/>
      <c r="X434" s="1712"/>
      <c r="Y434" s="1712"/>
      <c r="Z434" s="1712"/>
      <c r="AA434" s="1712"/>
    </row>
    <row r="435" s="2429" customFormat="1" customHeight="1" spans="10:27">
      <c r="J435" s="2431"/>
      <c r="K435" s="1712"/>
      <c r="L435" s="1712"/>
      <c r="M435" s="1712"/>
      <c r="N435" s="1712"/>
      <c r="O435" s="1712"/>
      <c r="P435" s="1712"/>
      <c r="Q435" s="1712"/>
      <c r="R435" s="1712"/>
      <c r="S435" s="1712"/>
      <c r="T435" s="1712"/>
      <c r="U435" s="1712"/>
      <c r="V435" s="1712"/>
      <c r="W435" s="1712"/>
      <c r="X435" s="1712"/>
      <c r="Y435" s="1712"/>
      <c r="Z435" s="1712"/>
      <c r="AA435" s="1712"/>
    </row>
    <row r="436" s="2429" customFormat="1" customHeight="1" spans="10:27">
      <c r="J436" s="2431"/>
      <c r="K436" s="1712"/>
      <c r="L436" s="1712"/>
      <c r="M436" s="1712"/>
      <c r="N436" s="1712"/>
      <c r="O436" s="1712"/>
      <c r="P436" s="1712"/>
      <c r="Q436" s="1712"/>
      <c r="R436" s="1712"/>
      <c r="S436" s="1712"/>
      <c r="T436" s="1712"/>
      <c r="U436" s="1712"/>
      <c r="V436" s="1712"/>
      <c r="W436" s="1712"/>
      <c r="X436" s="1712"/>
      <c r="Y436" s="1712"/>
      <c r="Z436" s="1712"/>
      <c r="AA436" s="1712"/>
    </row>
    <row r="437" s="2429" customFormat="1" customHeight="1" spans="10:27">
      <c r="J437" s="2431"/>
      <c r="K437" s="1712"/>
      <c r="L437" s="1712"/>
      <c r="M437" s="1712"/>
      <c r="N437" s="1712"/>
      <c r="O437" s="1712"/>
      <c r="P437" s="1712"/>
      <c r="Q437" s="1712"/>
      <c r="R437" s="1712"/>
      <c r="S437" s="1712"/>
      <c r="T437" s="1712"/>
      <c r="U437" s="1712"/>
      <c r="V437" s="1712"/>
      <c r="W437" s="1712"/>
      <c r="X437" s="1712"/>
      <c r="Y437" s="1712"/>
      <c r="Z437" s="1712"/>
      <c r="AA437" s="1712"/>
    </row>
    <row r="438" s="2429" customFormat="1" customHeight="1" spans="10:27">
      <c r="J438" s="2431"/>
      <c r="K438" s="1712"/>
      <c r="L438" s="1712"/>
      <c r="M438" s="1712"/>
      <c r="N438" s="1712"/>
      <c r="O438" s="1712"/>
      <c r="P438" s="1712"/>
      <c r="Q438" s="1712"/>
      <c r="R438" s="1712"/>
      <c r="S438" s="1712"/>
      <c r="T438" s="1712"/>
      <c r="U438" s="1712"/>
      <c r="V438" s="1712"/>
      <c r="W438" s="1712"/>
      <c r="X438" s="1712"/>
      <c r="Y438" s="1712"/>
      <c r="Z438" s="1712"/>
      <c r="AA438" s="1712"/>
    </row>
    <row r="439" s="2429" customFormat="1" customHeight="1" spans="10:27">
      <c r="J439" s="2431"/>
      <c r="K439" s="1712"/>
      <c r="L439" s="1712"/>
      <c r="M439" s="1712"/>
      <c r="N439" s="1712"/>
      <c r="O439" s="1712"/>
      <c r="P439" s="1712"/>
      <c r="Q439" s="1712"/>
      <c r="R439" s="1712"/>
      <c r="S439" s="1712"/>
      <c r="T439" s="1712"/>
      <c r="U439" s="1712"/>
      <c r="V439" s="1712"/>
      <c r="W439" s="1712"/>
      <c r="X439" s="1712"/>
      <c r="Y439" s="1712"/>
      <c r="Z439" s="1712"/>
      <c r="AA439" s="1712"/>
    </row>
    <row r="440" s="2429" customFormat="1" customHeight="1" spans="10:27">
      <c r="J440" s="2431"/>
      <c r="K440" s="1712"/>
      <c r="L440" s="1712"/>
      <c r="M440" s="1712"/>
      <c r="N440" s="1712"/>
      <c r="O440" s="1712"/>
      <c r="P440" s="1712"/>
      <c r="Q440" s="1712"/>
      <c r="R440" s="1712"/>
      <c r="S440" s="1712"/>
      <c r="T440" s="1712"/>
      <c r="U440" s="1712"/>
      <c r="V440" s="1712"/>
      <c r="W440" s="1712"/>
      <c r="X440" s="1712"/>
      <c r="Y440" s="1712"/>
      <c r="Z440" s="1712"/>
      <c r="AA440" s="1712"/>
    </row>
    <row r="441" s="2429" customFormat="1" customHeight="1" spans="10:27">
      <c r="J441" s="2431"/>
      <c r="K441" s="1712"/>
      <c r="L441" s="1712"/>
      <c r="M441" s="1712"/>
      <c r="N441" s="1712"/>
      <c r="O441" s="1712"/>
      <c r="P441" s="1712"/>
      <c r="Q441" s="1712"/>
      <c r="R441" s="1712"/>
      <c r="S441" s="1712"/>
      <c r="T441" s="1712"/>
      <c r="U441" s="1712"/>
      <c r="V441" s="1712"/>
      <c r="W441" s="1712"/>
      <c r="X441" s="1712"/>
      <c r="Y441" s="1712"/>
      <c r="Z441" s="1712"/>
      <c r="AA441" s="1712"/>
    </row>
    <row r="442" s="2429" customFormat="1" customHeight="1" spans="10:27">
      <c r="J442" s="2431"/>
      <c r="K442" s="1712"/>
      <c r="L442" s="1712"/>
      <c r="M442" s="1712"/>
      <c r="N442" s="1712"/>
      <c r="O442" s="1712"/>
      <c r="P442" s="1712"/>
      <c r="Q442" s="1712"/>
      <c r="R442" s="1712"/>
      <c r="S442" s="1712"/>
      <c r="T442" s="1712"/>
      <c r="U442" s="1712"/>
      <c r="V442" s="1712"/>
      <c r="W442" s="1712"/>
      <c r="X442" s="1712"/>
      <c r="Y442" s="1712"/>
      <c r="Z442" s="1712"/>
      <c r="AA442" s="1712"/>
    </row>
    <row r="443" s="2429" customFormat="1" customHeight="1" spans="10:27">
      <c r="J443" s="2431"/>
      <c r="K443" s="1712"/>
      <c r="L443" s="1712"/>
      <c r="M443" s="1712"/>
      <c r="N443" s="1712"/>
      <c r="O443" s="1712"/>
      <c r="P443" s="1712"/>
      <c r="Q443" s="1712"/>
      <c r="R443" s="1712"/>
      <c r="S443" s="1712"/>
      <c r="T443" s="1712"/>
      <c r="U443" s="1712"/>
      <c r="V443" s="1712"/>
      <c r="W443" s="1712"/>
      <c r="X443" s="1712"/>
      <c r="Y443" s="1712"/>
      <c r="Z443" s="1712"/>
      <c r="AA443" s="1712"/>
    </row>
    <row r="444" s="2429" customFormat="1" customHeight="1" spans="10:27">
      <c r="J444" s="2431"/>
      <c r="K444" s="1712"/>
      <c r="L444" s="1712"/>
      <c r="M444" s="1712"/>
      <c r="N444" s="1712"/>
      <c r="O444" s="1712"/>
      <c r="P444" s="1712"/>
      <c r="Q444" s="1712"/>
      <c r="R444" s="1712"/>
      <c r="S444" s="1712"/>
      <c r="T444" s="1712"/>
      <c r="U444" s="1712"/>
      <c r="V444" s="1712"/>
      <c r="W444" s="1712"/>
      <c r="X444" s="1712"/>
      <c r="Y444" s="1712"/>
      <c r="Z444" s="1712"/>
      <c r="AA444" s="1712"/>
    </row>
    <row r="445" s="2429" customFormat="1" customHeight="1" spans="10:27">
      <c r="J445" s="2431"/>
      <c r="K445" s="1712"/>
      <c r="L445" s="1712"/>
      <c r="M445" s="1712"/>
      <c r="N445" s="1712"/>
      <c r="O445" s="1712"/>
      <c r="P445" s="1712"/>
      <c r="Q445" s="1712"/>
      <c r="R445" s="1712"/>
      <c r="S445" s="1712"/>
      <c r="T445" s="1712"/>
      <c r="U445" s="1712"/>
      <c r="V445" s="1712"/>
      <c r="W445" s="1712"/>
      <c r="X445" s="1712"/>
      <c r="Y445" s="1712"/>
      <c r="Z445" s="1712"/>
      <c r="AA445" s="1712"/>
    </row>
    <row r="446" s="2429" customFormat="1" customHeight="1" spans="10:27">
      <c r="J446" s="2431"/>
      <c r="K446" s="1712"/>
      <c r="L446" s="1712"/>
      <c r="M446" s="1712"/>
      <c r="N446" s="1712"/>
      <c r="O446" s="1712"/>
      <c r="P446" s="1712"/>
      <c r="Q446" s="1712"/>
      <c r="R446" s="1712"/>
      <c r="S446" s="1712"/>
      <c r="T446" s="1712"/>
      <c r="U446" s="1712"/>
      <c r="V446" s="1712"/>
      <c r="W446" s="1712"/>
      <c r="X446" s="1712"/>
      <c r="Y446" s="1712"/>
      <c r="Z446" s="1712"/>
      <c r="AA446" s="1712"/>
    </row>
    <row r="447" s="2429" customFormat="1" customHeight="1" spans="10:27">
      <c r="J447" s="2431"/>
      <c r="K447" s="1712"/>
      <c r="L447" s="1712"/>
      <c r="M447" s="1712"/>
      <c r="N447" s="1712"/>
      <c r="O447" s="1712"/>
      <c r="P447" s="1712"/>
      <c r="Q447" s="1712"/>
      <c r="R447" s="1712"/>
      <c r="S447" s="1712"/>
      <c r="T447" s="1712"/>
      <c r="U447" s="1712"/>
      <c r="V447" s="1712"/>
      <c r="W447" s="1712"/>
      <c r="X447" s="1712"/>
      <c r="Y447" s="1712"/>
      <c r="Z447" s="1712"/>
      <c r="AA447" s="1712"/>
    </row>
    <row r="448" s="2429" customFormat="1" customHeight="1" spans="10:27">
      <c r="J448" s="2431"/>
      <c r="K448" s="1712"/>
      <c r="L448" s="1712"/>
      <c r="M448" s="1712"/>
      <c r="N448" s="1712"/>
      <c r="O448" s="1712"/>
      <c r="P448" s="1712"/>
      <c r="Q448" s="1712"/>
      <c r="R448" s="1712"/>
      <c r="S448" s="1712"/>
      <c r="T448" s="1712"/>
      <c r="U448" s="1712"/>
      <c r="V448" s="1712"/>
      <c r="W448" s="1712"/>
      <c r="X448" s="1712"/>
      <c r="Y448" s="1712"/>
      <c r="Z448" s="1712"/>
      <c r="AA448" s="1712"/>
    </row>
    <row r="449" s="2429" customFormat="1" customHeight="1" spans="10:27">
      <c r="J449" s="2431"/>
      <c r="K449" s="1712"/>
      <c r="L449" s="1712"/>
      <c r="M449" s="1712"/>
      <c r="N449" s="1712"/>
      <c r="O449" s="1712"/>
      <c r="P449" s="1712"/>
      <c r="Q449" s="1712"/>
      <c r="R449" s="1712"/>
      <c r="S449" s="1712"/>
      <c r="T449" s="1712"/>
      <c r="U449" s="1712"/>
      <c r="V449" s="1712"/>
      <c r="W449" s="1712"/>
      <c r="X449" s="1712"/>
      <c r="Y449" s="1712"/>
      <c r="Z449" s="1712"/>
      <c r="AA449" s="1712"/>
    </row>
    <row r="450" s="2429" customFormat="1" customHeight="1" spans="10:27">
      <c r="J450" s="2431"/>
      <c r="K450" s="1712"/>
      <c r="L450" s="1712"/>
      <c r="M450" s="1712"/>
      <c r="N450" s="1712"/>
      <c r="O450" s="1712"/>
      <c r="P450" s="1712"/>
      <c r="Q450" s="1712"/>
      <c r="R450" s="1712"/>
      <c r="S450" s="1712"/>
      <c r="T450" s="1712"/>
      <c r="U450" s="1712"/>
      <c r="V450" s="1712"/>
      <c r="W450" s="1712"/>
      <c r="X450" s="1712"/>
      <c r="Y450" s="1712"/>
      <c r="Z450" s="1712"/>
      <c r="AA450" s="1712"/>
    </row>
    <row r="451" s="2429" customFormat="1" customHeight="1" spans="10:27">
      <c r="J451" s="2431"/>
      <c r="K451" s="1712"/>
      <c r="L451" s="1712"/>
      <c r="M451" s="1712"/>
      <c r="N451" s="1712"/>
      <c r="O451" s="1712"/>
      <c r="P451" s="1712"/>
      <c r="Q451" s="1712"/>
      <c r="R451" s="1712"/>
      <c r="S451" s="1712"/>
      <c r="T451" s="1712"/>
      <c r="U451" s="1712"/>
      <c r="V451" s="1712"/>
      <c r="W451" s="1712"/>
      <c r="X451" s="1712"/>
      <c r="Y451" s="1712"/>
      <c r="Z451" s="1712"/>
      <c r="AA451" s="1712"/>
    </row>
    <row r="452" s="2429" customFormat="1" customHeight="1" spans="10:27">
      <c r="J452" s="2431"/>
      <c r="K452" s="1712"/>
      <c r="L452" s="1712"/>
      <c r="M452" s="1712"/>
      <c r="N452" s="1712"/>
      <c r="O452" s="1712"/>
      <c r="P452" s="1712"/>
      <c r="Q452" s="1712"/>
      <c r="R452" s="1712"/>
      <c r="S452" s="1712"/>
      <c r="T452" s="1712"/>
      <c r="U452" s="1712"/>
      <c r="V452" s="1712"/>
      <c r="W452" s="1712"/>
      <c r="X452" s="1712"/>
      <c r="Y452" s="1712"/>
      <c r="Z452" s="1712"/>
      <c r="AA452" s="1712"/>
    </row>
    <row r="453" s="2429" customFormat="1" customHeight="1" spans="10:27">
      <c r="J453" s="2431"/>
      <c r="K453" s="1712"/>
      <c r="L453" s="1712"/>
      <c r="M453" s="1712"/>
      <c r="N453" s="1712"/>
      <c r="O453" s="1712"/>
      <c r="P453" s="1712"/>
      <c r="Q453" s="1712"/>
      <c r="R453" s="1712"/>
      <c r="S453" s="1712"/>
      <c r="T453" s="1712"/>
      <c r="U453" s="1712"/>
      <c r="V453" s="1712"/>
      <c r="W453" s="1712"/>
      <c r="X453" s="1712"/>
      <c r="Y453" s="1712"/>
      <c r="Z453" s="1712"/>
      <c r="AA453" s="1712"/>
    </row>
    <row r="454" s="2429" customFormat="1" customHeight="1" spans="10:27">
      <c r="J454" s="2431"/>
      <c r="K454" s="1712"/>
      <c r="L454" s="1712"/>
      <c r="M454" s="1712"/>
      <c r="N454" s="1712"/>
      <c r="O454" s="1712"/>
      <c r="P454" s="1712"/>
      <c r="Q454" s="1712"/>
      <c r="R454" s="1712"/>
      <c r="S454" s="1712"/>
      <c r="T454" s="1712"/>
      <c r="U454" s="1712"/>
      <c r="V454" s="1712"/>
      <c r="W454" s="1712"/>
      <c r="X454" s="1712"/>
      <c r="Y454" s="1712"/>
      <c r="Z454" s="1712"/>
      <c r="AA454" s="1712"/>
    </row>
    <row r="455" s="2429" customFormat="1" customHeight="1" spans="10:27">
      <c r="J455" s="2431"/>
      <c r="K455" s="1712"/>
      <c r="L455" s="1712"/>
      <c r="M455" s="1712"/>
      <c r="N455" s="1712"/>
      <c r="O455" s="1712"/>
      <c r="P455" s="1712"/>
      <c r="Q455" s="1712"/>
      <c r="R455" s="1712"/>
      <c r="S455" s="1712"/>
      <c r="T455" s="1712"/>
      <c r="U455" s="1712"/>
      <c r="V455" s="1712"/>
      <c r="W455" s="1712"/>
      <c r="X455" s="1712"/>
      <c r="Y455" s="1712"/>
      <c r="Z455" s="1712"/>
      <c r="AA455" s="1712"/>
    </row>
    <row r="456" s="2429" customFormat="1" customHeight="1" spans="10:27">
      <c r="J456" s="2431"/>
      <c r="K456" s="1712"/>
      <c r="L456" s="1712"/>
      <c r="M456" s="1712"/>
      <c r="N456" s="1712"/>
      <c r="O456" s="1712"/>
      <c r="P456" s="1712"/>
      <c r="Q456" s="1712"/>
      <c r="R456" s="1712"/>
      <c r="S456" s="1712"/>
      <c r="T456" s="1712"/>
      <c r="U456" s="1712"/>
      <c r="V456" s="1712"/>
      <c r="W456" s="1712"/>
      <c r="X456" s="1712"/>
      <c r="Y456" s="1712"/>
      <c r="Z456" s="1712"/>
      <c r="AA456" s="1712"/>
    </row>
    <row r="457" s="2429" customFormat="1" customHeight="1" spans="10:27">
      <c r="J457" s="2431"/>
      <c r="K457" s="1712"/>
      <c r="L457" s="1712"/>
      <c r="M457" s="1712"/>
      <c r="N457" s="1712"/>
      <c r="O457" s="1712"/>
      <c r="P457" s="1712"/>
      <c r="Q457" s="1712"/>
      <c r="R457" s="1712"/>
      <c r="S457" s="1712"/>
      <c r="T457" s="1712"/>
      <c r="U457" s="1712"/>
      <c r="V457" s="1712"/>
      <c r="W457" s="1712"/>
      <c r="X457" s="1712"/>
      <c r="Y457" s="1712"/>
      <c r="Z457" s="1712"/>
      <c r="AA457" s="1712"/>
    </row>
    <row r="458" s="2429" customFormat="1" customHeight="1" spans="10:27">
      <c r="J458" s="2431"/>
      <c r="K458" s="1712"/>
      <c r="L458" s="1712"/>
      <c r="M458" s="1712"/>
      <c r="N458" s="1712"/>
      <c r="O458" s="1712"/>
      <c r="P458" s="1712"/>
      <c r="Q458" s="1712"/>
      <c r="R458" s="1712"/>
      <c r="S458" s="1712"/>
      <c r="T458" s="1712"/>
      <c r="U458" s="1712"/>
      <c r="V458" s="1712"/>
      <c r="W458" s="1712"/>
      <c r="X458" s="1712"/>
      <c r="Y458" s="1712"/>
      <c r="Z458" s="1712"/>
      <c r="AA458" s="1712"/>
    </row>
    <row r="459" s="2429" customFormat="1" customHeight="1" spans="10:27">
      <c r="J459" s="2431"/>
      <c r="K459" s="1712"/>
      <c r="L459" s="1712"/>
      <c r="M459" s="1712"/>
      <c r="N459" s="1712"/>
      <c r="O459" s="1712"/>
      <c r="P459" s="1712"/>
      <c r="Q459" s="1712"/>
      <c r="R459" s="1712"/>
      <c r="S459" s="1712"/>
      <c r="T459" s="1712"/>
      <c r="U459" s="1712"/>
      <c r="V459" s="1712"/>
      <c r="W459" s="1712"/>
      <c r="X459" s="1712"/>
      <c r="Y459" s="1712"/>
      <c r="Z459" s="1712"/>
      <c r="AA459" s="1712"/>
    </row>
    <row r="460" s="2429" customFormat="1" customHeight="1" spans="10:27">
      <c r="J460" s="2431"/>
      <c r="K460" s="1712"/>
      <c r="L460" s="1712"/>
      <c r="M460" s="1712"/>
      <c r="N460" s="1712"/>
      <c r="O460" s="1712"/>
      <c r="P460" s="1712"/>
      <c r="Q460" s="1712"/>
      <c r="R460" s="1712"/>
      <c r="S460" s="1712"/>
      <c r="T460" s="1712"/>
      <c r="U460" s="1712"/>
      <c r="V460" s="1712"/>
      <c r="W460" s="1712"/>
      <c r="X460" s="1712"/>
      <c r="Y460" s="1712"/>
      <c r="Z460" s="1712"/>
      <c r="AA460" s="1712"/>
    </row>
    <row r="461" s="2429" customFormat="1" customHeight="1" spans="10:27">
      <c r="J461" s="2431"/>
      <c r="K461" s="1712"/>
      <c r="L461" s="1712"/>
      <c r="M461" s="1712"/>
      <c r="N461" s="1712"/>
      <c r="O461" s="1712"/>
      <c r="P461" s="1712"/>
      <c r="Q461" s="1712"/>
      <c r="R461" s="1712"/>
      <c r="S461" s="1712"/>
      <c r="T461" s="1712"/>
      <c r="U461" s="1712"/>
      <c r="V461" s="1712"/>
      <c r="W461" s="1712"/>
      <c r="X461" s="1712"/>
      <c r="Y461" s="1712"/>
      <c r="Z461" s="1712"/>
      <c r="AA461" s="1712"/>
    </row>
    <row r="462" s="2429" customFormat="1" customHeight="1" spans="10:27">
      <c r="J462" s="2431"/>
      <c r="K462" s="1712"/>
      <c r="L462" s="1712"/>
      <c r="M462" s="1712"/>
      <c r="N462" s="1712"/>
      <c r="O462" s="1712"/>
      <c r="P462" s="1712"/>
      <c r="Q462" s="1712"/>
      <c r="R462" s="1712"/>
      <c r="S462" s="1712"/>
      <c r="T462" s="1712"/>
      <c r="U462" s="1712"/>
      <c r="V462" s="1712"/>
      <c r="W462" s="1712"/>
      <c r="X462" s="1712"/>
      <c r="Y462" s="1712"/>
      <c r="Z462" s="1712"/>
      <c r="AA462" s="1712"/>
    </row>
    <row r="463" s="2429" customFormat="1" customHeight="1" spans="10:27">
      <c r="J463" s="2431"/>
      <c r="K463" s="1712"/>
      <c r="L463" s="1712"/>
      <c r="M463" s="1712"/>
      <c r="N463" s="1712"/>
      <c r="O463" s="1712"/>
      <c r="P463" s="1712"/>
      <c r="Q463" s="1712"/>
      <c r="R463" s="1712"/>
      <c r="S463" s="1712"/>
      <c r="T463" s="1712"/>
      <c r="U463" s="1712"/>
      <c r="V463" s="1712"/>
      <c r="W463" s="1712"/>
      <c r="X463" s="1712"/>
      <c r="Y463" s="1712"/>
      <c r="Z463" s="1712"/>
      <c r="AA463" s="1712"/>
    </row>
    <row r="464" s="2429" customFormat="1" customHeight="1" spans="10:27">
      <c r="J464" s="2431"/>
      <c r="K464" s="1712"/>
      <c r="L464" s="1712"/>
      <c r="M464" s="1712"/>
      <c r="N464" s="1712"/>
      <c r="O464" s="1712"/>
      <c r="P464" s="1712"/>
      <c r="Q464" s="1712"/>
      <c r="R464" s="1712"/>
      <c r="S464" s="1712"/>
      <c r="T464" s="1712"/>
      <c r="U464" s="1712"/>
      <c r="V464" s="1712"/>
      <c r="W464" s="1712"/>
      <c r="X464" s="1712"/>
      <c r="Y464" s="1712"/>
      <c r="Z464" s="1712"/>
      <c r="AA464" s="1712"/>
    </row>
    <row r="465" s="2429" customFormat="1" customHeight="1" spans="10:27">
      <c r="J465" s="2431"/>
      <c r="K465" s="1712"/>
      <c r="L465" s="1712"/>
      <c r="M465" s="1712"/>
      <c r="N465" s="1712"/>
      <c r="O465" s="1712"/>
      <c r="P465" s="1712"/>
      <c r="Q465" s="1712"/>
      <c r="R465" s="1712"/>
      <c r="S465" s="1712"/>
      <c r="T465" s="1712"/>
      <c r="U465" s="1712"/>
      <c r="V465" s="1712"/>
      <c r="W465" s="1712"/>
      <c r="X465" s="1712"/>
      <c r="Y465" s="1712"/>
      <c r="Z465" s="1712"/>
      <c r="AA465" s="1712"/>
    </row>
    <row r="466" s="2429" customFormat="1" customHeight="1" spans="10:27">
      <c r="J466" s="2431"/>
      <c r="K466" s="1712"/>
      <c r="L466" s="1712"/>
      <c r="M466" s="1712"/>
      <c r="N466" s="1712"/>
      <c r="O466" s="1712"/>
      <c r="P466" s="1712"/>
      <c r="Q466" s="1712"/>
      <c r="R466" s="1712"/>
      <c r="S466" s="1712"/>
      <c r="T466" s="1712"/>
      <c r="U466" s="1712"/>
      <c r="V466" s="1712"/>
      <c r="W466" s="1712"/>
      <c r="X466" s="1712"/>
      <c r="Y466" s="1712"/>
      <c r="Z466" s="1712"/>
      <c r="AA466" s="1712"/>
    </row>
    <row r="467" s="2429" customFormat="1" customHeight="1" spans="10:27">
      <c r="J467" s="2431"/>
      <c r="K467" s="1712"/>
      <c r="L467" s="1712"/>
      <c r="M467" s="1712"/>
      <c r="N467" s="1712"/>
      <c r="O467" s="1712"/>
      <c r="P467" s="1712"/>
      <c r="Q467" s="1712"/>
      <c r="R467" s="1712"/>
      <c r="S467" s="1712"/>
      <c r="T467" s="1712"/>
      <c r="U467" s="1712"/>
      <c r="V467" s="1712"/>
      <c r="W467" s="1712"/>
      <c r="X467" s="1712"/>
      <c r="Y467" s="1712"/>
      <c r="Z467" s="1712"/>
      <c r="AA467" s="1712"/>
    </row>
    <row r="468" s="2429" customFormat="1" customHeight="1" spans="10:27">
      <c r="J468" s="2431"/>
      <c r="K468" s="1712"/>
      <c r="L468" s="1712"/>
      <c r="M468" s="1712"/>
      <c r="N468" s="1712"/>
      <c r="O468" s="1712"/>
      <c r="P468" s="1712"/>
      <c r="Q468" s="1712"/>
      <c r="R468" s="1712"/>
      <c r="S468" s="1712"/>
      <c r="T468" s="1712"/>
      <c r="U468" s="1712"/>
      <c r="V468" s="1712"/>
      <c r="W468" s="1712"/>
      <c r="X468" s="1712"/>
      <c r="Y468" s="1712"/>
      <c r="Z468" s="1712"/>
      <c r="AA468" s="1712"/>
    </row>
    <row r="469" s="2429" customFormat="1" customHeight="1" spans="10:27">
      <c r="J469" s="2431"/>
      <c r="K469" s="1712"/>
      <c r="L469" s="1712"/>
      <c r="M469" s="1712"/>
      <c r="N469" s="1712"/>
      <c r="O469" s="1712"/>
      <c r="P469" s="1712"/>
      <c r="Q469" s="1712"/>
      <c r="R469" s="1712"/>
      <c r="S469" s="1712"/>
      <c r="T469" s="1712"/>
      <c r="U469" s="1712"/>
      <c r="V469" s="1712"/>
      <c r="W469" s="1712"/>
      <c r="X469" s="1712"/>
      <c r="Y469" s="1712"/>
      <c r="Z469" s="1712"/>
      <c r="AA469" s="1712"/>
    </row>
    <row r="470" s="2429" customFormat="1" customHeight="1" spans="10:27">
      <c r="J470" s="2431"/>
      <c r="K470" s="1712"/>
      <c r="L470" s="1712"/>
      <c r="M470" s="1712"/>
      <c r="N470" s="1712"/>
      <c r="O470" s="1712"/>
      <c r="P470" s="1712"/>
      <c r="Q470" s="1712"/>
      <c r="R470" s="1712"/>
      <c r="S470" s="1712"/>
      <c r="T470" s="1712"/>
      <c r="U470" s="1712"/>
      <c r="V470" s="1712"/>
      <c r="W470" s="1712"/>
      <c r="X470" s="1712"/>
      <c r="Y470" s="1712"/>
      <c r="Z470" s="1712"/>
      <c r="AA470" s="1712"/>
    </row>
    <row r="471" s="2429" customFormat="1" customHeight="1" spans="10:27">
      <c r="J471" s="2431"/>
      <c r="K471" s="1712"/>
      <c r="L471" s="1712"/>
      <c r="M471" s="1712"/>
      <c r="N471" s="1712"/>
      <c r="O471" s="1712"/>
      <c r="P471" s="1712"/>
      <c r="Q471" s="1712"/>
      <c r="R471" s="1712"/>
      <c r="S471" s="1712"/>
      <c r="T471" s="1712"/>
      <c r="U471" s="1712"/>
      <c r="V471" s="1712"/>
      <c r="W471" s="1712"/>
      <c r="X471" s="1712"/>
      <c r="Y471" s="1712"/>
      <c r="Z471" s="1712"/>
      <c r="AA471" s="1712"/>
    </row>
    <row r="472" s="2429" customFormat="1" customHeight="1" spans="10:27">
      <c r="J472" s="2431"/>
      <c r="K472" s="1712"/>
      <c r="L472" s="1712"/>
      <c r="M472" s="1712"/>
      <c r="N472" s="1712"/>
      <c r="O472" s="1712"/>
      <c r="P472" s="1712"/>
      <c r="Q472" s="1712"/>
      <c r="R472" s="1712"/>
      <c r="S472" s="1712"/>
      <c r="T472" s="1712"/>
      <c r="U472" s="1712"/>
      <c r="V472" s="1712"/>
      <c r="W472" s="1712"/>
      <c r="X472" s="1712"/>
      <c r="Y472" s="1712"/>
      <c r="Z472" s="1712"/>
      <c r="AA472" s="1712"/>
    </row>
    <row r="473" s="2429" customFormat="1" customHeight="1" spans="10:27">
      <c r="J473" s="2431"/>
      <c r="K473" s="1712"/>
      <c r="L473" s="1712"/>
      <c r="M473" s="1712"/>
      <c r="N473" s="1712"/>
      <c r="O473" s="1712"/>
      <c r="P473" s="1712"/>
      <c r="Q473" s="1712"/>
      <c r="R473" s="1712"/>
      <c r="S473" s="1712"/>
      <c r="T473" s="1712"/>
      <c r="U473" s="1712"/>
      <c r="V473" s="1712"/>
      <c r="W473" s="1712"/>
      <c r="X473" s="1712"/>
      <c r="Y473" s="1712"/>
      <c r="Z473" s="1712"/>
      <c r="AA473" s="1712"/>
    </row>
    <row r="474" s="2429" customFormat="1" customHeight="1" spans="10:27">
      <c r="J474" s="2431"/>
      <c r="K474" s="1712"/>
      <c r="L474" s="1712"/>
      <c r="M474" s="1712"/>
      <c r="N474" s="1712"/>
      <c r="O474" s="1712"/>
      <c r="P474" s="1712"/>
      <c r="Q474" s="1712"/>
      <c r="R474" s="1712"/>
      <c r="S474" s="1712"/>
      <c r="T474" s="1712"/>
      <c r="U474" s="1712"/>
      <c r="V474" s="1712"/>
      <c r="W474" s="1712"/>
      <c r="X474" s="1712"/>
      <c r="Y474" s="1712"/>
      <c r="Z474" s="1712"/>
      <c r="AA474" s="1712"/>
    </row>
    <row r="475" s="2429" customFormat="1" customHeight="1" spans="10:27">
      <c r="J475" s="2431"/>
      <c r="K475" s="1712"/>
      <c r="L475" s="1712"/>
      <c r="M475" s="1712"/>
      <c r="N475" s="1712"/>
      <c r="O475" s="1712"/>
      <c r="P475" s="1712"/>
      <c r="Q475" s="1712"/>
      <c r="R475" s="1712"/>
      <c r="S475" s="1712"/>
      <c r="T475" s="1712"/>
      <c r="U475" s="1712"/>
      <c r="V475" s="1712"/>
      <c r="W475" s="1712"/>
      <c r="X475" s="1712"/>
      <c r="Y475" s="1712"/>
      <c r="Z475" s="1712"/>
      <c r="AA475" s="1712"/>
    </row>
    <row r="476" s="2429" customFormat="1" customHeight="1" spans="10:27">
      <c r="J476" s="2431"/>
      <c r="K476" s="1712"/>
      <c r="L476" s="1712"/>
      <c r="M476" s="1712"/>
      <c r="N476" s="1712"/>
      <c r="O476" s="1712"/>
      <c r="P476" s="1712"/>
      <c r="Q476" s="1712"/>
      <c r="R476" s="1712"/>
      <c r="S476" s="1712"/>
      <c r="T476" s="1712"/>
      <c r="U476" s="1712"/>
      <c r="V476" s="1712"/>
      <c r="W476" s="1712"/>
      <c r="X476" s="1712"/>
      <c r="Y476" s="1712"/>
      <c r="Z476" s="1712"/>
      <c r="AA476" s="1712"/>
    </row>
    <row r="477" s="2429" customFormat="1" customHeight="1" spans="10:27">
      <c r="J477" s="2431"/>
      <c r="K477" s="1712"/>
      <c r="L477" s="1712"/>
      <c r="M477" s="1712"/>
      <c r="N477" s="1712"/>
      <c r="O477" s="1712"/>
      <c r="P477" s="1712"/>
      <c r="Q477" s="1712"/>
      <c r="R477" s="1712"/>
      <c r="S477" s="1712"/>
      <c r="T477" s="1712"/>
      <c r="U477" s="1712"/>
      <c r="V477" s="1712"/>
      <c r="W477" s="1712"/>
      <c r="X477" s="1712"/>
      <c r="Y477" s="1712"/>
      <c r="Z477" s="1712"/>
      <c r="AA477" s="1712"/>
    </row>
    <row r="478" s="2429" customFormat="1" customHeight="1" spans="10:27">
      <c r="J478" s="2431"/>
      <c r="K478" s="1712"/>
      <c r="L478" s="1712"/>
      <c r="M478" s="1712"/>
      <c r="N478" s="1712"/>
      <c r="O478" s="1712"/>
      <c r="P478" s="1712"/>
      <c r="Q478" s="1712"/>
      <c r="R478" s="1712"/>
      <c r="S478" s="1712"/>
      <c r="T478" s="1712"/>
      <c r="U478" s="1712"/>
      <c r="V478" s="1712"/>
      <c r="W478" s="1712"/>
      <c r="X478" s="1712"/>
      <c r="Y478" s="1712"/>
      <c r="Z478" s="1712"/>
      <c r="AA478" s="1712"/>
    </row>
    <row r="479" s="2429" customFormat="1" customHeight="1" spans="10:27">
      <c r="J479" s="2431"/>
      <c r="K479" s="1712"/>
      <c r="L479" s="1712"/>
      <c r="M479" s="1712"/>
      <c r="N479" s="1712"/>
      <c r="O479" s="1712"/>
      <c r="P479" s="1712"/>
      <c r="Q479" s="1712"/>
      <c r="R479" s="1712"/>
      <c r="S479" s="1712"/>
      <c r="T479" s="1712"/>
      <c r="U479" s="1712"/>
      <c r="V479" s="1712"/>
      <c r="W479" s="1712"/>
      <c r="X479" s="1712"/>
      <c r="Y479" s="1712"/>
      <c r="Z479" s="1712"/>
      <c r="AA479" s="1712"/>
    </row>
    <row r="480" s="2429" customFormat="1" customHeight="1" spans="10:27">
      <c r="J480" s="2431"/>
      <c r="K480" s="1712"/>
      <c r="L480" s="1712"/>
      <c r="M480" s="1712"/>
      <c r="N480" s="1712"/>
      <c r="O480" s="1712"/>
      <c r="P480" s="1712"/>
      <c r="Q480" s="1712"/>
      <c r="R480" s="1712"/>
      <c r="S480" s="1712"/>
      <c r="T480" s="1712"/>
      <c r="U480" s="1712"/>
      <c r="V480" s="1712"/>
      <c r="W480" s="1712"/>
      <c r="X480" s="1712"/>
      <c r="Y480" s="1712"/>
      <c r="Z480" s="1712"/>
      <c r="AA480" s="1712"/>
    </row>
    <row r="481" s="2429" customFormat="1" customHeight="1" spans="10:27">
      <c r="J481" s="2431"/>
      <c r="K481" s="1712"/>
      <c r="L481" s="1712"/>
      <c r="M481" s="1712"/>
      <c r="N481" s="1712"/>
      <c r="O481" s="1712"/>
      <c r="P481" s="1712"/>
      <c r="Q481" s="1712"/>
      <c r="R481" s="1712"/>
      <c r="S481" s="1712"/>
      <c r="T481" s="1712"/>
      <c r="U481" s="1712"/>
      <c r="V481" s="1712"/>
      <c r="W481" s="1712"/>
      <c r="X481" s="1712"/>
      <c r="Y481" s="1712"/>
      <c r="Z481" s="1712"/>
      <c r="AA481" s="1712"/>
    </row>
    <row r="482" s="2429" customFormat="1" customHeight="1" spans="10:27">
      <c r="J482" s="2431"/>
      <c r="K482" s="1712"/>
      <c r="L482" s="1712"/>
      <c r="M482" s="1712"/>
      <c r="N482" s="1712"/>
      <c r="O482" s="1712"/>
      <c r="P482" s="1712"/>
      <c r="Q482" s="1712"/>
      <c r="R482" s="1712"/>
      <c r="S482" s="1712"/>
      <c r="T482" s="1712"/>
      <c r="U482" s="1712"/>
      <c r="V482" s="1712"/>
      <c r="W482" s="1712"/>
      <c r="X482" s="1712"/>
      <c r="Y482" s="1712"/>
      <c r="Z482" s="1712"/>
      <c r="AA482" s="1712"/>
    </row>
    <row r="483" s="2429" customFormat="1" customHeight="1" spans="10:27">
      <c r="J483" s="2431"/>
      <c r="K483" s="1712"/>
      <c r="L483" s="1712"/>
      <c r="M483" s="1712"/>
      <c r="N483" s="1712"/>
      <c r="O483" s="1712"/>
      <c r="P483" s="1712"/>
      <c r="Q483" s="1712"/>
      <c r="R483" s="1712"/>
      <c r="S483" s="1712"/>
      <c r="T483" s="1712"/>
      <c r="U483" s="1712"/>
      <c r="V483" s="1712"/>
      <c r="W483" s="1712"/>
      <c r="X483" s="1712"/>
      <c r="Y483" s="1712"/>
      <c r="Z483" s="1712"/>
      <c r="AA483" s="1712"/>
    </row>
    <row r="484" s="2429" customFormat="1" customHeight="1" spans="10:27">
      <c r="J484" s="2431"/>
      <c r="K484" s="1712"/>
      <c r="L484" s="1712"/>
      <c r="M484" s="1712"/>
      <c r="N484" s="1712"/>
      <c r="O484" s="1712"/>
      <c r="P484" s="1712"/>
      <c r="Q484" s="1712"/>
      <c r="R484" s="1712"/>
      <c r="S484" s="1712"/>
      <c r="T484" s="1712"/>
      <c r="U484" s="1712"/>
      <c r="V484" s="1712"/>
      <c r="W484" s="1712"/>
      <c r="X484" s="1712"/>
      <c r="Y484" s="1712"/>
      <c r="Z484" s="1712"/>
      <c r="AA484" s="1712"/>
    </row>
    <row r="485" s="2429" customFormat="1" customHeight="1" spans="10:27">
      <c r="J485" s="2431"/>
      <c r="K485" s="1712"/>
      <c r="L485" s="1712"/>
      <c r="M485" s="1712"/>
      <c r="N485" s="1712"/>
      <c r="O485" s="1712"/>
      <c r="P485" s="1712"/>
      <c r="Q485" s="1712"/>
      <c r="R485" s="1712"/>
      <c r="S485" s="1712"/>
      <c r="T485" s="1712"/>
      <c r="U485" s="1712"/>
      <c r="V485" s="1712"/>
      <c r="W485" s="1712"/>
      <c r="X485" s="1712"/>
      <c r="Y485" s="1712"/>
      <c r="Z485" s="1712"/>
      <c r="AA485" s="1712"/>
    </row>
    <row r="486" s="2429" customFormat="1" customHeight="1" spans="10:27">
      <c r="J486" s="2431"/>
      <c r="K486" s="1712"/>
      <c r="L486" s="1712"/>
      <c r="M486" s="1712"/>
      <c r="N486" s="1712"/>
      <c r="O486" s="1712"/>
      <c r="P486" s="1712"/>
      <c r="Q486" s="1712"/>
      <c r="R486" s="1712"/>
      <c r="S486" s="1712"/>
      <c r="T486" s="1712"/>
      <c r="U486" s="1712"/>
      <c r="V486" s="1712"/>
      <c r="W486" s="1712"/>
      <c r="X486" s="1712"/>
      <c r="Y486" s="1712"/>
      <c r="Z486" s="1712"/>
      <c r="AA486" s="1712"/>
    </row>
    <row r="487" s="2429" customFormat="1" customHeight="1" spans="10:27">
      <c r="J487" s="2431"/>
      <c r="K487" s="1712"/>
      <c r="L487" s="1712"/>
      <c r="M487" s="1712"/>
      <c r="N487" s="1712"/>
      <c r="O487" s="1712"/>
      <c r="P487" s="1712"/>
      <c r="Q487" s="1712"/>
      <c r="R487" s="1712"/>
      <c r="S487" s="1712"/>
      <c r="T487" s="1712"/>
      <c r="U487" s="1712"/>
      <c r="V487" s="1712"/>
      <c r="W487" s="1712"/>
      <c r="X487" s="1712"/>
      <c r="Y487" s="1712"/>
      <c r="Z487" s="1712"/>
      <c r="AA487" s="1712"/>
    </row>
    <row r="488" s="2429" customFormat="1" customHeight="1" spans="10:27">
      <c r="J488" s="2431"/>
      <c r="K488" s="1712"/>
      <c r="L488" s="1712"/>
      <c r="M488" s="1712"/>
      <c r="N488" s="1712"/>
      <c r="O488" s="1712"/>
      <c r="P488" s="1712"/>
      <c r="Q488" s="1712"/>
      <c r="R488" s="1712"/>
      <c r="S488" s="1712"/>
      <c r="T488" s="1712"/>
      <c r="U488" s="1712"/>
      <c r="V488" s="1712"/>
      <c r="W488" s="1712"/>
      <c r="X488" s="1712"/>
      <c r="Y488" s="1712"/>
      <c r="Z488" s="1712"/>
      <c r="AA488" s="1712"/>
    </row>
    <row r="489" s="2429" customFormat="1" customHeight="1" spans="10:27">
      <c r="J489" s="2431"/>
      <c r="K489" s="1712"/>
      <c r="L489" s="1712"/>
      <c r="M489" s="1712"/>
      <c r="N489" s="1712"/>
      <c r="O489" s="1712"/>
      <c r="P489" s="1712"/>
      <c r="Q489" s="1712"/>
      <c r="R489" s="1712"/>
      <c r="S489" s="1712"/>
      <c r="T489" s="1712"/>
      <c r="U489" s="1712"/>
      <c r="V489" s="1712"/>
      <c r="W489" s="1712"/>
      <c r="X489" s="1712"/>
      <c r="Y489" s="1712"/>
      <c r="Z489" s="1712"/>
      <c r="AA489" s="1712"/>
    </row>
    <row r="490" s="2429" customFormat="1" customHeight="1" spans="10:27">
      <c r="J490" s="2431"/>
      <c r="K490" s="1712"/>
      <c r="L490" s="1712"/>
      <c r="M490" s="1712"/>
      <c r="N490" s="1712"/>
      <c r="O490" s="1712"/>
      <c r="P490" s="1712"/>
      <c r="Q490" s="1712"/>
      <c r="R490" s="1712"/>
      <c r="S490" s="1712"/>
      <c r="T490" s="1712"/>
      <c r="U490" s="1712"/>
      <c r="V490" s="1712"/>
      <c r="W490" s="1712"/>
      <c r="X490" s="1712"/>
      <c r="Y490" s="1712"/>
      <c r="Z490" s="1712"/>
      <c r="AA490" s="1712"/>
    </row>
    <row r="491" s="2429" customFormat="1" customHeight="1" spans="10:27">
      <c r="J491" s="2431"/>
      <c r="K491" s="1712"/>
      <c r="L491" s="1712"/>
      <c r="M491" s="1712"/>
      <c r="N491" s="1712"/>
      <c r="O491" s="1712"/>
      <c r="P491" s="1712"/>
      <c r="Q491" s="1712"/>
      <c r="R491" s="1712"/>
      <c r="S491" s="1712"/>
      <c r="T491" s="1712"/>
      <c r="U491" s="1712"/>
      <c r="V491" s="1712"/>
      <c r="W491" s="1712"/>
      <c r="X491" s="1712"/>
      <c r="Y491" s="1712"/>
      <c r="Z491" s="1712"/>
      <c r="AA491" s="1712"/>
    </row>
    <row r="492" s="2429" customFormat="1" customHeight="1" spans="10:27">
      <c r="J492" s="2431"/>
      <c r="K492" s="1712"/>
      <c r="L492" s="1712"/>
      <c r="M492" s="1712"/>
      <c r="N492" s="1712"/>
      <c r="O492" s="1712"/>
      <c r="P492" s="1712"/>
      <c r="Q492" s="1712"/>
      <c r="R492" s="1712"/>
      <c r="S492" s="1712"/>
      <c r="T492" s="1712"/>
      <c r="U492" s="1712"/>
      <c r="V492" s="1712"/>
      <c r="W492" s="1712"/>
      <c r="X492" s="1712"/>
      <c r="Y492" s="1712"/>
      <c r="Z492" s="1712"/>
      <c r="AA492" s="1712"/>
    </row>
    <row r="493" s="2429" customFormat="1" customHeight="1" spans="10:27">
      <c r="J493" s="2431"/>
      <c r="K493" s="1712"/>
      <c r="L493" s="1712"/>
      <c r="M493" s="1712"/>
      <c r="N493" s="1712"/>
      <c r="O493" s="1712"/>
      <c r="P493" s="1712"/>
      <c r="Q493" s="1712"/>
      <c r="R493" s="1712"/>
      <c r="S493" s="1712"/>
      <c r="T493" s="1712"/>
      <c r="U493" s="1712"/>
      <c r="V493" s="1712"/>
      <c r="W493" s="1712"/>
      <c r="X493" s="1712"/>
      <c r="Y493" s="1712"/>
      <c r="Z493" s="1712"/>
      <c r="AA493" s="1712"/>
    </row>
    <row r="494" s="2429" customFormat="1" customHeight="1" spans="10:27">
      <c r="J494" s="2431"/>
      <c r="K494" s="1712"/>
      <c r="L494" s="1712"/>
      <c r="M494" s="1712"/>
      <c r="N494" s="1712"/>
      <c r="O494" s="1712"/>
      <c r="P494" s="1712"/>
      <c r="Q494" s="1712"/>
      <c r="R494" s="1712"/>
      <c r="S494" s="1712"/>
      <c r="T494" s="1712"/>
      <c r="U494" s="1712"/>
      <c r="V494" s="1712"/>
      <c r="W494" s="1712"/>
      <c r="X494" s="1712"/>
      <c r="Y494" s="1712"/>
      <c r="Z494" s="1712"/>
      <c r="AA494" s="1712"/>
    </row>
    <row r="495" s="2429" customFormat="1" customHeight="1" spans="10:27">
      <c r="J495" s="2431"/>
      <c r="K495" s="1712"/>
      <c r="L495" s="1712"/>
      <c r="M495" s="1712"/>
      <c r="N495" s="1712"/>
      <c r="O495" s="1712"/>
      <c r="P495" s="1712"/>
      <c r="Q495" s="1712"/>
      <c r="R495" s="1712"/>
      <c r="S495" s="1712"/>
      <c r="T495" s="1712"/>
      <c r="U495" s="1712"/>
      <c r="V495" s="1712"/>
      <c r="W495" s="1712"/>
      <c r="X495" s="1712"/>
      <c r="Y495" s="1712"/>
      <c r="Z495" s="1712"/>
      <c r="AA495" s="1712"/>
    </row>
    <row r="496" s="2429" customFormat="1" customHeight="1" spans="10:27">
      <c r="J496" s="2431"/>
      <c r="K496" s="1712"/>
      <c r="L496" s="1712"/>
      <c r="M496" s="1712"/>
      <c r="N496" s="1712"/>
      <c r="O496" s="1712"/>
      <c r="P496" s="1712"/>
      <c r="Q496" s="1712"/>
      <c r="R496" s="1712"/>
      <c r="S496" s="1712"/>
      <c r="T496" s="1712"/>
      <c r="U496" s="1712"/>
      <c r="V496" s="1712"/>
      <c r="W496" s="1712"/>
      <c r="X496" s="1712"/>
      <c r="Y496" s="1712"/>
      <c r="Z496" s="1712"/>
      <c r="AA496" s="1712"/>
    </row>
    <row r="497" s="2429" customFormat="1" customHeight="1" spans="10:27">
      <c r="J497" s="2431"/>
      <c r="K497" s="1712"/>
      <c r="L497" s="1712"/>
      <c r="M497" s="1712"/>
      <c r="N497" s="1712"/>
      <c r="O497" s="1712"/>
      <c r="P497" s="1712"/>
      <c r="Q497" s="1712"/>
      <c r="R497" s="1712"/>
      <c r="S497" s="1712"/>
      <c r="T497" s="1712"/>
      <c r="U497" s="1712"/>
      <c r="V497" s="1712"/>
      <c r="W497" s="1712"/>
      <c r="X497" s="1712"/>
      <c r="Y497" s="1712"/>
      <c r="Z497" s="1712"/>
      <c r="AA497" s="1712"/>
    </row>
    <row r="498" s="2429" customFormat="1" customHeight="1" spans="10:27">
      <c r="J498" s="2431"/>
      <c r="K498" s="1712"/>
      <c r="L498" s="1712"/>
      <c r="M498" s="1712"/>
      <c r="N498" s="1712"/>
      <c r="O498" s="1712"/>
      <c r="P498" s="1712"/>
      <c r="Q498" s="1712"/>
      <c r="R498" s="1712"/>
      <c r="S498" s="1712"/>
      <c r="T498" s="1712"/>
      <c r="U498" s="1712"/>
      <c r="V498" s="1712"/>
      <c r="W498" s="1712"/>
      <c r="X498" s="1712"/>
      <c r="Y498" s="1712"/>
      <c r="Z498" s="1712"/>
      <c r="AA498" s="1712"/>
    </row>
    <row r="499" s="2429" customFormat="1" customHeight="1" spans="10:27">
      <c r="J499" s="2431"/>
      <c r="K499" s="1712"/>
      <c r="L499" s="1712"/>
      <c r="M499" s="1712"/>
      <c r="N499" s="1712"/>
      <c r="O499" s="1712"/>
      <c r="P499" s="1712"/>
      <c r="Q499" s="1712"/>
      <c r="R499" s="1712"/>
      <c r="S499" s="1712"/>
      <c r="T499" s="1712"/>
      <c r="U499" s="1712"/>
      <c r="V499" s="1712"/>
      <c r="W499" s="1712"/>
      <c r="X499" s="1712"/>
      <c r="Y499" s="1712"/>
      <c r="Z499" s="1712"/>
      <c r="AA499" s="1712"/>
    </row>
    <row r="500" s="2429" customFormat="1" customHeight="1" spans="10:27">
      <c r="J500" s="2431"/>
      <c r="K500" s="1712"/>
      <c r="L500" s="1712"/>
      <c r="M500" s="1712"/>
      <c r="N500" s="1712"/>
      <c r="O500" s="1712"/>
      <c r="P500" s="1712"/>
      <c r="Q500" s="1712"/>
      <c r="R500" s="1712"/>
      <c r="S500" s="1712"/>
      <c r="T500" s="1712"/>
      <c r="U500" s="1712"/>
      <c r="V500" s="1712"/>
      <c r="W500" s="1712"/>
      <c r="X500" s="1712"/>
      <c r="Y500" s="1712"/>
      <c r="Z500" s="1712"/>
      <c r="AA500" s="1712"/>
    </row>
    <row r="501" s="2429" customFormat="1" customHeight="1" spans="10:27">
      <c r="J501" s="2431"/>
      <c r="K501" s="1712"/>
      <c r="L501" s="1712"/>
      <c r="M501" s="1712"/>
      <c r="N501" s="1712"/>
      <c r="O501" s="1712"/>
      <c r="P501" s="1712"/>
      <c r="Q501" s="1712"/>
      <c r="R501" s="1712"/>
      <c r="S501" s="1712"/>
      <c r="T501" s="1712"/>
      <c r="U501" s="1712"/>
      <c r="V501" s="1712"/>
      <c r="W501" s="1712"/>
      <c r="X501" s="1712"/>
      <c r="Y501" s="1712"/>
      <c r="Z501" s="1712"/>
      <c r="AA501" s="1712"/>
    </row>
    <row r="502" s="2429" customFormat="1" customHeight="1" spans="10:27">
      <c r="J502" s="2431"/>
      <c r="K502" s="1712"/>
      <c r="L502" s="1712"/>
      <c r="M502" s="1712"/>
      <c r="N502" s="1712"/>
      <c r="O502" s="1712"/>
      <c r="P502" s="1712"/>
      <c r="Q502" s="1712"/>
      <c r="R502" s="1712"/>
      <c r="S502" s="1712"/>
      <c r="T502" s="1712"/>
      <c r="U502" s="1712"/>
      <c r="V502" s="1712"/>
      <c r="W502" s="1712"/>
      <c r="X502" s="1712"/>
      <c r="Y502" s="1712"/>
      <c r="Z502" s="1712"/>
      <c r="AA502" s="1712"/>
    </row>
    <row r="503" s="2429" customFormat="1" customHeight="1" spans="10:27">
      <c r="J503" s="2431"/>
      <c r="K503" s="1712"/>
      <c r="L503" s="1712"/>
      <c r="M503" s="1712"/>
      <c r="N503" s="1712"/>
      <c r="O503" s="1712"/>
      <c r="P503" s="1712"/>
      <c r="Q503" s="1712"/>
      <c r="R503" s="1712"/>
      <c r="S503" s="1712"/>
      <c r="T503" s="1712"/>
      <c r="U503" s="1712"/>
      <c r="V503" s="1712"/>
      <c r="W503" s="1712"/>
      <c r="X503" s="1712"/>
      <c r="Y503" s="1712"/>
      <c r="Z503" s="1712"/>
      <c r="AA503" s="1712"/>
    </row>
    <row r="504" s="2429" customFormat="1" customHeight="1" spans="10:27">
      <c r="J504" s="2431"/>
      <c r="K504" s="1712"/>
      <c r="L504" s="1712"/>
      <c r="M504" s="1712"/>
      <c r="N504" s="1712"/>
      <c r="O504" s="1712"/>
      <c r="P504" s="1712"/>
      <c r="Q504" s="1712"/>
      <c r="R504" s="1712"/>
      <c r="S504" s="1712"/>
      <c r="T504" s="1712"/>
      <c r="U504" s="1712"/>
      <c r="V504" s="1712"/>
      <c r="W504" s="1712"/>
      <c r="X504" s="1712"/>
      <c r="Y504" s="1712"/>
      <c r="Z504" s="1712"/>
      <c r="AA504" s="1712"/>
    </row>
    <row r="505" s="2429" customFormat="1" customHeight="1" spans="10:27">
      <c r="J505" s="2431"/>
      <c r="K505" s="1712"/>
      <c r="L505" s="1712"/>
      <c r="M505" s="1712"/>
      <c r="N505" s="1712"/>
      <c r="O505" s="1712"/>
      <c r="P505" s="1712"/>
      <c r="Q505" s="1712"/>
      <c r="R505" s="1712"/>
      <c r="S505" s="1712"/>
      <c r="T505" s="1712"/>
      <c r="U505" s="1712"/>
      <c r="V505" s="1712"/>
      <c r="W505" s="1712"/>
      <c r="X505" s="1712"/>
      <c r="Y505" s="1712"/>
      <c r="Z505" s="1712"/>
      <c r="AA505" s="1712"/>
    </row>
    <row r="506" s="2429" customFormat="1" customHeight="1" spans="10:27">
      <c r="J506" s="2431"/>
      <c r="K506" s="1712"/>
      <c r="L506" s="1712"/>
      <c r="M506" s="1712"/>
      <c r="N506" s="1712"/>
      <c r="O506" s="1712"/>
      <c r="P506" s="1712"/>
      <c r="Q506" s="1712"/>
      <c r="R506" s="1712"/>
      <c r="S506" s="1712"/>
      <c r="T506" s="1712"/>
      <c r="U506" s="1712"/>
      <c r="V506" s="1712"/>
      <c r="W506" s="1712"/>
      <c r="X506" s="1712"/>
      <c r="Y506" s="1712"/>
      <c r="Z506" s="1712"/>
      <c r="AA506" s="1712"/>
    </row>
    <row r="507" s="2429" customFormat="1" customHeight="1" spans="10:27">
      <c r="J507" s="2431"/>
      <c r="K507" s="1712"/>
      <c r="L507" s="1712"/>
      <c r="M507" s="1712"/>
      <c r="N507" s="1712"/>
      <c r="O507" s="1712"/>
      <c r="P507" s="1712"/>
      <c r="Q507" s="1712"/>
      <c r="R507" s="1712"/>
      <c r="S507" s="1712"/>
      <c r="T507" s="1712"/>
      <c r="U507" s="1712"/>
      <c r="V507" s="1712"/>
      <c r="W507" s="1712"/>
      <c r="X507" s="1712"/>
      <c r="Y507" s="1712"/>
      <c r="Z507" s="1712"/>
      <c r="AA507" s="1712"/>
    </row>
    <row r="508" s="2429" customFormat="1" customHeight="1" spans="10:27">
      <c r="J508" s="2431"/>
      <c r="K508" s="1712"/>
      <c r="L508" s="1712"/>
      <c r="M508" s="1712"/>
      <c r="N508" s="1712"/>
      <c r="O508" s="1712"/>
      <c r="P508" s="1712"/>
      <c r="Q508" s="1712"/>
      <c r="R508" s="1712"/>
      <c r="S508" s="1712"/>
      <c r="T508" s="1712"/>
      <c r="U508" s="1712"/>
      <c r="V508" s="1712"/>
      <c r="W508" s="1712"/>
      <c r="X508" s="1712"/>
      <c r="Y508" s="1712"/>
      <c r="Z508" s="1712"/>
      <c r="AA508" s="1712"/>
    </row>
    <row r="509" s="2429" customFormat="1" customHeight="1" spans="10:27">
      <c r="J509" s="2431"/>
      <c r="K509" s="1712"/>
      <c r="L509" s="1712"/>
      <c r="M509" s="1712"/>
      <c r="N509" s="1712"/>
      <c r="O509" s="1712"/>
      <c r="P509" s="1712"/>
      <c r="Q509" s="1712"/>
      <c r="R509" s="1712"/>
      <c r="S509" s="1712"/>
      <c r="T509" s="1712"/>
      <c r="U509" s="1712"/>
      <c r="V509" s="1712"/>
      <c r="W509" s="1712"/>
      <c r="X509" s="1712"/>
      <c r="Y509" s="1712"/>
      <c r="Z509" s="1712"/>
      <c r="AA509" s="1712"/>
    </row>
    <row r="510" s="2429" customFormat="1" customHeight="1" spans="10:27">
      <c r="J510" s="2431"/>
      <c r="K510" s="1712"/>
      <c r="L510" s="1712"/>
      <c r="M510" s="1712"/>
      <c r="N510" s="1712"/>
      <c r="O510" s="1712"/>
      <c r="P510" s="1712"/>
      <c r="Q510" s="1712"/>
      <c r="R510" s="1712"/>
      <c r="S510" s="1712"/>
      <c r="T510" s="1712"/>
      <c r="U510" s="1712"/>
      <c r="V510" s="1712"/>
      <c r="W510" s="1712"/>
      <c r="X510" s="1712"/>
      <c r="Y510" s="1712"/>
      <c r="Z510" s="1712"/>
      <c r="AA510" s="1712"/>
    </row>
    <row r="511" s="2429" customFormat="1" customHeight="1" spans="10:27">
      <c r="J511" s="2431"/>
      <c r="K511" s="1712"/>
      <c r="L511" s="1712"/>
      <c r="M511" s="1712"/>
      <c r="N511" s="1712"/>
      <c r="O511" s="1712"/>
      <c r="P511" s="1712"/>
      <c r="Q511" s="1712"/>
      <c r="R511" s="1712"/>
      <c r="S511" s="1712"/>
      <c r="T511" s="1712"/>
      <c r="U511" s="1712"/>
      <c r="V511" s="1712"/>
      <c r="W511" s="1712"/>
      <c r="X511" s="1712"/>
      <c r="Y511" s="1712"/>
      <c r="Z511" s="1712"/>
      <c r="AA511" s="1712"/>
    </row>
    <row r="512" s="2429" customFormat="1" customHeight="1" spans="10:27">
      <c r="J512" s="2431"/>
      <c r="K512" s="1712"/>
      <c r="L512" s="1712"/>
      <c r="M512" s="1712"/>
      <c r="N512" s="1712"/>
      <c r="O512" s="1712"/>
      <c r="P512" s="1712"/>
      <c r="Q512" s="1712"/>
      <c r="R512" s="1712"/>
      <c r="S512" s="1712"/>
      <c r="T512" s="1712"/>
      <c r="U512" s="1712"/>
      <c r="V512" s="1712"/>
      <c r="W512" s="1712"/>
      <c r="X512" s="1712"/>
      <c r="Y512" s="1712"/>
      <c r="Z512" s="1712"/>
      <c r="AA512" s="1712"/>
    </row>
    <row r="513" s="2429" customFormat="1" customHeight="1" spans="10:27">
      <c r="J513" s="2431"/>
      <c r="K513" s="1712"/>
      <c r="L513" s="1712"/>
      <c r="M513" s="1712"/>
      <c r="N513" s="1712"/>
      <c r="O513" s="1712"/>
      <c r="P513" s="1712"/>
      <c r="Q513" s="1712"/>
      <c r="R513" s="1712"/>
      <c r="S513" s="1712"/>
      <c r="T513" s="1712"/>
      <c r="U513" s="1712"/>
      <c r="V513" s="1712"/>
      <c r="W513" s="1712"/>
      <c r="X513" s="1712"/>
      <c r="Y513" s="1712"/>
      <c r="Z513" s="1712"/>
      <c r="AA513" s="1712"/>
    </row>
    <row r="514" s="2429" customFormat="1" customHeight="1" spans="10:27">
      <c r="J514" s="2431"/>
      <c r="K514" s="1712"/>
      <c r="L514" s="1712"/>
      <c r="M514" s="1712"/>
      <c r="N514" s="1712"/>
      <c r="O514" s="1712"/>
      <c r="P514" s="1712"/>
      <c r="Q514" s="1712"/>
      <c r="R514" s="1712"/>
      <c r="S514" s="1712"/>
      <c r="T514" s="1712"/>
      <c r="U514" s="1712"/>
      <c r="V514" s="1712"/>
      <c r="W514" s="1712"/>
      <c r="X514" s="1712"/>
      <c r="Y514" s="1712"/>
      <c r="Z514" s="1712"/>
      <c r="AA514" s="1712"/>
    </row>
    <row r="515" s="2429" customFormat="1" customHeight="1" spans="10:27">
      <c r="J515" s="2431"/>
      <c r="K515" s="1712"/>
      <c r="L515" s="1712"/>
      <c r="M515" s="1712"/>
      <c r="N515" s="1712"/>
      <c r="O515" s="1712"/>
      <c r="P515" s="1712"/>
      <c r="Q515" s="1712"/>
      <c r="R515" s="1712"/>
      <c r="S515" s="1712"/>
      <c r="T515" s="1712"/>
      <c r="U515" s="1712"/>
      <c r="V515" s="1712"/>
      <c r="W515" s="1712"/>
      <c r="X515" s="1712"/>
      <c r="Y515" s="1712"/>
      <c r="Z515" s="1712"/>
      <c r="AA515" s="1712"/>
    </row>
    <row r="516" s="2429" customFormat="1" customHeight="1" spans="10:27">
      <c r="J516" s="2431"/>
      <c r="K516" s="1712"/>
      <c r="L516" s="1712"/>
      <c r="M516" s="1712"/>
      <c r="N516" s="1712"/>
      <c r="O516" s="1712"/>
      <c r="P516" s="1712"/>
      <c r="Q516" s="1712"/>
      <c r="R516" s="1712"/>
      <c r="S516" s="1712"/>
      <c r="T516" s="1712"/>
      <c r="U516" s="1712"/>
      <c r="V516" s="1712"/>
      <c r="W516" s="1712"/>
      <c r="X516" s="1712"/>
      <c r="Y516" s="1712"/>
      <c r="Z516" s="1712"/>
      <c r="AA516" s="1712"/>
    </row>
    <row r="517" s="2429" customFormat="1" customHeight="1" spans="10:27">
      <c r="J517" s="2431"/>
      <c r="K517" s="1712"/>
      <c r="L517" s="1712"/>
      <c r="M517" s="1712"/>
      <c r="N517" s="1712"/>
      <c r="O517" s="1712"/>
      <c r="P517" s="1712"/>
      <c r="Q517" s="1712"/>
      <c r="R517" s="1712"/>
      <c r="S517" s="1712"/>
      <c r="T517" s="1712"/>
      <c r="U517" s="1712"/>
      <c r="V517" s="1712"/>
      <c r="W517" s="1712"/>
      <c r="X517" s="1712"/>
      <c r="Y517" s="1712"/>
      <c r="Z517" s="1712"/>
      <c r="AA517" s="1712"/>
    </row>
    <row r="518" s="2429" customFormat="1" customHeight="1" spans="10:27">
      <c r="J518" s="2431"/>
      <c r="K518" s="1712"/>
      <c r="L518" s="1712"/>
      <c r="M518" s="1712"/>
      <c r="N518" s="1712"/>
      <c r="O518" s="1712"/>
      <c r="P518" s="1712"/>
      <c r="Q518" s="1712"/>
      <c r="R518" s="1712"/>
      <c r="S518" s="1712"/>
      <c r="T518" s="1712"/>
      <c r="U518" s="1712"/>
      <c r="V518" s="1712"/>
      <c r="W518" s="1712"/>
      <c r="X518" s="1712"/>
      <c r="Y518" s="1712"/>
      <c r="Z518" s="1712"/>
      <c r="AA518" s="1712"/>
    </row>
    <row r="519" s="2429" customFormat="1" customHeight="1" spans="10:27">
      <c r="J519" s="2431"/>
      <c r="K519" s="1712"/>
      <c r="L519" s="1712"/>
      <c r="M519" s="1712"/>
      <c r="N519" s="1712"/>
      <c r="O519" s="1712"/>
      <c r="P519" s="1712"/>
      <c r="Q519" s="1712"/>
      <c r="R519" s="1712"/>
      <c r="S519" s="1712"/>
      <c r="T519" s="1712"/>
      <c r="U519" s="1712"/>
      <c r="V519" s="1712"/>
      <c r="W519" s="1712"/>
      <c r="X519" s="1712"/>
      <c r="Y519" s="1712"/>
      <c r="Z519" s="1712"/>
      <c r="AA519" s="1712"/>
    </row>
    <row r="520" s="2429" customFormat="1" customHeight="1" spans="6:27">
      <c r="F520" s="2430"/>
      <c r="G520" s="2430"/>
      <c r="H520" s="2430"/>
      <c r="I520" s="2430"/>
      <c r="J520" s="2431"/>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tabSelected="1" view="pageBreakPreview" zoomScale="85" zoomScaleNormal="70" topLeftCell="A23" workbookViewId="0">
      <selection activeCell="D59" sqref="D59:M59"/>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5683415</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2"/>
    </row>
    <row r="3" s="2085" customFormat="1" ht="28.5" customHeight="1" spans="1:29">
      <c r="A3" s="402" t="s">
        <v>873</v>
      </c>
      <c r="B3" s="1588">
        <f ca="1">ROUND(IF(D2="——",C49,IF(C2="万元",B2*10000/D3,B2/D3)),0)</f>
        <v>42190</v>
      </c>
      <c r="C3" s="1588" t="s">
        <v>874</v>
      </c>
      <c r="D3" s="1588">
        <f>IF(C1="仅计算典型户型",'数据-取费表'!E5,'数据-取费表'!B5)</f>
        <v>134.71</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3"/>
    </row>
    <row r="4" ht="15" spans="1:29">
      <c r="A4" s="1098" t="s">
        <v>875</v>
      </c>
      <c r="B4" s="1099"/>
      <c r="C4" s="602" t="s">
        <v>876</v>
      </c>
      <c r="D4" s="612"/>
      <c r="E4" s="1100" t="s">
        <v>877</v>
      </c>
      <c r="F4" s="1101"/>
      <c r="G4" s="602" t="s">
        <v>878</v>
      </c>
      <c r="H4" s="612"/>
      <c r="I4" s="602" t="s">
        <v>879</v>
      </c>
      <c r="J4" s="612"/>
      <c r="K4" s="2352"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3"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v>
      </c>
      <c r="I7" s="1118">
        <v>44376</v>
      </c>
      <c r="J7" s="1117">
        <f>SUMIF(58:58,YEAR(I7)&amp;"-"&amp;MONTH(I7),59:59)</f>
        <v>99</v>
      </c>
      <c r="K7" s="2354"/>
      <c r="L7" s="1235"/>
      <c r="M7" s="1241"/>
      <c r="N7" s="1241"/>
      <c r="O7" s="1241"/>
      <c r="P7" s="1242" t="s">
        <v>887</v>
      </c>
      <c r="Q7" s="1289"/>
      <c r="R7" s="1290" t="s">
        <v>888</v>
      </c>
      <c r="S7" s="1291">
        <f t="shared" ref="S7:S15" si="0">F7</f>
        <v>99.5</v>
      </c>
      <c r="T7" s="1290" t="s">
        <v>888</v>
      </c>
      <c r="U7" s="1291">
        <f t="shared" ref="U7:U15" si="1">H7</f>
        <v>98</v>
      </c>
      <c r="V7" s="1290" t="s">
        <v>888</v>
      </c>
      <c r="W7" s="1291">
        <f t="shared" ref="W7:W15" si="2">J7</f>
        <v>99</v>
      </c>
      <c r="X7" s="1292"/>
      <c r="Y7" s="1242" t="s">
        <v>887</v>
      </c>
      <c r="Z7" s="1293"/>
      <c r="AA7" s="1310">
        <f>D7/F7</f>
        <v>1.00502512562814</v>
      </c>
      <c r="AB7" s="1310">
        <f>D7/H7</f>
        <v>1.02040816326531</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4"/>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4"/>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5">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905</v>
      </c>
      <c r="C25" s="1612"/>
      <c r="D25" s="1138">
        <v>100</v>
      </c>
      <c r="E25" s="2340"/>
      <c r="F25" s="1609">
        <f>SUMIF(86:86,E25,87:87)-SUMIF(86:86,C25,87:87)+100</f>
        <v>100</v>
      </c>
      <c r="G25" s="1186"/>
      <c r="H25" s="1138">
        <f>SUMIF(86:86,G25,87:87)-SUMIF(86:86,C25,87:87)+100</f>
        <v>100</v>
      </c>
      <c r="I25" s="2340"/>
      <c r="J25" s="1138">
        <f>SUMIF(86:86,I25,87:87)-SUMIF(86:86,C25,87:87)+100</f>
        <v>100</v>
      </c>
      <c r="K25" s="2355"/>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906</v>
      </c>
      <c r="C26" s="1612" t="s">
        <v>907</v>
      </c>
      <c r="D26" s="1138">
        <v>100</v>
      </c>
      <c r="E26" s="2340" t="s">
        <v>907</v>
      </c>
      <c r="F26" s="1609">
        <f>SUMIF(88:88,E26,89:89)-SUMIF(88:88,C26,89:89)+100</f>
        <v>100</v>
      </c>
      <c r="G26" s="1186" t="s">
        <v>907</v>
      </c>
      <c r="H26" s="1138">
        <f>SUMIF(88:88,G26,89:89)-SUMIF(88:88,C26,89:89)+100</f>
        <v>100</v>
      </c>
      <c r="I26" s="2340" t="s">
        <v>907</v>
      </c>
      <c r="J26" s="1138">
        <f>SUMIF(88:88,I26,89:89)-SUMIF(88:88,C26,89:89)+100</f>
        <v>100</v>
      </c>
      <c r="K26" s="2355">
        <v>1</v>
      </c>
      <c r="L26" s="1251"/>
      <c r="M26" s="1236"/>
      <c r="N26" s="1236"/>
      <c r="O26" s="1236"/>
      <c r="P26" s="1687"/>
      <c r="Q26" s="491" t="str">
        <f t="shared" si="11"/>
        <v>朝向</v>
      </c>
      <c r="R26" s="1295" t="s">
        <v>888</v>
      </c>
      <c r="S26" s="1296">
        <f>F26</f>
        <v>100</v>
      </c>
      <c r="T26" s="1295" t="s">
        <v>888</v>
      </c>
      <c r="U26" s="1296">
        <f>H26</f>
        <v>100</v>
      </c>
      <c r="V26" s="1295" t="s">
        <v>888</v>
      </c>
      <c r="W26" s="1296">
        <f>J26</f>
        <v>100</v>
      </c>
      <c r="X26" s="1282"/>
      <c r="Y26" s="1254"/>
      <c r="Z26" s="1281" t="str">
        <f>Q26</f>
        <v>朝向</v>
      </c>
      <c r="AA26" s="1312">
        <f t="shared" si="3"/>
        <v>1</v>
      </c>
      <c r="AB26" s="1312">
        <f t="shared" si="4"/>
        <v>1</v>
      </c>
      <c r="AC26" s="1312">
        <f t="shared" si="5"/>
        <v>1</v>
      </c>
    </row>
    <row r="27" s="1080" customFormat="1" ht="15" spans="1:29">
      <c r="A27" s="1134"/>
      <c r="B27" s="2341" t="s">
        <v>908</v>
      </c>
      <c r="C27" s="1130" t="s">
        <v>909</v>
      </c>
      <c r="D27" s="1603" t="str">
        <f>C91</f>
        <v>100</v>
      </c>
      <c r="E27" s="1131" t="s">
        <v>910</v>
      </c>
      <c r="F27" s="1678" t="str">
        <f>D91</f>
        <v>101</v>
      </c>
      <c r="G27" s="1130" t="s">
        <v>911</v>
      </c>
      <c r="H27" s="1603" t="str">
        <f>E91</f>
        <v>98</v>
      </c>
      <c r="I27" s="1131" t="s">
        <v>912</v>
      </c>
      <c r="J27" s="1603" t="str">
        <f>F91</f>
        <v>101.5</v>
      </c>
      <c r="K27" s="2356"/>
      <c r="L27" s="1235"/>
      <c r="M27" s="1241"/>
      <c r="N27" s="1241"/>
      <c r="O27" s="1241"/>
      <c r="P27" s="1687"/>
      <c r="Q27" s="1294" t="str">
        <f t="shared" si="11"/>
        <v>楼层</v>
      </c>
      <c r="R27" s="1290" t="s">
        <v>888</v>
      </c>
      <c r="S27" s="1291" t="str">
        <f>F27</f>
        <v>101</v>
      </c>
      <c r="T27" s="1290" t="s">
        <v>888</v>
      </c>
      <c r="U27" s="1291" t="str">
        <f>H27</f>
        <v>98</v>
      </c>
      <c r="V27" s="1290" t="s">
        <v>888</v>
      </c>
      <c r="W27" s="1291" t="str">
        <f>J27</f>
        <v>101.5</v>
      </c>
      <c r="X27" s="1292"/>
      <c r="Y27" s="1254"/>
      <c r="Z27" s="1311" t="str">
        <f>Q27</f>
        <v>楼层</v>
      </c>
      <c r="AA27" s="1312">
        <f t="shared" si="3"/>
        <v>0.99009900990099</v>
      </c>
      <c r="AB27" s="1312">
        <f t="shared" si="4"/>
        <v>1.02040816326531</v>
      </c>
      <c r="AC27" s="1312">
        <f t="shared" si="5"/>
        <v>0.985221674876847</v>
      </c>
    </row>
    <row r="28" ht="15" spans="1:29">
      <c r="A28" s="504"/>
      <c r="B28" s="2342" t="s">
        <v>913</v>
      </c>
      <c r="C28" s="2343" t="s">
        <v>914</v>
      </c>
      <c r="D28" s="1138">
        <v>100</v>
      </c>
      <c r="E28" s="2343" t="s">
        <v>915</v>
      </c>
      <c r="F28" s="1609">
        <f>SUMIF(92:92,E28,93:93)-SUMIF(92:92,C28,93:93)+100</f>
        <v>95</v>
      </c>
      <c r="G28" s="2343" t="s">
        <v>915</v>
      </c>
      <c r="H28" s="1138">
        <f>SUMIF(92:92,G28,93:93)-SUMIF(92:92,C28,93:93)+100</f>
        <v>95</v>
      </c>
      <c r="I28" s="2343" t="s">
        <v>915</v>
      </c>
      <c r="J28" s="1138">
        <f>SUMIF(92:92,I28,93:93)-SUMIF(92:92,C28,93:93)+100</f>
        <v>95</v>
      </c>
      <c r="K28" s="2356"/>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916</v>
      </c>
      <c r="B32" s="1123" t="s">
        <v>917</v>
      </c>
      <c r="C32" s="1679" t="s">
        <v>918</v>
      </c>
      <c r="D32" s="1184">
        <v>100</v>
      </c>
      <c r="E32" s="2344" t="s">
        <v>918</v>
      </c>
      <c r="F32" s="1609">
        <f>SUMIF(100:100,E32,101:101)-SUMIF(100:100,C32,101:101)+100</f>
        <v>100</v>
      </c>
      <c r="G32" s="1679" t="s">
        <v>918</v>
      </c>
      <c r="H32" s="1184">
        <f>SUMIF(100:100,G32,101:101)-SUMIF(100:100,C32,101:101)+100</f>
        <v>100</v>
      </c>
      <c r="I32" s="2344" t="s">
        <v>918</v>
      </c>
      <c r="J32" s="1138">
        <f>SUMIF(100:100,I32,101:101)-SUMIF(100:100,C32,101:101)+100</f>
        <v>100</v>
      </c>
      <c r="K32" s="2355"/>
      <c r="L32" s="1251"/>
      <c r="M32" s="1236"/>
      <c r="N32" s="1236"/>
      <c r="O32" s="1236"/>
      <c r="P32" s="1688" t="s">
        <v>919</v>
      </c>
      <c r="Q32" s="491" t="str">
        <f t="shared" si="11"/>
        <v>建筑类型</v>
      </c>
      <c r="R32" s="1295" t="s">
        <v>888</v>
      </c>
      <c r="S32" s="1296">
        <f t="shared" si="12"/>
        <v>100</v>
      </c>
      <c r="T32" s="1295" t="s">
        <v>888</v>
      </c>
      <c r="U32" s="1296">
        <f t="shared" si="13"/>
        <v>100</v>
      </c>
      <c r="V32" s="1295" t="s">
        <v>888</v>
      </c>
      <c r="W32" s="1296">
        <f t="shared" si="14"/>
        <v>100</v>
      </c>
      <c r="X32" s="1282"/>
      <c r="Y32" s="1267" t="s">
        <v>919</v>
      </c>
      <c r="Z32" s="1281" t="str">
        <f t="shared" si="15"/>
        <v>建筑类型</v>
      </c>
      <c r="AA32" s="1312">
        <f t="shared" si="3"/>
        <v>1</v>
      </c>
      <c r="AB32" s="1312">
        <f t="shared" si="4"/>
        <v>1</v>
      </c>
      <c r="AC32" s="1312">
        <f t="shared" si="5"/>
        <v>1</v>
      </c>
    </row>
    <row r="33" s="1082" customFormat="1" ht="15" spans="1:29">
      <c r="A33" s="1190"/>
      <c r="B33" s="1127" t="s">
        <v>920</v>
      </c>
      <c r="C33" s="1610">
        <f>项目基本情况!C12</f>
        <v>134.71</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6"/>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921</v>
      </c>
      <c r="C34" s="1680" t="s">
        <v>922</v>
      </c>
      <c r="D34" s="1138">
        <v>100</v>
      </c>
      <c r="E34" s="1681" t="s">
        <v>922</v>
      </c>
      <c r="F34" s="1609">
        <f>SUMIF(105:105,E34,106:106)-SUMIF(105:105,C34,106:106)+100</f>
        <v>100</v>
      </c>
      <c r="G34" s="1680" t="s">
        <v>922</v>
      </c>
      <c r="H34" s="1138">
        <f>SUMIF(105:105,G34,106:106)-SUMIF(105:105,C34,106:106)+100</f>
        <v>100</v>
      </c>
      <c r="I34" s="1681" t="s">
        <v>922</v>
      </c>
      <c r="J34" s="1138">
        <f>SUMIF(105:105,I34,106:106)-SUMIF(105:105,C34,106:106)+100</f>
        <v>100</v>
      </c>
      <c r="K34" s="2355"/>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923</v>
      </c>
      <c r="C35" s="1186" t="s">
        <v>901</v>
      </c>
      <c r="D35" s="1138">
        <v>100</v>
      </c>
      <c r="E35" s="2340" t="s">
        <v>901</v>
      </c>
      <c r="F35" s="1609">
        <f>SUMIF(107:107,E35,108:108)-SUMIF(107:107,C35,108:108)+100</f>
        <v>100</v>
      </c>
      <c r="G35" s="1186" t="s">
        <v>901</v>
      </c>
      <c r="H35" s="1138">
        <f>SUMIF(107:107,G35,108:108)-SUMIF(107:107,C35,108:108)+100</f>
        <v>100</v>
      </c>
      <c r="I35" s="2360" t="s">
        <v>901</v>
      </c>
      <c r="J35" s="1138">
        <f>SUMIF(107:107,I35,108:108)-SUMIF(107:107,C35,108:108)+100</f>
        <v>100</v>
      </c>
      <c r="K35" s="2355"/>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924</v>
      </c>
      <c r="C36" s="1186" t="s">
        <v>925</v>
      </c>
      <c r="D36" s="1138">
        <v>100</v>
      </c>
      <c r="E36" s="2340" t="s">
        <v>925</v>
      </c>
      <c r="F36" s="1609">
        <f>SUMIF(109:109,E36,110:110)-SUMIF(109:109,C36,110:110)+100</f>
        <v>100</v>
      </c>
      <c r="G36" s="1186" t="s">
        <v>925</v>
      </c>
      <c r="H36" s="1138">
        <f>SUMIF(109:109,G36,110:110)-SUMIF(109:109,C36,110:110)+100</f>
        <v>100</v>
      </c>
      <c r="I36" s="2340" t="s">
        <v>925</v>
      </c>
      <c r="J36" s="1138">
        <f>SUMIF(109:109,I36,110:110)-SUMIF(109:109,C36,110:110)+100</f>
        <v>100</v>
      </c>
      <c r="K36" s="2355"/>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926</v>
      </c>
      <c r="C37" s="1613">
        <f>'数据-取费表'!E20</f>
        <v>0.88</v>
      </c>
      <c r="D37" s="1129">
        <v>100</v>
      </c>
      <c r="E37" s="2345">
        <f>C37</f>
        <v>0.88</v>
      </c>
      <c r="F37" s="1611">
        <f>LOOKUP(E37,112:112,113:113)-LOOKUP(C37,112:112,113:113)+100</f>
        <v>100</v>
      </c>
      <c r="G37" s="2346">
        <f>C37</f>
        <v>0.88</v>
      </c>
      <c r="H37" s="1129">
        <f>LOOKUP(G37,112:112,113:113)-LOOKUP(C37,112:112,113:113)+100</f>
        <v>100</v>
      </c>
      <c r="I37" s="2345">
        <f>C37</f>
        <v>0.88</v>
      </c>
      <c r="J37" s="1129">
        <f>LOOKUP(I37,112:112,113:113)-LOOKUP(C37,112:112,113:113)+100</f>
        <v>100</v>
      </c>
      <c r="K37" s="2355"/>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927</v>
      </c>
      <c r="C38" s="1186" t="s">
        <v>928</v>
      </c>
      <c r="D38" s="1138">
        <v>100</v>
      </c>
      <c r="E38" s="2340" t="s">
        <v>928</v>
      </c>
      <c r="F38" s="1609">
        <f>SUMIF(114:114,E38,115:115)-SUMIF(114:114,C38,115:115)+100</f>
        <v>100</v>
      </c>
      <c r="G38" s="1186" t="s">
        <v>928</v>
      </c>
      <c r="H38" s="1138">
        <f>SUMIF(114:114,G38,115:115)-SUMIF(114:114,C38,115:115)+100</f>
        <v>100</v>
      </c>
      <c r="I38" s="2340" t="s">
        <v>928</v>
      </c>
      <c r="J38" s="1138">
        <f>SUMIF(114:114,I38,115:115)-SUMIF(114:114,C38,115:115)+100</f>
        <v>100</v>
      </c>
      <c r="K38" s="2355"/>
      <c r="L38" s="1251"/>
      <c r="M38" s="1236"/>
      <c r="N38" s="1236"/>
      <c r="O38" s="1236"/>
      <c r="P38" s="1689" t="s">
        <v>919</v>
      </c>
      <c r="Q38" s="491" t="str">
        <f t="shared" si="11"/>
        <v>物业管理</v>
      </c>
      <c r="R38" s="1295" t="s">
        <v>888</v>
      </c>
      <c r="S38" s="1296">
        <f t="shared" si="12"/>
        <v>100</v>
      </c>
      <c r="T38" s="1295" t="s">
        <v>888</v>
      </c>
      <c r="U38" s="1296">
        <f t="shared" si="13"/>
        <v>100</v>
      </c>
      <c r="V38" s="1295" t="s">
        <v>888</v>
      </c>
      <c r="W38" s="1296">
        <f t="shared" si="14"/>
        <v>100</v>
      </c>
      <c r="X38" s="1282"/>
      <c r="Y38" s="1267" t="s">
        <v>919</v>
      </c>
      <c r="Z38" s="1281" t="str">
        <f t="shared" si="15"/>
        <v>物业管理</v>
      </c>
      <c r="AA38" s="1312">
        <f t="shared" si="3"/>
        <v>1</v>
      </c>
      <c r="AB38" s="1312">
        <f t="shared" si="4"/>
        <v>1</v>
      </c>
      <c r="AC38" s="1312">
        <f t="shared" si="5"/>
        <v>1</v>
      </c>
    </row>
    <row r="39" ht="15" spans="1:29">
      <c r="A39" s="1185"/>
      <c r="B39" s="1127" t="s">
        <v>929</v>
      </c>
      <c r="C39" s="1186" t="s">
        <v>902</v>
      </c>
      <c r="D39" s="1138">
        <v>100</v>
      </c>
      <c r="E39" s="2340" t="s">
        <v>902</v>
      </c>
      <c r="F39" s="1609">
        <f>SUMIF(116:116,E39,117:117)-SUMIF(116:116,C39,117:117)+100</f>
        <v>100</v>
      </c>
      <c r="G39" s="1186" t="s">
        <v>902</v>
      </c>
      <c r="H39" s="1138">
        <f>SUMIF(116:116,G39,117:117)-SUMIF(116:116,C39,117:117)+100</f>
        <v>100</v>
      </c>
      <c r="I39" s="2340" t="s">
        <v>902</v>
      </c>
      <c r="J39" s="1138">
        <f>SUMIF(116:116,I39,117:117)-SUMIF(116:116,C39,117:117)+100</f>
        <v>100</v>
      </c>
      <c r="K39" s="2355"/>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930</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5"/>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931</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932</v>
      </c>
      <c r="C42" s="1186" t="s">
        <v>933</v>
      </c>
      <c r="D42" s="1138">
        <v>100</v>
      </c>
      <c r="E42" s="2340" t="s">
        <v>933</v>
      </c>
      <c r="F42" s="1609">
        <f>SUMIF(122:122,E42,123:123)-SUMIF(122:122,C42,123:123)+100</f>
        <v>100</v>
      </c>
      <c r="G42" s="1186" t="s">
        <v>933</v>
      </c>
      <c r="H42" s="1138">
        <f>SUMIF(122:122,G42,123:123)-SUMIF(122:122,C42,123:123)+100</f>
        <v>100</v>
      </c>
      <c r="I42" s="2340" t="s">
        <v>933</v>
      </c>
      <c r="J42" s="1138">
        <f>SUMIF(122:122,I42,123:123)-SUMIF(122:122,C42,123:123)+100</f>
        <v>100</v>
      </c>
      <c r="K42" s="2355"/>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904</v>
      </c>
      <c r="D43" s="1138">
        <v>100</v>
      </c>
      <c r="E43" s="2340" t="s">
        <v>901</v>
      </c>
      <c r="F43" s="1609">
        <f>SUMIF(124:124,E43,125:125)-SUMIF(124:124,C43,125:125)+100</f>
        <v>101</v>
      </c>
      <c r="G43" s="1186" t="s">
        <v>901</v>
      </c>
      <c r="H43" s="1138">
        <f>SUMIF(124:124,G43,125:125)-SUMIF(124:124,C43,125:125)+100</f>
        <v>101</v>
      </c>
      <c r="I43" s="2340" t="s">
        <v>901</v>
      </c>
      <c r="J43" s="1138">
        <f>SUMIF(124:124,I43,125:125)-SUMIF(124:124,C43,125:125)+100</f>
        <v>101</v>
      </c>
      <c r="K43" s="2355">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v>42037</v>
      </c>
      <c r="F47" s="1621"/>
      <c r="G47" s="1622">
        <v>39048</v>
      </c>
      <c r="H47" s="1623"/>
      <c r="I47" s="1620">
        <v>39965</v>
      </c>
      <c r="J47" s="1623"/>
      <c r="K47" s="2361"/>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935</v>
      </c>
      <c r="B48" s="1624"/>
      <c r="C48" s="1625">
        <f>R49</f>
        <v>42190</v>
      </c>
      <c r="D48" s="831" t="s">
        <v>936</v>
      </c>
      <c r="E48" s="1626">
        <f>R48</f>
        <v>43164</v>
      </c>
      <c r="F48" s="832"/>
      <c r="G48" s="1625">
        <f>T48</f>
        <v>41955</v>
      </c>
      <c r="H48" s="832"/>
      <c r="I48" s="1626">
        <f>V48</f>
        <v>41451</v>
      </c>
      <c r="J48" s="832"/>
      <c r="K48" s="2362">
        <f>F48+H48+J48</f>
        <v>0</v>
      </c>
      <c r="L48" s="1271"/>
      <c r="P48" s="491" t="str">
        <f>A48</f>
        <v>比较价值（元/平方米）</v>
      </c>
      <c r="Q48" s="491"/>
      <c r="R48" s="1312">
        <f>IF(E1="售价",ROUND(PRODUCT(R47,AA7:AA46),0),ROUND(PRODUCT(R47,AA7:AA46),1))</f>
        <v>43164</v>
      </c>
      <c r="S48" s="1312"/>
      <c r="T48" s="2370">
        <f>IF(E1="售价",ROUND(PRODUCT(T47,AB7:AB46),0),ROUND(PRODUCT(T47,AB7:AB46),1))</f>
        <v>41955</v>
      </c>
      <c r="U48" s="2371"/>
      <c r="V48" s="1312">
        <f>IF(E1="售价",ROUND(PRODUCT(V47,AC7:AC46),0),ROUND(PRODUCT(V47,AC7:AC46),1))</f>
        <v>41451</v>
      </c>
      <c r="W48" s="1312"/>
      <c r="X48" s="1300"/>
      <c r="Y48" s="1300"/>
      <c r="Z48" s="1300"/>
      <c r="AA48" s="1300"/>
      <c r="AB48" s="1300"/>
      <c r="AC48" s="1300"/>
    </row>
    <row r="49" ht="15.75" spans="1:29">
      <c r="A49" s="1205" t="s">
        <v>937</v>
      </c>
      <c r="B49" s="1206"/>
      <c r="C49" s="2347">
        <f>R49</f>
        <v>42190</v>
      </c>
      <c r="D49" s="1627"/>
      <c r="E49" s="1627"/>
      <c r="F49" s="1627"/>
      <c r="G49" s="1627"/>
      <c r="H49" s="1627"/>
      <c r="I49" s="1627"/>
      <c r="J49" s="1627"/>
      <c r="K49" s="2363"/>
      <c r="L49" s="1271"/>
      <c r="P49" s="1273" t="str">
        <f>A49</f>
        <v>估价对象XX用房的比较价值（楼面单价，元/平方米）</v>
      </c>
      <c r="Q49" s="1302"/>
      <c r="R49" s="1647">
        <f>IF(E1="售价",ROUND(IF(D48="简单平均",AVERAGE(R48:V48),R48*F48+T48*H48+V48*J48),0),ROUND(IF(D48="简单平均",AVERAGE(R48:V48),R48*F48+T48*H48+V48*J48),1))</f>
        <v>42190</v>
      </c>
      <c r="S49" s="1647"/>
      <c r="T49" s="1647"/>
      <c r="U49" s="1647"/>
      <c r="V49" s="1647"/>
      <c r="W49" s="1647"/>
      <c r="X49" s="1300"/>
      <c r="Y49" s="1300"/>
      <c r="Z49" s="1300"/>
      <c r="AA49" s="1300"/>
      <c r="AB49" s="1300"/>
      <c r="AC49" s="1300"/>
    </row>
    <row r="50" spans="7:7">
      <c r="G50" s="1208"/>
    </row>
    <row r="52" ht="13.5" customHeight="1" spans="3:10">
      <c r="C52" s="838" t="s">
        <v>938</v>
      </c>
      <c r="D52" s="530"/>
      <c r="E52" s="1209">
        <f>IF(E47&lt;E48,E48/E47-1,E47/E48-1)</f>
        <v>0.0268097152508504</v>
      </c>
      <c r="F52" s="1210" t="str">
        <f>IF(OR(E52&gt;=0.3,E52&lt;=-0.3),"超过30%","")</f>
        <v/>
      </c>
      <c r="G52" s="1209">
        <f>IF(G47&lt;G48,G48/G47-1,G47/G48-1)</f>
        <v>0.0744468346650276</v>
      </c>
      <c r="H52" s="1210" t="str">
        <f>IF(OR(G52&gt;=0.3,G52&lt;=-0.3),"超过30%","")</f>
        <v/>
      </c>
      <c r="I52" s="1209">
        <f>IF(I47&lt;I48,I48/I47-1,I47/I48-1)</f>
        <v>0.0371825347178782</v>
      </c>
      <c r="J52" s="1210" t="str">
        <f>IF(OR(I52&gt;=0.3,I52&lt;=-0.3),"超过30%","")</f>
        <v/>
      </c>
    </row>
    <row r="53" ht="13.5" customHeight="1" spans="3:10">
      <c r="C53" s="838" t="s">
        <v>939</v>
      </c>
      <c r="D53" s="529"/>
      <c r="E53" s="1209">
        <f>IF(E48&lt;G48,G48/E48-1,E48/G48-1)</f>
        <v>0.0288165892027172</v>
      </c>
      <c r="F53" s="1210" t="str">
        <f>IF(OR(E53&gt;=0.2,E53&lt;=-0.2),"超过20%","")</f>
        <v/>
      </c>
      <c r="G53" s="1209">
        <f>IF(G48&lt;I48,I48/G48-1,G48/I48-1)</f>
        <v>0.0121589346457263</v>
      </c>
      <c r="H53" s="1210" t="str">
        <f>IF(OR(G53&gt;=0.2,G53&lt;=-0.2),"超过20%","")</f>
        <v/>
      </c>
      <c r="I53" s="1209">
        <f>IF(I48&lt;E48,E48/I48-1,I48/E48-1)</f>
        <v>0.041325902873272</v>
      </c>
      <c r="J53" s="1210" t="str">
        <f>IF(OR(I53&gt;=0.2,I53&lt;=-0.2),"超过20%","")</f>
        <v/>
      </c>
    </row>
    <row r="54" s="1083" customFormat="1" ht="13.5" customHeight="1" spans="3:16">
      <c r="C54" s="838" t="s">
        <v>940</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4"/>
    </row>
    <row r="55" s="1083" customFormat="1" spans="2:16">
      <c r="B55" s="1211"/>
      <c r="C55" s="1212"/>
      <c r="K55" s="1274"/>
      <c r="L55" s="1275"/>
      <c r="P55" s="2364"/>
    </row>
    <row r="56" spans="2:3">
      <c r="B56" s="1211"/>
      <c r="C56" s="1212"/>
    </row>
    <row r="57" ht="21" spans="1:17">
      <c r="A57" s="1323" t="s">
        <v>941</v>
      </c>
      <c r="B57" s="1300"/>
      <c r="C57" s="1324"/>
      <c r="D57" s="1324"/>
      <c r="E57" s="1324"/>
      <c r="F57" s="1324"/>
      <c r="G57" s="1324"/>
      <c r="H57" s="1324"/>
      <c r="I57" s="1324"/>
      <c r="J57" s="1324"/>
      <c r="K57" s="1640"/>
      <c r="L57" s="2365"/>
      <c r="M57" s="1642"/>
      <c r="N57" s="1642"/>
      <c r="O57" s="1642"/>
      <c r="P57" s="2366"/>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7"/>
      <c r="O61" s="2367"/>
      <c r="P61" s="1696"/>
      <c r="Q61" s="1382"/>
    </row>
    <row r="62" s="1080" customFormat="1" ht="15.75" spans="1:17">
      <c r="A62" s="1335"/>
      <c r="B62" s="1336"/>
      <c r="C62" s="1633">
        <v>100</v>
      </c>
      <c r="D62" s="1339"/>
      <c r="E62" s="1339"/>
      <c r="F62" s="1339"/>
      <c r="G62" s="1339"/>
      <c r="H62" s="1339"/>
      <c r="I62" s="1339"/>
      <c r="J62" s="1339"/>
      <c r="K62" s="1339"/>
      <c r="L62" s="1339"/>
      <c r="M62" s="1388"/>
      <c r="N62" s="2367"/>
      <c r="O62" s="2367"/>
      <c r="P62" s="1695"/>
      <c r="Q62" s="1382"/>
    </row>
    <row r="63" spans="1:17">
      <c r="A63" s="1340" t="s">
        <v>943</v>
      </c>
      <c r="B63" s="1341" t="s">
        <v>894</v>
      </c>
      <c r="C63" s="1361" t="str">
        <f>C9</f>
        <v>住宅</v>
      </c>
      <c r="D63" s="1268"/>
      <c r="E63" s="1268"/>
      <c r="F63" s="1268"/>
      <c r="G63" s="1268"/>
      <c r="H63" s="1268"/>
      <c r="I63" s="1268"/>
      <c r="J63" s="1268"/>
      <c r="K63" s="1032"/>
      <c r="L63" s="1032"/>
      <c r="M63" s="1389"/>
      <c r="N63" s="2368"/>
      <c r="O63" s="2368"/>
      <c r="P63" s="1697"/>
      <c r="Q63" s="1382"/>
    </row>
    <row r="64" ht="15.75" spans="1:17">
      <c r="A64" s="1342"/>
      <c r="B64" s="1343"/>
      <c r="C64" s="1344">
        <v>100</v>
      </c>
      <c r="D64" s="1344"/>
      <c r="E64" s="1344"/>
      <c r="F64" s="1344"/>
      <c r="G64" s="1344"/>
      <c r="H64" s="1344"/>
      <c r="I64" s="1344"/>
      <c r="J64" s="1344"/>
      <c r="K64" s="1344"/>
      <c r="L64" s="1344"/>
      <c r="M64" s="1392"/>
      <c r="N64" s="2369"/>
      <c r="O64" s="2369"/>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2368"/>
      <c r="O65" s="236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9"/>
      <c r="O66" s="2369"/>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9"/>
      <c r="O67" s="2369"/>
      <c r="P67" s="1697"/>
      <c r="Q67" s="1382"/>
    </row>
    <row r="68" ht="15" spans="1:17">
      <c r="A68" s="1342"/>
      <c r="B68" s="1351"/>
      <c r="C68" s="1139">
        <v>0</v>
      </c>
      <c r="D68" s="1139">
        <v>1</v>
      </c>
      <c r="E68" s="1139">
        <v>2</v>
      </c>
      <c r="F68" s="1139"/>
      <c r="G68" s="1139"/>
      <c r="H68" s="1139"/>
      <c r="I68" s="1139"/>
      <c r="J68" s="1139"/>
      <c r="K68" s="1043"/>
      <c r="L68" s="1043"/>
      <c r="M68" s="1396"/>
      <c r="N68" s="2368"/>
      <c r="O68" s="236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9"/>
      <c r="O69" s="2369"/>
      <c r="P69" s="1697"/>
      <c r="Q69" s="1382"/>
    </row>
    <row r="70" s="1082" customFormat="1" ht="15.75" spans="1:17">
      <c r="A70" s="1352"/>
      <c r="B70" s="1345">
        <f>B12</f>
        <v>111</v>
      </c>
      <c r="C70" s="1353"/>
      <c r="D70" s="1353"/>
      <c r="E70" s="1353"/>
      <c r="F70" s="1353"/>
      <c r="G70" s="1353"/>
      <c r="H70" s="1045"/>
      <c r="I70" s="1045"/>
      <c r="J70" s="1045"/>
      <c r="K70" s="1045"/>
      <c r="L70" s="1045"/>
      <c r="M70" s="1397"/>
      <c r="N70" s="2382"/>
      <c r="O70" s="2382"/>
      <c r="P70" s="1702"/>
      <c r="Q70" s="1414"/>
    </row>
    <row r="71" s="1082" customFormat="1" ht="15.75" spans="1:17">
      <c r="A71" s="1352"/>
      <c r="B71" s="1347"/>
      <c r="C71" s="1354"/>
      <c r="D71" s="1344"/>
      <c r="E71" s="1344"/>
      <c r="F71" s="1344"/>
      <c r="G71" s="1344"/>
      <c r="H71" s="1344"/>
      <c r="I71" s="1344"/>
      <c r="J71" s="1344"/>
      <c r="K71" s="1344"/>
      <c r="L71" s="1344"/>
      <c r="M71" s="1392"/>
      <c r="N71" s="2369"/>
      <c r="O71" s="2369"/>
      <c r="P71" s="1702"/>
      <c r="Q71" s="1414"/>
    </row>
    <row r="72" s="1082" customFormat="1" ht="15.75" spans="1:17">
      <c r="A72" s="1352"/>
      <c r="B72" s="1345">
        <f>B13</f>
        <v>111</v>
      </c>
      <c r="C72" s="1353"/>
      <c r="D72" s="1353"/>
      <c r="E72" s="1353"/>
      <c r="F72" s="1353"/>
      <c r="G72" s="1353"/>
      <c r="H72" s="1045"/>
      <c r="I72" s="1045"/>
      <c r="J72" s="1045"/>
      <c r="K72" s="1045"/>
      <c r="L72" s="1045"/>
      <c r="M72" s="1397"/>
      <c r="N72" s="2382"/>
      <c r="O72" s="2382"/>
      <c r="P72" s="1703"/>
      <c r="Q72" s="1415"/>
    </row>
    <row r="73" s="1082" customFormat="1" ht="15.75" spans="1:17">
      <c r="A73" s="1352"/>
      <c r="B73" s="1347"/>
      <c r="C73" s="1354"/>
      <c r="D73" s="1354"/>
      <c r="E73" s="1354"/>
      <c r="F73" s="1354"/>
      <c r="G73" s="1354"/>
      <c r="H73" s="1355"/>
      <c r="I73" s="1355"/>
      <c r="J73" s="1355"/>
      <c r="K73" s="1355"/>
      <c r="L73" s="1355"/>
      <c r="M73" s="1400"/>
      <c r="N73" s="2382"/>
      <c r="O73" s="2382"/>
      <c r="P73" s="1702"/>
      <c r="Q73" s="1414"/>
    </row>
    <row r="74" s="1082" customFormat="1" ht="15.75" spans="1:17">
      <c r="A74" s="1352"/>
      <c r="B74" s="1349">
        <f>B14</f>
        <v>111</v>
      </c>
      <c r="C74" s="1353"/>
      <c r="D74" s="1353"/>
      <c r="E74" s="1353"/>
      <c r="F74" s="1353"/>
      <c r="G74" s="1026"/>
      <c r="H74" s="1050"/>
      <c r="I74" s="1050"/>
      <c r="J74" s="1050"/>
      <c r="K74" s="1050"/>
      <c r="L74" s="1050"/>
      <c r="M74" s="1401"/>
      <c r="N74" s="2382"/>
      <c r="O74" s="2382"/>
      <c r="P74" s="1702"/>
      <c r="Q74" s="1414"/>
    </row>
    <row r="75" s="1082" customFormat="1" ht="15.75" spans="1:17">
      <c r="A75" s="1356"/>
      <c r="B75" s="1357"/>
      <c r="C75" s="1358"/>
      <c r="D75" s="1358"/>
      <c r="E75" s="1358"/>
      <c r="F75" s="1358"/>
      <c r="G75" s="1358"/>
      <c r="H75" s="1359"/>
      <c r="I75" s="1359"/>
      <c r="J75" s="1359"/>
      <c r="K75" s="1359"/>
      <c r="L75" s="1359"/>
      <c r="M75" s="1402"/>
      <c r="N75" s="2382"/>
      <c r="O75" s="2382"/>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8"/>
      <c r="O76" s="236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9"/>
      <c r="O77" s="236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8"/>
      <c r="O78" s="236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9"/>
      <c r="O79" s="236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8"/>
      <c r="O80" s="236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9"/>
      <c r="O81" s="2369"/>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2369"/>
      <c r="O82" s="236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9"/>
      <c r="O83" s="2369"/>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8"/>
      <c r="O84" s="236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9"/>
      <c r="O85" s="2369"/>
      <c r="P85" s="1697"/>
      <c r="Q85" s="1382"/>
    </row>
    <row r="86" s="1080" customFormat="1" ht="15.75" spans="1:17">
      <c r="A86" s="1362"/>
      <c r="B86" s="1345" t="s">
        <v>905</v>
      </c>
      <c r="C86" s="1353"/>
      <c r="D86" s="1353"/>
      <c r="E86" s="1353"/>
      <c r="F86" s="1353"/>
      <c r="G86" s="1353"/>
      <c r="H86" s="1353"/>
      <c r="I86" s="1353"/>
      <c r="J86" s="1353"/>
      <c r="K86" s="1353"/>
      <c r="L86" s="1353"/>
      <c r="M86" s="1655"/>
      <c r="N86" s="2367"/>
      <c r="O86" s="236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9"/>
      <c r="O87" s="2369"/>
      <c r="P87" s="1697"/>
      <c r="Q87" s="1382"/>
    </row>
    <row r="88" s="1080" customFormat="1" ht="15.75" spans="1:17">
      <c r="A88" s="1362"/>
      <c r="B88" s="1345" t="s">
        <v>906</v>
      </c>
      <c r="C88" s="2374" t="s">
        <v>956</v>
      </c>
      <c r="D88" s="2374" t="s">
        <v>907</v>
      </c>
      <c r="E88" s="1353"/>
      <c r="F88" s="1652"/>
      <c r="G88" s="1353"/>
      <c r="H88" s="1353"/>
      <c r="I88" s="1353"/>
      <c r="J88" s="1353"/>
      <c r="K88" s="1353"/>
      <c r="L88" s="1353"/>
      <c r="M88" s="1655"/>
      <c r="N88" s="2367"/>
      <c r="O88" s="2367"/>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9"/>
      <c r="O89" s="2369"/>
      <c r="P89" s="1697"/>
      <c r="Q89" s="1382"/>
    </row>
    <row r="90" s="1082" customFormat="1" ht="15.75" spans="1:17">
      <c r="A90" s="1352"/>
      <c r="B90" s="1345" t="str">
        <f>B27</f>
        <v>楼层</v>
      </c>
      <c r="C90" s="2375" t="s">
        <v>909</v>
      </c>
      <c r="D90" s="2375" t="s">
        <v>910</v>
      </c>
      <c r="E90" s="2375" t="s">
        <v>911</v>
      </c>
      <c r="F90" s="2375" t="s">
        <v>912</v>
      </c>
      <c r="G90" s="2375"/>
      <c r="H90" s="2376"/>
      <c r="I90" s="1045"/>
      <c r="J90" s="1045"/>
      <c r="K90" s="1045"/>
      <c r="L90" s="1045"/>
      <c r="M90" s="1397"/>
      <c r="N90" s="2382"/>
      <c r="O90" s="2382"/>
      <c r="P90" s="1702"/>
      <c r="Q90" s="1414"/>
    </row>
    <row r="91" s="1082" customFormat="1" ht="15.75" spans="1:17">
      <c r="A91" s="1352"/>
      <c r="B91" s="1347"/>
      <c r="C91" s="2377" t="s">
        <v>957</v>
      </c>
      <c r="D91" s="2377" t="s">
        <v>958</v>
      </c>
      <c r="E91" s="2377" t="s">
        <v>959</v>
      </c>
      <c r="F91" s="2377" t="s">
        <v>960</v>
      </c>
      <c r="G91" s="2377"/>
      <c r="H91" s="2378"/>
      <c r="I91" s="1355"/>
      <c r="J91" s="1355"/>
      <c r="K91" s="1355"/>
      <c r="L91" s="1355"/>
      <c r="M91" s="1400"/>
      <c r="N91" s="2382"/>
      <c r="O91" s="2382"/>
      <c r="P91" s="1702"/>
      <c r="Q91" s="1414"/>
    </row>
    <row r="92" ht="15.75" spans="1:17">
      <c r="A92" s="1342"/>
      <c r="B92" s="1345" t="str">
        <f>B28</f>
        <v>赠送</v>
      </c>
      <c r="C92" s="2379" t="s">
        <v>914</v>
      </c>
      <c r="D92" s="2374" t="s">
        <v>915</v>
      </c>
      <c r="E92" s="1353"/>
      <c r="F92" s="1353"/>
      <c r="G92" s="1366"/>
      <c r="H92" s="1366"/>
      <c r="I92" s="1366"/>
      <c r="J92" s="1366"/>
      <c r="K92" s="1065"/>
      <c r="L92" s="1065"/>
      <c r="M92" s="1408"/>
      <c r="N92" s="2368"/>
      <c r="O92" s="2368"/>
      <c r="P92" s="1697"/>
      <c r="Q92" s="1382"/>
    </row>
    <row r="93" ht="15.75" spans="1:17">
      <c r="A93" s="1342"/>
      <c r="B93" s="1347"/>
      <c r="C93" s="1354">
        <v>105</v>
      </c>
      <c r="D93" s="1344">
        <v>100</v>
      </c>
      <c r="E93" s="1344"/>
      <c r="F93" s="1344"/>
      <c r="G93" s="1344"/>
      <c r="H93" s="1344"/>
      <c r="I93" s="1344"/>
      <c r="J93" s="1344"/>
      <c r="K93" s="1344"/>
      <c r="L93" s="1344"/>
      <c r="M93" s="1392"/>
      <c r="N93" s="2369"/>
      <c r="O93" s="2369"/>
      <c r="P93" s="1697"/>
      <c r="Q93" s="1382"/>
    </row>
    <row r="94" ht="15.75" spans="1:17">
      <c r="A94" s="1342"/>
      <c r="B94" s="1345">
        <f>B29</f>
        <v>111</v>
      </c>
      <c r="C94" s="1353"/>
      <c r="D94" s="1353"/>
      <c r="E94" s="1353"/>
      <c r="F94" s="1353"/>
      <c r="G94" s="1366"/>
      <c r="H94" s="1366"/>
      <c r="I94" s="1366"/>
      <c r="J94" s="1366"/>
      <c r="K94" s="1065"/>
      <c r="L94" s="1065"/>
      <c r="M94" s="1408"/>
      <c r="N94" s="2368"/>
      <c r="O94" s="2368"/>
      <c r="P94" s="1697"/>
      <c r="Q94" s="1382"/>
    </row>
    <row r="95" ht="15.75" spans="1:17">
      <c r="A95" s="1342"/>
      <c r="B95" s="1347"/>
      <c r="C95" s="1354"/>
      <c r="D95" s="1354"/>
      <c r="E95" s="1354"/>
      <c r="F95" s="1354"/>
      <c r="G95" s="1344"/>
      <c r="H95" s="1344"/>
      <c r="I95" s="1344"/>
      <c r="J95" s="1344"/>
      <c r="K95" s="1344"/>
      <c r="L95" s="1344"/>
      <c r="M95" s="1392"/>
      <c r="N95" s="2369"/>
      <c r="O95" s="2369"/>
      <c r="P95" s="1697"/>
      <c r="Q95" s="1382"/>
    </row>
    <row r="96" ht="15.75" spans="1:17">
      <c r="A96" s="1342"/>
      <c r="B96" s="1345">
        <f>B30</f>
        <v>111</v>
      </c>
      <c r="C96" s="1353"/>
      <c r="D96" s="1353"/>
      <c r="E96" s="1353"/>
      <c r="F96" s="1353"/>
      <c r="G96" s="1366"/>
      <c r="H96" s="1366"/>
      <c r="I96" s="1366"/>
      <c r="J96" s="1366"/>
      <c r="K96" s="1065"/>
      <c r="L96" s="1065"/>
      <c r="M96" s="1408"/>
      <c r="N96" s="2368"/>
      <c r="O96" s="2368"/>
      <c r="P96" s="1697"/>
      <c r="Q96" s="1382"/>
    </row>
    <row r="97" ht="15.75" spans="1:17">
      <c r="A97" s="1342"/>
      <c r="B97" s="1347"/>
      <c r="C97" s="1358"/>
      <c r="D97" s="1358"/>
      <c r="E97" s="1358"/>
      <c r="F97" s="1358"/>
      <c r="G97" s="1344"/>
      <c r="H97" s="1344"/>
      <c r="I97" s="1344"/>
      <c r="J97" s="1344"/>
      <c r="K97" s="1344"/>
      <c r="L97" s="1344"/>
      <c r="M97" s="1392"/>
      <c r="N97" s="2369"/>
      <c r="O97" s="2369"/>
      <c r="P97" s="1697"/>
      <c r="Q97" s="1382"/>
    </row>
    <row r="98" ht="15.75" spans="1:17">
      <c r="A98" s="1342"/>
      <c r="B98" s="1349">
        <f>B31</f>
        <v>111</v>
      </c>
      <c r="C98" s="1367"/>
      <c r="D98" s="1367"/>
      <c r="E98" s="1367"/>
      <c r="F98" s="1367"/>
      <c r="G98" s="1367"/>
      <c r="H98" s="1367"/>
      <c r="I98" s="1367"/>
      <c r="J98" s="1367"/>
      <c r="K98" s="1068"/>
      <c r="L98" s="1068"/>
      <c r="M98" s="1409"/>
      <c r="N98" s="2368"/>
      <c r="O98" s="2368"/>
      <c r="P98" s="1697"/>
      <c r="Q98" s="1382"/>
    </row>
    <row r="99" ht="15.75" spans="1:17">
      <c r="A99" s="1653"/>
      <c r="B99" s="1357"/>
      <c r="C99" s="1368"/>
      <c r="D99" s="1368"/>
      <c r="E99" s="1368"/>
      <c r="F99" s="1368"/>
      <c r="G99" s="1368"/>
      <c r="H99" s="1368"/>
      <c r="I99" s="1368"/>
      <c r="J99" s="1368"/>
      <c r="K99" s="1368"/>
      <c r="L99" s="1368"/>
      <c r="M99" s="1410"/>
      <c r="N99" s="2369"/>
      <c r="O99" s="2369"/>
      <c r="P99" s="1697"/>
      <c r="Q99" s="1382"/>
    </row>
    <row r="100" spans="1:17">
      <c r="A100" s="1340" t="s">
        <v>916</v>
      </c>
      <c r="B100" s="1341" t="s">
        <v>917</v>
      </c>
      <c r="C100" s="2380" t="s">
        <v>918</v>
      </c>
      <c r="D100" s="1268"/>
      <c r="E100" s="1268"/>
      <c r="F100" s="1268"/>
      <c r="G100" s="1268"/>
      <c r="H100" s="1268"/>
      <c r="I100" s="1268"/>
      <c r="J100" s="1268"/>
      <c r="K100" s="1032"/>
      <c r="L100" s="1032"/>
      <c r="M100" s="1389"/>
      <c r="N100" s="2368"/>
      <c r="O100" s="236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9"/>
      <c r="O101" s="2369"/>
      <c r="P101" s="1697"/>
      <c r="Q101" s="1382"/>
    </row>
    <row r="102" ht="15.75" spans="1:17">
      <c r="A102" s="1342"/>
      <c r="B102" s="1345" t="s">
        <v>920</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7"/>
      <c r="O102" s="2367"/>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2"/>
      <c r="O103" s="2382"/>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69"/>
      <c r="O104" s="2369"/>
      <c r="P104" s="1702"/>
      <c r="Q104" s="1414"/>
    </row>
    <row r="105" ht="15.75" spans="1:17">
      <c r="A105" s="1372"/>
      <c r="B105" s="1345" t="s">
        <v>921</v>
      </c>
      <c r="C105" s="2374" t="s">
        <v>922</v>
      </c>
      <c r="D105" s="1353"/>
      <c r="E105" s="1366"/>
      <c r="F105" s="1366"/>
      <c r="G105" s="1366"/>
      <c r="H105" s="1366"/>
      <c r="I105" s="1366"/>
      <c r="J105" s="1366"/>
      <c r="K105" s="1065"/>
      <c r="L105" s="1065"/>
      <c r="M105" s="1408"/>
      <c r="N105" s="2368"/>
      <c r="O105" s="236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9"/>
      <c r="O106" s="2369"/>
      <c r="P106" s="1697"/>
      <c r="Q106" s="1382"/>
    </row>
    <row r="107" ht="15.75" spans="1:17">
      <c r="A107" s="1372"/>
      <c r="B107" s="1345" t="s">
        <v>923</v>
      </c>
      <c r="C107" s="2381" t="s">
        <v>961</v>
      </c>
      <c r="D107" s="2381" t="s">
        <v>901</v>
      </c>
      <c r="E107" s="1366"/>
      <c r="F107" s="1366"/>
      <c r="G107" s="1366"/>
      <c r="H107" s="1366"/>
      <c r="I107" s="1366"/>
      <c r="J107" s="1366"/>
      <c r="K107" s="1065"/>
      <c r="L107" s="1065"/>
      <c r="M107" s="1408"/>
      <c r="N107" s="2368"/>
      <c r="O107" s="236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9"/>
      <c r="O108" s="2369"/>
      <c r="P108" s="1697"/>
      <c r="Q108" s="1382"/>
    </row>
    <row r="109" ht="15.75" spans="1:17">
      <c r="A109" s="1372"/>
      <c r="B109" s="1345" t="s">
        <v>924</v>
      </c>
      <c r="C109" s="2374" t="s">
        <v>925</v>
      </c>
      <c r="D109" s="1353"/>
      <c r="E109" s="1353"/>
      <c r="F109" s="1366"/>
      <c r="G109" s="1366"/>
      <c r="H109" s="1366"/>
      <c r="I109" s="1366"/>
      <c r="J109" s="1366"/>
      <c r="K109" s="1065"/>
      <c r="L109" s="1065"/>
      <c r="M109" s="1408"/>
      <c r="N109" s="2368"/>
      <c r="O109" s="236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9"/>
      <c r="O110" s="2369"/>
      <c r="P110" s="1697"/>
      <c r="Q110" s="1382"/>
    </row>
    <row r="111" s="1082" customFormat="1" ht="15.75" spans="1:17">
      <c r="A111" s="1369"/>
      <c r="B111" s="1345" t="s">
        <v>926</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2"/>
      <c r="O111" s="2382"/>
      <c r="P111" s="1702"/>
      <c r="Q111" s="1414"/>
    </row>
    <row r="112" s="1082" customFormat="1" ht="15" spans="1:17">
      <c r="A112" s="1369"/>
      <c r="B112" s="1349"/>
      <c r="C112" s="642">
        <v>0.5</v>
      </c>
      <c r="D112" s="642">
        <v>0.6</v>
      </c>
      <c r="E112" s="642">
        <v>0.7</v>
      </c>
      <c r="F112" s="642">
        <v>0.8</v>
      </c>
      <c r="G112" s="642">
        <v>0.9</v>
      </c>
      <c r="H112" s="642">
        <v>1.0001</v>
      </c>
      <c r="I112" s="642"/>
      <c r="J112" s="2383"/>
      <c r="K112" s="2383"/>
      <c r="L112" s="2383"/>
      <c r="M112" s="2384"/>
      <c r="N112" s="2382"/>
      <c r="O112" s="2382"/>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2"/>
      <c r="O113" s="2382"/>
      <c r="P113" s="1702"/>
      <c r="Q113" s="1414"/>
    </row>
    <row r="114" ht="15.75" spans="1:17">
      <c r="A114" s="1372"/>
      <c r="B114" s="1345" t="s">
        <v>927</v>
      </c>
      <c r="C114" s="2374" t="s">
        <v>928</v>
      </c>
      <c r="D114" s="1353"/>
      <c r="E114" s="1366"/>
      <c r="F114" s="1366"/>
      <c r="G114" s="1366"/>
      <c r="H114" s="1366"/>
      <c r="I114" s="1366"/>
      <c r="J114" s="1366"/>
      <c r="K114" s="1065"/>
      <c r="L114" s="1065"/>
      <c r="M114" s="1408"/>
      <c r="N114" s="2368"/>
      <c r="O114" s="236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9"/>
      <c r="O115" s="2369"/>
      <c r="P115" s="1697"/>
      <c r="Q115" s="1382"/>
    </row>
    <row r="116" ht="15.75" spans="1:17">
      <c r="A116" s="1372"/>
      <c r="B116" s="1345" t="s">
        <v>929</v>
      </c>
      <c r="C116" s="2374" t="s">
        <v>902</v>
      </c>
      <c r="D116" s="1353"/>
      <c r="E116" s="1353"/>
      <c r="F116" s="1353"/>
      <c r="G116" s="1353"/>
      <c r="H116" s="1366"/>
      <c r="I116" s="1366"/>
      <c r="J116" s="1366"/>
      <c r="K116" s="1065"/>
      <c r="L116" s="1065"/>
      <c r="M116" s="1408"/>
      <c r="N116" s="2368"/>
      <c r="O116" s="236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9"/>
      <c r="O117" s="2369"/>
      <c r="P117" s="1697"/>
      <c r="Q117" s="1382"/>
    </row>
    <row r="118" ht="15.75" spans="1:17">
      <c r="A118" s="1372"/>
      <c r="B118" s="1345" t="s">
        <v>930</v>
      </c>
      <c r="C118" s="1366"/>
      <c r="D118" s="1366"/>
      <c r="E118" s="1366"/>
      <c r="F118" s="1366"/>
      <c r="G118" s="1366"/>
      <c r="H118" s="1366"/>
      <c r="I118" s="1366"/>
      <c r="J118" s="1366"/>
      <c r="K118" s="1065"/>
      <c r="L118" s="1065"/>
      <c r="M118" s="1408"/>
      <c r="N118" s="2368"/>
      <c r="O118" s="236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9"/>
      <c r="O119" s="2369"/>
      <c r="P119" s="1697"/>
      <c r="Q119" s="1382"/>
    </row>
    <row r="120" s="1082" customFormat="1" ht="28.5" spans="1:17">
      <c r="A120" s="1369"/>
      <c r="B120" s="1345" t="s">
        <v>931</v>
      </c>
      <c r="C120" s="1353"/>
      <c r="D120" s="1353"/>
      <c r="E120" s="1353"/>
      <c r="F120" s="1353"/>
      <c r="G120" s="1353"/>
      <c r="H120" s="1353"/>
      <c r="I120" s="1353"/>
      <c r="J120" s="1353"/>
      <c r="K120" s="1353"/>
      <c r="L120" s="1353"/>
      <c r="M120" s="1655"/>
      <c r="N120" s="2382"/>
      <c r="O120" s="2382"/>
      <c r="P120" s="1702"/>
      <c r="Q120" s="1414"/>
    </row>
    <row r="121" s="1082" customFormat="1" ht="15.75" spans="1:17">
      <c r="A121" s="1352"/>
      <c r="B121" s="1343"/>
      <c r="C121" s="1354"/>
      <c r="D121" s="1344"/>
      <c r="E121" s="1344"/>
      <c r="F121" s="1344"/>
      <c r="G121" s="1344"/>
      <c r="H121" s="1344"/>
      <c r="I121" s="1344"/>
      <c r="J121" s="1344"/>
      <c r="K121" s="1344"/>
      <c r="L121" s="1344"/>
      <c r="M121" s="1344"/>
      <c r="N121" s="2382"/>
      <c r="O121" s="2382"/>
      <c r="P121" s="1702"/>
      <c r="Q121" s="1414"/>
    </row>
    <row r="122" ht="15.75" spans="1:17">
      <c r="A122" s="1372"/>
      <c r="B122" s="1345" t="s">
        <v>932</v>
      </c>
      <c r="C122" s="2374" t="s">
        <v>925</v>
      </c>
      <c r="D122" s="2374" t="s">
        <v>933</v>
      </c>
      <c r="E122" s="2374" t="s">
        <v>962</v>
      </c>
      <c r="F122" s="2381" t="s">
        <v>963</v>
      </c>
      <c r="G122" s="1366"/>
      <c r="H122" s="1366"/>
      <c r="I122" s="1366"/>
      <c r="J122" s="1366"/>
      <c r="K122" s="1065"/>
      <c r="L122" s="1065"/>
      <c r="M122" s="1408"/>
      <c r="N122" s="2368"/>
      <c r="O122" s="2368"/>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69"/>
      <c r="O123" s="236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8"/>
      <c r="O124" s="2368"/>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9"/>
      <c r="O125" s="236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2"/>
      <c r="O126" s="2382"/>
      <c r="P126" s="1702"/>
      <c r="Q126" s="1414"/>
    </row>
    <row r="127" s="1082" customFormat="1" ht="15.75" spans="1:17">
      <c r="A127" s="1352"/>
      <c r="B127" s="1347"/>
      <c r="C127" s="1354"/>
      <c r="D127" s="1344"/>
      <c r="E127" s="1344"/>
      <c r="F127" s="1344"/>
      <c r="G127" s="1354"/>
      <c r="H127" s="1355"/>
      <c r="I127" s="1355"/>
      <c r="J127" s="1355"/>
      <c r="K127" s="1355"/>
      <c r="L127" s="1355"/>
      <c r="M127" s="1400"/>
      <c r="N127" s="2382"/>
      <c r="O127" s="2382"/>
      <c r="P127" s="1702"/>
      <c r="Q127" s="1414"/>
    </row>
    <row r="128" ht="15.75" spans="1:17">
      <c r="A128" s="1372"/>
      <c r="B128" s="1345">
        <f>B45</f>
        <v>111</v>
      </c>
      <c r="C128" s="1353"/>
      <c r="D128" s="1353"/>
      <c r="E128" s="1353"/>
      <c r="F128" s="1353"/>
      <c r="G128" s="1366"/>
      <c r="H128" s="1366"/>
      <c r="I128" s="1366"/>
      <c r="J128" s="1366"/>
      <c r="K128" s="1065"/>
      <c r="L128" s="1065"/>
      <c r="M128" s="1408"/>
      <c r="N128" s="2368"/>
      <c r="O128" s="2368"/>
      <c r="P128" s="1697"/>
      <c r="Q128" s="1382"/>
    </row>
    <row r="129" ht="15.75" spans="1:17">
      <c r="A129" s="1342"/>
      <c r="B129" s="1347"/>
      <c r="C129" s="1354"/>
      <c r="D129" s="1354"/>
      <c r="E129" s="1354"/>
      <c r="F129" s="1354"/>
      <c r="G129" s="1344"/>
      <c r="H129" s="1344"/>
      <c r="I129" s="1344"/>
      <c r="J129" s="1344"/>
      <c r="K129" s="1344"/>
      <c r="L129" s="1344"/>
      <c r="M129" s="1392"/>
      <c r="N129" s="2369"/>
      <c r="O129" s="2369"/>
      <c r="P129" s="1697"/>
      <c r="Q129" s="1382"/>
    </row>
    <row r="130" ht="15.75" spans="1:17">
      <c r="A130" s="1372"/>
      <c r="B130" s="1349">
        <f>B46</f>
        <v>111</v>
      </c>
      <c r="C130" s="1353"/>
      <c r="D130" s="1353"/>
      <c r="E130" s="1353"/>
      <c r="F130" s="1353"/>
      <c r="G130" s="1367"/>
      <c r="H130" s="1367"/>
      <c r="I130" s="1367"/>
      <c r="J130" s="1367"/>
      <c r="K130" s="1026"/>
      <c r="L130" s="1026"/>
      <c r="M130" s="1409"/>
      <c r="N130" s="2368"/>
      <c r="O130" s="2368"/>
      <c r="P130" s="1697"/>
      <c r="Q130" s="1382"/>
    </row>
    <row r="131" ht="15.75" spans="1:17">
      <c r="A131" s="1653"/>
      <c r="B131" s="1357"/>
      <c r="C131" s="1358"/>
      <c r="D131" s="1358"/>
      <c r="E131" s="1358"/>
      <c r="F131" s="1358"/>
      <c r="G131" s="1368"/>
      <c r="H131" s="1368"/>
      <c r="I131" s="1368"/>
      <c r="J131" s="1368"/>
      <c r="K131" s="1368"/>
      <c r="L131" s="1368"/>
      <c r="M131" s="1410"/>
      <c r="N131" s="2369"/>
      <c r="O131" s="2369"/>
      <c r="P131" s="1697"/>
      <c r="Q131" s="1382"/>
    </row>
    <row r="136" ht="15" spans="2:2">
      <c r="B136" s="2385" t="s">
        <v>964</v>
      </c>
    </row>
    <row r="137" ht="15" spans="2:11">
      <c r="B137" s="2386" t="s">
        <v>965</v>
      </c>
      <c r="C137" s="2387"/>
      <c r="D137" s="2387"/>
      <c r="E137" s="2387"/>
      <c r="F137" s="2387"/>
      <c r="G137" s="2388"/>
      <c r="H137" s="2389"/>
      <c r="I137" s="2413" t="s">
        <v>966</v>
      </c>
      <c r="J137" s="2387"/>
      <c r="K137" s="2414"/>
    </row>
    <row r="138" ht="15" spans="2:11">
      <c r="B138" s="2390"/>
      <c r="C138" s="1218" t="s">
        <v>967</v>
      </c>
      <c r="D138" s="1218" t="s">
        <v>968</v>
      </c>
      <c r="E138" s="2391" t="s">
        <v>969</v>
      </c>
      <c r="F138" s="2392" t="s">
        <v>970</v>
      </c>
      <c r="G138" s="1218" t="s">
        <v>968</v>
      </c>
      <c r="H138" s="2393" t="s">
        <v>969</v>
      </c>
      <c r="I138" s="2415"/>
      <c r="J138" s="1218" t="s">
        <v>971</v>
      </c>
      <c r="K138" s="2393" t="s">
        <v>972</v>
      </c>
    </row>
    <row r="139" ht="15" spans="2:11">
      <c r="B139" s="2394">
        <v>6</v>
      </c>
      <c r="C139" s="2395">
        <v>96</v>
      </c>
      <c r="D139" s="2396" t="s">
        <v>973</v>
      </c>
      <c r="E139" s="2397">
        <v>100</v>
      </c>
      <c r="F139" s="2398">
        <v>102.5</v>
      </c>
      <c r="G139" s="2396" t="s">
        <v>973</v>
      </c>
      <c r="H139" s="2399">
        <v>105</v>
      </c>
      <c r="I139" s="2416" t="s">
        <v>974</v>
      </c>
      <c r="J139" s="2395">
        <v>20</v>
      </c>
      <c r="K139" s="2417">
        <f>C145/(J139-2)</f>
        <v>0.00405555555555556</v>
      </c>
    </row>
    <row r="140" ht="15" spans="2:11">
      <c r="B140" s="2400">
        <v>5</v>
      </c>
      <c r="C140" s="2401">
        <v>100</v>
      </c>
      <c r="D140" s="2401"/>
      <c r="E140" s="2402"/>
      <c r="F140" s="2403">
        <v>102</v>
      </c>
      <c r="G140" s="2401"/>
      <c r="H140" s="2404"/>
      <c r="I140" s="2418" t="s">
        <v>975</v>
      </c>
      <c r="J140" s="2419">
        <f>ROUNDUP((J139-1)/2,0)</f>
        <v>10</v>
      </c>
      <c r="K140" s="2420">
        <v>100</v>
      </c>
    </row>
    <row r="141" ht="15" spans="2:11">
      <c r="B141" s="2400">
        <v>4</v>
      </c>
      <c r="C141" s="2401">
        <v>102</v>
      </c>
      <c r="D141" s="2401"/>
      <c r="E141" s="2402"/>
      <c r="F141" s="2403">
        <v>101.5</v>
      </c>
      <c r="G141" s="2401"/>
      <c r="H141" s="2404"/>
      <c r="I141" s="2418" t="s">
        <v>976</v>
      </c>
      <c r="J141" s="2419">
        <v>1</v>
      </c>
      <c r="K141" s="2421">
        <f>ROUND(100+(J141-J140)*K139*100,1)</f>
        <v>96.4</v>
      </c>
    </row>
    <row r="142" ht="15" spans="2:11">
      <c r="B142" s="2400">
        <v>3</v>
      </c>
      <c r="C142" s="2401">
        <v>103</v>
      </c>
      <c r="D142" s="2401"/>
      <c r="E142" s="2402"/>
      <c r="F142" s="2403">
        <v>101</v>
      </c>
      <c r="G142" s="2401"/>
      <c r="H142" s="2404"/>
      <c r="I142" s="2418" t="s">
        <v>977</v>
      </c>
      <c r="J142" s="2419">
        <f>J139</f>
        <v>20</v>
      </c>
      <c r="K142" s="2422">
        <v>95</v>
      </c>
    </row>
    <row r="143" ht="15" spans="2:11">
      <c r="B143" s="2400">
        <v>2</v>
      </c>
      <c r="C143" s="2401">
        <v>100</v>
      </c>
      <c r="D143" s="2401"/>
      <c r="E143" s="2402"/>
      <c r="F143" s="2403">
        <v>100.5</v>
      </c>
      <c r="G143" s="2401"/>
      <c r="H143" s="2404"/>
      <c r="I143" s="2418" t="s">
        <v>978</v>
      </c>
      <c r="J143" s="2401">
        <v>15</v>
      </c>
      <c r="K143" s="2421">
        <f>ROUND(100+(J143-J140)*K139*100,1)</f>
        <v>102</v>
      </c>
    </row>
    <row r="144" ht="15" spans="2:11">
      <c r="B144" s="2400">
        <v>1</v>
      </c>
      <c r="C144" s="2401">
        <v>98</v>
      </c>
      <c r="D144" s="2405" t="s">
        <v>979</v>
      </c>
      <c r="E144" s="2402">
        <v>102</v>
      </c>
      <c r="F144" s="2406">
        <v>100</v>
      </c>
      <c r="G144" s="2405" t="s">
        <v>979</v>
      </c>
      <c r="H144" s="2404">
        <v>105</v>
      </c>
      <c r="I144" s="2418" t="s">
        <v>978</v>
      </c>
      <c r="J144" s="2401">
        <v>18</v>
      </c>
      <c r="K144" s="2421">
        <f>ROUND(100+(J144-J140)*K139*100,1)</f>
        <v>103.2</v>
      </c>
    </row>
    <row r="145" ht="15.75" spans="2:11">
      <c r="B145" s="2407" t="s">
        <v>980</v>
      </c>
      <c r="C145" s="2408">
        <f>ROUND(MAX(C139:C144)/MIN(C139:C144)-1,3)</f>
        <v>0.073</v>
      </c>
      <c r="D145" s="2409"/>
      <c r="E145" s="2409"/>
      <c r="F145" s="2410" t="s">
        <v>981</v>
      </c>
      <c r="G145" s="2411"/>
      <c r="H145" s="2412"/>
      <c r="I145" s="2423" t="s">
        <v>978</v>
      </c>
      <c r="J145" s="2424">
        <v>8</v>
      </c>
      <c r="K145" s="2425">
        <f>ROUND(100+(J145-J140)*K139*100,1)</f>
        <v>99.2</v>
      </c>
    </row>
    <row r="147" spans="2:2">
      <c r="B147" s="2385" t="s">
        <v>982</v>
      </c>
    </row>
    <row r="148" spans="2:2">
      <c r="B148" s="2385"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09" workbookViewId="0">
      <selection activeCell="L135" sqref="L135"/>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H45" sqref="H45"/>
    </sheetView>
  </sheetViews>
  <sheetFormatPr defaultColWidth="9" defaultRowHeight="15"/>
  <cols>
    <col min="1" max="1" width="9" style="2005" customWidth="1"/>
    <col min="2" max="2" width="20.6666666666667" style="2084" customWidth="1"/>
    <col min="3" max="3" width="11.8833333333333" style="2084" customWidth="1"/>
    <col min="4" max="4" width="40.4416666666667" style="2005" customWidth="1"/>
    <col min="5" max="5" width="15.775" style="2005" customWidth="1"/>
    <col min="6" max="6" width="10.6666666666667" style="2005" customWidth="1"/>
    <col min="7" max="7" width="4.88333333333333" style="2005" customWidth="1"/>
    <col min="8" max="8" width="8.44166666666667" style="2005" customWidth="1"/>
    <col min="9" max="9" width="21.2166666666667" style="2005" customWidth="1"/>
    <col min="10" max="10" width="12.2166666666667" style="2005" customWidth="1"/>
    <col min="11" max="11" width="40.1083333333333" style="2085" customWidth="1"/>
    <col min="12" max="12" width="18.3333333333333" style="2005" customWidth="1"/>
    <col min="13" max="13" width="13" style="2005" customWidth="1"/>
    <col min="14" max="14" width="13.1083333333333" style="2083" customWidth="1"/>
    <col min="15" max="15" width="5.21666666666667" style="2083" customWidth="1"/>
    <col min="16" max="16" width="24.8833333333333" style="2083" customWidth="1"/>
    <col min="17" max="17" width="13.775" style="2086" customWidth="1"/>
    <col min="18" max="18" width="26.1083333333333" style="2083" customWidth="1"/>
    <col min="19" max="19" width="1.44166666666667"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1662548</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12342</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72834</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72743</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134.71</v>
      </c>
      <c r="G7" s="2107"/>
      <c r="H7" s="2122"/>
      <c r="I7" s="2119"/>
      <c r="J7" s="2120"/>
      <c r="K7" s="2121"/>
      <c r="L7" s="2116" t="s">
        <v>999</v>
      </c>
      <c r="M7" s="2117">
        <f>IF('数据-取费表'!B42="",IF(D1="仅计算典型户型",'数据-取费表'!E5,'数据-取费表'!B5),'数据-取费表'!B42)</f>
        <v>134.71</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91</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510144</v>
      </c>
      <c r="D13" s="2145" t="s">
        <v>1014</v>
      </c>
      <c r="E13" s="2145" t="s">
        <v>1015</v>
      </c>
      <c r="F13" s="2146">
        <f>'数据-取费表'!E20</f>
        <v>0.88</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404130</v>
      </c>
      <c r="D14" s="2149" t="s">
        <v>1018</v>
      </c>
      <c r="E14" s="2150"/>
      <c r="F14" s="2151"/>
      <c r="G14" s="2134"/>
      <c r="H14" s="2147" t="s">
        <v>995</v>
      </c>
      <c r="I14" s="2116" t="s">
        <v>1019</v>
      </c>
      <c r="J14" s="1763">
        <f ca="1">C29</f>
        <v>579709</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12124</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20207</v>
      </c>
      <c r="D16" s="2116" t="s">
        <v>1022</v>
      </c>
      <c r="E16" s="2116" t="s">
        <v>1023</v>
      </c>
      <c r="F16" s="2155">
        <f>IF('数据-取费表'!B10="住宅",'数据-取费表'!E22,0)</f>
        <v>0.05</v>
      </c>
      <c r="G16" s="2134"/>
      <c r="H16" s="2142" t="s">
        <v>742</v>
      </c>
      <c r="I16" s="2143" t="s">
        <v>1026</v>
      </c>
      <c r="J16" s="2144">
        <f ca="1">ROUND(J17+J22+J23+J24,0)</f>
        <v>5797</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26942</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6062</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469465</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4695</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5797</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20626</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-5797</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47416</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579709</v>
      </c>
      <c r="D29" s="2163"/>
      <c r="E29" s="2140"/>
      <c r="F29" s="2164"/>
      <c r="G29" s="2083"/>
      <c r="H29" s="2165" t="s">
        <v>1083</v>
      </c>
      <c r="I29" s="2192" t="s">
        <v>1084</v>
      </c>
      <c r="J29" s="2193">
        <f ca="1">ROUND(J26/(1+F40)^F41,0)</f>
        <v>0</v>
      </c>
      <c r="K29" s="2194" t="s">
        <v>1085</v>
      </c>
      <c r="L29" s="2195"/>
      <c r="M29" s="2196">
        <f>IF(D1="仅计算典型户型",'数据-取费表'!E5,'数据-取费表'!B5)</f>
        <v>134.71</v>
      </c>
    </row>
    <row r="30" ht="18" customHeight="1" spans="1:13">
      <c r="A30" s="2142" t="s">
        <v>742</v>
      </c>
      <c r="B30" s="2143" t="s">
        <v>1026</v>
      </c>
      <c r="C30" s="2144">
        <f ca="1">ROUND(C31+C36+C37+C38,0)</f>
        <v>8767</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1732</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5797</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510</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728</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64067</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1662548</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52</v>
      </c>
      <c r="H41" s="2190"/>
      <c r="I41" s="2078" t="s">
        <v>1099</v>
      </c>
      <c r="J41" s="2079">
        <f ca="1">ROUND(C13/C40,3)</f>
        <v>0.307</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0.693</v>
      </c>
      <c r="K42" s="2266"/>
      <c r="L42" s="2190"/>
      <c r="M42" s="2190"/>
      <c r="Q42" s="2086"/>
    </row>
    <row r="43" s="2083" customFormat="1" ht="18" customHeight="1" spans="1:18">
      <c r="A43" s="2165" t="s">
        <v>1083</v>
      </c>
      <c r="B43" s="2192" t="s">
        <v>1101</v>
      </c>
      <c r="C43" s="2193">
        <f ca="1">ROUND(C40/F43,0)</f>
        <v>12342</v>
      </c>
      <c r="D43" s="2194" t="s">
        <v>1102</v>
      </c>
      <c r="E43" s="2195" t="s">
        <v>1103</v>
      </c>
      <c r="F43" s="2196">
        <f>IF(D1="仅计算典型户型",'数据-取费表'!E5,'数据-取费表'!B5)</f>
        <v>134.71</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1662548</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-1778711</v>
      </c>
      <c r="D47" s="2202" t="str">
        <f>C2</f>
        <v>元</v>
      </c>
      <c r="E47" s="1989"/>
      <c r="F47" s="1989"/>
      <c r="I47" s="2276" t="s">
        <v>1116</v>
      </c>
      <c r="J47" s="2277"/>
      <c r="K47" s="2278"/>
      <c r="L47" s="2279">
        <f ca="1">IF(M48="住宅",0,IF(L49&gt;J52,L61,J61))</f>
        <v>0</v>
      </c>
      <c r="O47" s="2280" t="s">
        <v>1117</v>
      </c>
      <c r="P47" s="2275" t="s">
        <v>1118</v>
      </c>
      <c r="Q47" s="2324">
        <f ca="1">C29</f>
        <v>579709</v>
      </c>
      <c r="R47" s="2325" t="s">
        <v>1111</v>
      </c>
    </row>
    <row r="48" s="2083" customFormat="1" ht="15.75" spans="1:18">
      <c r="A48" s="2103" t="s">
        <v>987</v>
      </c>
      <c r="B48" s="2104" t="s">
        <v>988</v>
      </c>
      <c r="C48" s="2104" t="s">
        <v>989</v>
      </c>
      <c r="D48" s="2104" t="s">
        <v>990</v>
      </c>
      <c r="E48" s="2203" t="s">
        <v>991</v>
      </c>
      <c r="F48" s="2204"/>
      <c r="I48" s="2281" t="s">
        <v>1119</v>
      </c>
      <c r="J48" s="2282" t="s">
        <v>922</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52</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52</v>
      </c>
      <c r="R50" s="2325" t="s">
        <v>1136</v>
      </c>
    </row>
    <row r="51" s="2083" customFormat="1" ht="15.75" spans="1:18">
      <c r="A51" s="2122"/>
      <c r="B51" s="2119"/>
      <c r="C51" s="2120"/>
      <c r="D51" s="2121"/>
      <c r="E51" s="2152" t="s">
        <v>999</v>
      </c>
      <c r="F51" s="2213">
        <f>F7</f>
        <v>134.71</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1662548</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31618975</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52</v>
      </c>
      <c r="K54" s="2301" t="s">
        <v>1147</v>
      </c>
      <c r="L54" s="2302"/>
      <c r="O54" s="2274" t="s">
        <v>1109</v>
      </c>
      <c r="P54" s="2275" t="s">
        <v>1110</v>
      </c>
      <c r="Q54" s="2324">
        <f ca="1">C40+J29</f>
        <v>1662548</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510144</v>
      </c>
      <c r="D57" s="2222"/>
      <c r="E57" s="2223"/>
      <c r="F57" s="2224"/>
      <c r="I57" s="2308" t="s">
        <v>1153</v>
      </c>
      <c r="J57" s="2309" t="s">
        <v>1154</v>
      </c>
      <c r="K57" s="2286" t="s">
        <v>1155</v>
      </c>
      <c r="L57" s="2289">
        <f>IF(L49&lt;J52,"——",L49-J52)</f>
        <v>8</v>
      </c>
      <c r="O57" s="2280" t="s">
        <v>1121</v>
      </c>
      <c r="P57" s="2275" t="s">
        <v>1156</v>
      </c>
      <c r="Q57" s="2326">
        <f>L53</f>
        <v>0</v>
      </c>
      <c r="R57" s="2325"/>
    </row>
    <row r="58" s="2083" customFormat="1" ht="29.25" spans="1:18">
      <c r="A58" s="2225"/>
      <c r="B58" s="2116" t="s">
        <v>1082</v>
      </c>
      <c r="C58" s="2046">
        <f ca="1">C29</f>
        <v>579709</v>
      </c>
      <c r="D58" s="2222"/>
      <c r="E58" s="2223"/>
      <c r="F58" s="2224"/>
      <c r="I58" s="2310" t="s">
        <v>1157</v>
      </c>
      <c r="J58" s="2311" t="str">
        <f>IF(OR(M48="住宅",J52&lt;L49,J57="是"),"——",J52-L49)</f>
        <v>——</v>
      </c>
      <c r="K58" s="2286" t="s">
        <v>1158</v>
      </c>
      <c r="L58" s="2289">
        <f ca="1">IF(L49&lt;J52,"——",IF(L56="比较法",L50,IF(L56="基准地价",L51,L52)))</f>
        <v>31618975</v>
      </c>
      <c r="O58" s="2280" t="s">
        <v>1127</v>
      </c>
      <c r="P58" s="2275" t="s">
        <v>1159</v>
      </c>
      <c r="Q58" s="2324" t="e">
        <f>L59</f>
        <v>#DIV/0!</v>
      </c>
      <c r="R58" s="2325" t="s">
        <v>1160</v>
      </c>
    </row>
    <row r="59" s="2083" customFormat="1" ht="29.25" spans="1:18">
      <c r="A59" s="2226" t="s">
        <v>742</v>
      </c>
      <c r="B59" s="2227" t="s">
        <v>1026</v>
      </c>
      <c r="C59" s="1716">
        <f ca="1">ROUND(C60+C65+C66+C67,0)</f>
        <v>6307</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1662548</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1662548</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5797</v>
      </c>
      <c r="D65" s="2171" t="s">
        <v>1091</v>
      </c>
      <c r="E65" s="2116" t="s">
        <v>1023</v>
      </c>
      <c r="F65" s="2180">
        <f t="shared" si="0"/>
        <v>0.01</v>
      </c>
      <c r="I65" s="2316" t="s">
        <v>1181</v>
      </c>
      <c r="J65" s="2317">
        <v>50</v>
      </c>
      <c r="K65" s="2317">
        <v>35</v>
      </c>
      <c r="L65" s="2317">
        <v>60</v>
      </c>
      <c r="M65" s="2318">
        <v>0</v>
      </c>
      <c r="O65" s="2280" t="s">
        <v>1117</v>
      </c>
      <c r="P65" s="2275" t="s">
        <v>1152</v>
      </c>
      <c r="Q65" s="2331">
        <f ca="1">L52</f>
        <v>31618975</v>
      </c>
      <c r="R65" s="2332" t="s">
        <v>1182</v>
      </c>
    </row>
    <row r="66" s="2083" customFormat="1" ht="20.25" spans="1:18">
      <c r="A66" s="2147" t="s">
        <v>1183</v>
      </c>
      <c r="B66" s="2116" t="s">
        <v>1057</v>
      </c>
      <c r="C66" s="1763">
        <f ca="1">ROUND(C57*F66,0)</f>
        <v>510</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64067</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64067</v>
      </c>
      <c r="R67" s="2325" t="s">
        <v>1111</v>
      </c>
    </row>
    <row r="68" ht="15.75" spans="1:18">
      <c r="A68" s="2226" t="s">
        <v>745</v>
      </c>
      <c r="B68" s="2327" t="s">
        <v>1065</v>
      </c>
      <c r="C68" s="1716">
        <f ca="1">C49-C59</f>
        <v>-6307</v>
      </c>
      <c r="D68" s="2149" t="s">
        <v>1066</v>
      </c>
      <c r="E68" s="2328"/>
      <c r="F68" s="2329"/>
      <c r="H68" s="2083"/>
      <c r="I68" s="2083"/>
      <c r="J68" s="2083"/>
      <c r="K68" s="2083"/>
      <c r="L68" s="2083"/>
      <c r="M68" s="2083"/>
      <c r="O68" s="2280" t="s">
        <v>1189</v>
      </c>
      <c r="P68" s="2330" t="s">
        <v>1190</v>
      </c>
      <c r="Q68" s="2324">
        <f ca="1">C13</f>
        <v>510144</v>
      </c>
      <c r="R68" s="2325" t="s">
        <v>1111</v>
      </c>
    </row>
    <row r="69" ht="15.75" spans="1:18">
      <c r="A69" s="2108" t="s">
        <v>771</v>
      </c>
      <c r="B69" s="2109" t="s">
        <v>1096</v>
      </c>
      <c r="C69" s="2110">
        <f ca="1">ROUND(C68*(1-((1+F71)/(1+F69))^F70)/(F69-F71),0)</f>
        <v>-116163</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52</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-862</v>
      </c>
      <c r="D72" s="2194" t="s">
        <v>1102</v>
      </c>
      <c r="E72" s="2195" t="s">
        <v>1103</v>
      </c>
      <c r="F72" s="2196">
        <f>F43</f>
        <v>134.71</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1662548</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3"/>
      <c r="B1" s="3414"/>
    </row>
    <row r="2" spans="1:2">
      <c r="A2" s="3413"/>
      <c r="B2" s="3414"/>
    </row>
    <row r="3" spans="1:2">
      <c r="A3" s="3413"/>
      <c r="B3" s="3414"/>
    </row>
    <row r="4" spans="1:2">
      <c r="A4" s="3413"/>
      <c r="B4" s="3414"/>
    </row>
    <row r="5" spans="1:2">
      <c r="A5" s="3413"/>
      <c r="B5" s="3414"/>
    </row>
    <row r="6" spans="1:2">
      <c r="A6" s="3413"/>
      <c r="B6" s="3414"/>
    </row>
    <row r="7" spans="1:2">
      <c r="A7" s="3413"/>
      <c r="B7" s="3414"/>
    </row>
    <row r="8" spans="1:3">
      <c r="A8" s="3415" t="s">
        <v>71</v>
      </c>
      <c r="B8" s="3416" t="s">
        <v>72</v>
      </c>
      <c r="C8" s="3417"/>
    </row>
    <row r="9" spans="1:7">
      <c r="A9" s="3413"/>
      <c r="B9" s="3418" t="str">
        <f>项目基本情况!B1</f>
        <v>北京市预评估</v>
      </c>
      <c r="C9" s="3419"/>
      <c r="D9" s="3420"/>
      <c r="E9" s="3420"/>
      <c r="F9" s="3420"/>
      <c r="G9" s="3420"/>
    </row>
    <row r="10" spans="1:7">
      <c r="A10" s="3413"/>
      <c r="B10" s="3421"/>
      <c r="C10" s="3419"/>
      <c r="D10" s="3420"/>
      <c r="E10" s="3420"/>
      <c r="F10" s="3420"/>
      <c r="G10" s="3420"/>
    </row>
    <row r="11" spans="1:3">
      <c r="A11" s="3415" t="s">
        <v>71</v>
      </c>
      <c r="B11" s="3416" t="s">
        <v>73</v>
      </c>
      <c r="C11" s="3417"/>
    </row>
    <row r="12" spans="1:3">
      <c r="A12" s="3413"/>
      <c r="B12" s="3422" t="str">
        <f>项目基本情况!B4</f>
        <v>xx</v>
      </c>
      <c r="C12" s="3417"/>
    </row>
    <row r="13" spans="1:3">
      <c r="A13" s="3413"/>
      <c r="B13" s="3416"/>
      <c r="C13" s="3417"/>
    </row>
    <row r="14" spans="1:3">
      <c r="A14" s="3415" t="s">
        <v>71</v>
      </c>
      <c r="B14" s="3416" t="s">
        <v>74</v>
      </c>
      <c r="C14" s="3417"/>
    </row>
    <row r="15" spans="1:3">
      <c r="A15" s="3413"/>
      <c r="B15" s="3422" t="s">
        <v>75</v>
      </c>
      <c r="C15" s="3417"/>
    </row>
    <row r="16" spans="1:3">
      <c r="A16" s="3413"/>
      <c r="B16" s="3416"/>
      <c r="C16" s="3417"/>
    </row>
    <row r="17" spans="1:3">
      <c r="A17" s="3415" t="s">
        <v>71</v>
      </c>
      <c r="B17" s="3416" t="s">
        <v>76</v>
      </c>
      <c r="C17" s="3417"/>
    </row>
    <row r="18" s="3412" customFormat="1" spans="1:5">
      <c r="A18" s="3423"/>
      <c r="B18" s="3422" t="str">
        <f ca="1">CONCATENATE(项目基本情况!B3,"（注册号:",项目基本情况!C3,"）、",项目基本情况!D3,"（注册号:",项目基本情况!E3,")")</f>
        <v>陈颖（注册号:1120060040）、（注册号:0)</v>
      </c>
      <c r="C18" s="3424"/>
      <c r="E18" s="3424"/>
    </row>
    <row r="19" spans="1:3">
      <c r="A19" s="3413"/>
      <c r="B19" s="3416"/>
      <c r="C19" s="3417"/>
    </row>
    <row r="20" spans="1:3">
      <c r="A20" s="3415" t="s">
        <v>71</v>
      </c>
      <c r="B20" s="3416" t="s">
        <v>77</v>
      </c>
      <c r="C20" s="3417"/>
    </row>
    <row r="21" spans="1:2">
      <c r="A21" s="3413"/>
      <c r="B21" s="3422" t="str">
        <f>"康正预评字"&amp;项目基本情况!G1&amp;"号"</f>
        <v>康正预评字号</v>
      </c>
    </row>
    <row r="22" spans="1:2">
      <c r="A22" s="3413"/>
      <c r="B22" s="3414"/>
    </row>
    <row r="23" spans="2:2">
      <c r="B23" s="342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2.75"/>
  <cols>
    <col min="1" max="1" width="9.33333333333333" style="2001" customWidth="1"/>
    <col min="2" max="2" width="29.2166666666667" style="2002" customWidth="1"/>
    <col min="3" max="3" width="12.1083333333333" style="2002" customWidth="1"/>
    <col min="4" max="4" width="12.2166666666667" style="2003" customWidth="1"/>
    <col min="5" max="5" width="11.2166666666667" style="2003" customWidth="1"/>
    <col min="6" max="6" width="9.44166666666667" style="2002" customWidth="1"/>
    <col min="7" max="7" width="31.8833333333333" style="2002" customWidth="1"/>
    <col min="8" max="123" width="9" style="2000" customWidth="1"/>
    <col min="124" max="254" width="9" style="2002" customWidth="1"/>
    <col min="255" max="16384" width="8.33333333333333"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3829742</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28430</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2586645</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2489171</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75920</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21554</v>
      </c>
      <c r="D9" s="2033">
        <f>IF('数据-取费表'!B10="住宅",IF(B1="仅计算典型户型",'数据-取费表'!E5,'数据-取费表'!B5),0)</f>
        <v>134.71</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134.71</v>
      </c>
      <c r="E19" s="2017">
        <f>'数据-取费表'!E15</f>
        <v>200</v>
      </c>
      <c r="F19" s="2038"/>
      <c r="G19" s="2029" t="s">
        <v>1230</v>
      </c>
    </row>
    <row r="20" s="1998" customFormat="1" ht="13.5" customHeight="1" spans="1:123">
      <c r="A20" s="2015" t="s">
        <v>1231</v>
      </c>
      <c r="B20" s="2016" t="s">
        <v>1232</v>
      </c>
      <c r="C20" s="2039">
        <f>ROUND((C5+C19)*F20,0)</f>
        <v>25866</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231058</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229933</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1125</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261251</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261251</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3319598</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469465</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404130</v>
      </c>
      <c r="D34" s="2023"/>
      <c r="E34" s="2026"/>
      <c r="F34" s="2061" t="str">
        <f>IF('数据-取费表'!B26=0,"",'数据-取费表'!E20)</f>
        <v/>
      </c>
      <c r="G34" s="2025"/>
    </row>
    <row r="35" ht="13.5" customHeight="1" spans="1:7">
      <c r="A35" s="2020" t="s">
        <v>1203</v>
      </c>
      <c r="B35" s="2021" t="s">
        <v>1261</v>
      </c>
      <c r="C35" s="2026">
        <f>ROUND(C34*F35,0)</f>
        <v>12124</v>
      </c>
      <c r="D35" s="2026"/>
      <c r="E35" s="2026"/>
      <c r="F35" s="2062">
        <f>'数据-取费表'!E21</f>
        <v>0.03</v>
      </c>
      <c r="G35" s="2025" t="s">
        <v>1262</v>
      </c>
    </row>
    <row r="36" ht="24" spans="1:7">
      <c r="A36" s="2020" t="s">
        <v>1205</v>
      </c>
      <c r="B36" s="2021" t="s">
        <v>1263</v>
      </c>
      <c r="C36" s="2026">
        <f>ROUND(IF('数据-取费表'!B10="住宅",C34*F36,0),0)</f>
        <v>20207</v>
      </c>
      <c r="D36" s="2026"/>
      <c r="E36" s="2026"/>
      <c r="F36" s="2062">
        <f>'数据-取费表'!E22</f>
        <v>0.05</v>
      </c>
      <c r="G36" s="2063" t="s">
        <v>1264</v>
      </c>
    </row>
    <row r="37" s="2000" customFormat="1" ht="13.5" customHeight="1" spans="1:7">
      <c r="A37" s="2020" t="s">
        <v>1246</v>
      </c>
      <c r="B37" s="2021" t="s">
        <v>1265</v>
      </c>
      <c r="C37" s="2026">
        <f>ROUND(E37*D37,0)</f>
        <v>26942</v>
      </c>
      <c r="D37" s="2023">
        <f>IF(B1="仅计算典型户型",'数据-取费表'!E5,'数据-取费表'!B5)</f>
        <v>134.71</v>
      </c>
      <c r="E37" s="2026">
        <f>'数据-取费表'!E23</f>
        <v>200</v>
      </c>
      <c r="F37" s="2062"/>
      <c r="G37" s="2064" t="s">
        <v>1266</v>
      </c>
    </row>
    <row r="38" ht="13.5" customHeight="1" spans="1:7">
      <c r="A38" s="2020" t="s">
        <v>1267</v>
      </c>
      <c r="B38" s="2021" t="s">
        <v>763</v>
      </c>
      <c r="C38" s="2026">
        <f>ROUND(C34*F38,0)</f>
        <v>6062</v>
      </c>
      <c r="D38" s="2026"/>
      <c r="E38" s="2026"/>
      <c r="F38" s="2062">
        <f>'数据-取费表'!E24</f>
        <v>0.015</v>
      </c>
      <c r="G38" s="2025" t="s">
        <v>1262</v>
      </c>
    </row>
    <row r="39" s="1998" customFormat="1" ht="13.5" customHeight="1" spans="1:123">
      <c r="A39" s="2015" t="s">
        <v>1228</v>
      </c>
      <c r="B39" s="2016" t="s">
        <v>1232</v>
      </c>
      <c r="C39" s="2039">
        <f>ROUND(C33*F20,0)</f>
        <v>4695</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20626</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20422</v>
      </c>
      <c r="D42" s="2046"/>
      <c r="E42" s="2046"/>
      <c r="F42" s="2047"/>
      <c r="G42" s="2067" t="s">
        <v>1271</v>
      </c>
    </row>
    <row r="43" ht="13.5" customHeight="1" spans="1:7">
      <c r="A43" s="2020" t="s">
        <v>1203</v>
      </c>
      <c r="B43" s="2021" t="s">
        <v>1242</v>
      </c>
      <c r="C43" s="2046">
        <f ca="1">ROUND(IF('数据-取费表'!B24&lt;=1,C39*F22*'数据-取费表'!B23/2,C39*(POWER((1+F22),'数据-取费表'!B23/2)-1)),0)</f>
        <v>204</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47416</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47416</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579709</v>
      </c>
      <c r="D49" s="2039"/>
      <c r="E49" s="2039"/>
      <c r="F49" s="2071"/>
      <c r="G49" s="2041" t="s">
        <v>1277</v>
      </c>
    </row>
    <row r="50" s="2000" customFormat="1" ht="24" spans="1:7">
      <c r="A50" s="2052" t="s">
        <v>1278</v>
      </c>
      <c r="B50" s="2016" t="s">
        <v>1279</v>
      </c>
      <c r="C50" s="2039"/>
      <c r="D50" s="2039"/>
      <c r="E50" s="2039"/>
      <c r="F50" s="2071">
        <f>IF('数据-取费表'!B26=0,'数据-取费表'!E20,1)</f>
        <v>0.88</v>
      </c>
      <c r="G50" s="2054" t="s">
        <v>1280</v>
      </c>
    </row>
    <row r="51" ht="16.5" customHeight="1" spans="1:7">
      <c r="A51" s="2052" t="s">
        <v>1281</v>
      </c>
      <c r="B51" s="2016" t="s">
        <v>1282</v>
      </c>
      <c r="C51" s="2039">
        <f ca="1">ROUND(C49*F50,0)</f>
        <v>510144</v>
      </c>
      <c r="D51" s="2039"/>
      <c r="E51" s="2039"/>
      <c r="F51" s="2071"/>
      <c r="G51" s="2041" t="s">
        <v>1283</v>
      </c>
    </row>
    <row r="52" s="1997" customFormat="1" ht="16.5" spans="1:123">
      <c r="A52" s="2072" t="s">
        <v>1284</v>
      </c>
      <c r="B52" s="2073"/>
      <c r="C52" s="2074">
        <f ca="1">C31+C51</f>
        <v>3829742</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0.133</v>
      </c>
    </row>
    <row r="57" spans="2:3">
      <c r="B57" s="2078" t="s">
        <v>1100</v>
      </c>
      <c r="C57" s="2080">
        <f ca="1">1-C56</f>
        <v>0.867</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1905" customWidth="1"/>
    <col min="2" max="2" width="25.775" style="1906" customWidth="1"/>
    <col min="3" max="3" width="10.3333333333333" style="1907" customWidth="1"/>
    <col min="4" max="4" width="9.88333333333333" style="1906" customWidth="1"/>
    <col min="5" max="5" width="9.44166666666667" style="1905" customWidth="1"/>
    <col min="6" max="6" width="10.1083333333333" style="1906" customWidth="1"/>
    <col min="7" max="7" width="9.44166666666667" style="1906" customWidth="1"/>
    <col min="8" max="8" width="10" style="1906" customWidth="1"/>
    <col min="9" max="11" width="9.44166666666667" style="1906" customWidth="1"/>
    <col min="12" max="12" width="9" style="1906" customWidth="1"/>
    <col min="13" max="13" width="10.4416666666667" style="1906" customWidth="1"/>
    <col min="14" max="254" width="9" style="1906" customWidth="1"/>
    <col min="255" max="16384" width="6.66666666666667"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0.12</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134.71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916</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919</v>
      </c>
      <c r="Q32" s="491" t="str">
        <f t="shared" si="11"/>
        <v>商业类型</v>
      </c>
      <c r="R32" s="1295" t="s">
        <v>888</v>
      </c>
      <c r="S32" s="1296">
        <f t="shared" si="12"/>
        <v>100</v>
      </c>
      <c r="T32" s="1295" t="s">
        <v>888</v>
      </c>
      <c r="U32" s="1296">
        <f t="shared" si="13"/>
        <v>100</v>
      </c>
      <c r="V32" s="1295" t="s">
        <v>888</v>
      </c>
      <c r="W32" s="1296">
        <f t="shared" si="14"/>
        <v>100</v>
      </c>
      <c r="X32" s="1282"/>
      <c r="Y32" s="1267" t="s">
        <v>919</v>
      </c>
      <c r="Z32" s="1281" t="str">
        <f t="shared" si="15"/>
        <v>商业类型</v>
      </c>
      <c r="AA32" s="1312">
        <f t="shared" si="3"/>
        <v>1</v>
      </c>
      <c r="AB32" s="1312">
        <f t="shared" si="4"/>
        <v>1</v>
      </c>
      <c r="AC32" s="1312">
        <f t="shared" si="5"/>
        <v>1</v>
      </c>
    </row>
    <row r="33" s="1082" customFormat="1" ht="15" spans="1:29">
      <c r="A33" s="1190"/>
      <c r="B33" s="1127" t="s">
        <v>920</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921</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924</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926</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929</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919</v>
      </c>
      <c r="Q38" s="491" t="str">
        <f t="shared" si="11"/>
        <v>业态</v>
      </c>
      <c r="R38" s="1295" t="s">
        <v>888</v>
      </c>
      <c r="S38" s="1296">
        <f t="shared" si="12"/>
        <v>100</v>
      </c>
      <c r="T38" s="1295" t="s">
        <v>888</v>
      </c>
      <c r="U38" s="1296">
        <f t="shared" si="13"/>
        <v>100</v>
      </c>
      <c r="V38" s="1295" t="s">
        <v>888</v>
      </c>
      <c r="W38" s="1296">
        <f t="shared" si="14"/>
        <v>100</v>
      </c>
      <c r="X38" s="1282"/>
      <c r="Y38" s="1267" t="s">
        <v>919</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932</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935</v>
      </c>
      <c r="B48" s="1624"/>
      <c r="C48" s="1625" t="e">
        <f>R49</f>
        <v>#DIV/0!</v>
      </c>
      <c r="D48" s="831" t="s">
        <v>936</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938</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939</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940</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941</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943</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916</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920</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921</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924</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926</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929</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932</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134.71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916</v>
      </c>
      <c r="B33" s="1123" t="s">
        <v>917</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919</v>
      </c>
      <c r="Q33" s="491" t="str">
        <f t="shared" si="11"/>
        <v>建筑类型</v>
      </c>
      <c r="R33" s="1295" t="s">
        <v>888</v>
      </c>
      <c r="S33" s="1296">
        <f t="shared" si="12"/>
        <v>100</v>
      </c>
      <c r="T33" s="1295" t="s">
        <v>888</v>
      </c>
      <c r="U33" s="1296">
        <f t="shared" si="13"/>
        <v>100</v>
      </c>
      <c r="V33" s="1295" t="s">
        <v>888</v>
      </c>
      <c r="W33" s="1296">
        <f t="shared" si="14"/>
        <v>100</v>
      </c>
      <c r="X33" s="1282"/>
      <c r="Y33" s="1267" t="s">
        <v>919</v>
      </c>
      <c r="Z33" s="1281" t="str">
        <f t="shared" si="15"/>
        <v>建筑类型</v>
      </c>
      <c r="AA33" s="1312">
        <f t="shared" si="3"/>
        <v>1</v>
      </c>
      <c r="AB33" s="1312">
        <f t="shared" si="4"/>
        <v>1</v>
      </c>
      <c r="AC33" s="1312">
        <f t="shared" si="5"/>
        <v>1</v>
      </c>
    </row>
    <row r="34" s="1082" customFormat="1" ht="15" spans="1:29">
      <c r="A34" s="1190"/>
      <c r="B34" s="1127" t="s">
        <v>920</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921</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924</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926</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927</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919</v>
      </c>
      <c r="Q39" s="491" t="str">
        <f t="shared" si="11"/>
        <v>物业管理</v>
      </c>
      <c r="R39" s="1295" t="s">
        <v>888</v>
      </c>
      <c r="S39" s="1296">
        <f t="shared" si="12"/>
        <v>100</v>
      </c>
      <c r="T39" s="1295" t="s">
        <v>888</v>
      </c>
      <c r="U39" s="1296">
        <f t="shared" si="13"/>
        <v>100</v>
      </c>
      <c r="V39" s="1295" t="s">
        <v>888</v>
      </c>
      <c r="W39" s="1296">
        <f t="shared" si="14"/>
        <v>100</v>
      </c>
      <c r="X39" s="1282"/>
      <c r="Y39" s="1267" t="s">
        <v>919</v>
      </c>
      <c r="Z39" s="1281" t="str">
        <f t="shared" si="15"/>
        <v>物业管理</v>
      </c>
      <c r="AA39" s="1312">
        <f t="shared" si="3"/>
        <v>1</v>
      </c>
      <c r="AB39" s="1312">
        <f t="shared" si="4"/>
        <v>1</v>
      </c>
      <c r="AC39" s="1312">
        <f t="shared" si="5"/>
        <v>1</v>
      </c>
    </row>
    <row r="40" ht="15" spans="1:29">
      <c r="A40" s="1185"/>
      <c r="B40" s="1127" t="s">
        <v>929</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932</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934</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935</v>
      </c>
      <c r="B49" s="1624"/>
      <c r="C49" s="1625" t="e">
        <f>R50</f>
        <v>#DIV/0!</v>
      </c>
      <c r="D49" s="831" t="s">
        <v>936</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937</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938</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939</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940</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941</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942</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943</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944</v>
      </c>
      <c r="D66" s="1346" t="s">
        <v>945</v>
      </c>
      <c r="E66" s="1346" t="s">
        <v>946</v>
      </c>
      <c r="F66" s="1346" t="s">
        <v>947</v>
      </c>
      <c r="G66" s="1346" t="s">
        <v>948</v>
      </c>
      <c r="H66" s="1346" t="s">
        <v>949</v>
      </c>
      <c r="I66" s="1346" t="s">
        <v>950</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951</v>
      </c>
      <c r="D83" s="1346" t="s">
        <v>952</v>
      </c>
      <c r="E83" s="1346" t="s">
        <v>953</v>
      </c>
      <c r="F83" s="1346" t="s">
        <v>954</v>
      </c>
      <c r="G83" s="1346" t="s">
        <v>955</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916</v>
      </c>
      <c r="B101" s="1341" t="s">
        <v>917</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920</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921</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924</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926</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927</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929</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932</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916</v>
      </c>
      <c r="B29" s="755" t="s">
        <v>917</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919</v>
      </c>
      <c r="Q29" s="893" t="str">
        <f t="shared" si="11"/>
        <v>建筑类型</v>
      </c>
      <c r="R29" s="947" t="s">
        <v>888</v>
      </c>
      <c r="S29" s="948">
        <f t="shared" si="12"/>
        <v>100</v>
      </c>
      <c r="T29" s="947" t="s">
        <v>888</v>
      </c>
      <c r="U29" s="948">
        <f t="shared" si="13"/>
        <v>100</v>
      </c>
      <c r="V29" s="947" t="s">
        <v>888</v>
      </c>
      <c r="W29" s="948">
        <f t="shared" si="14"/>
        <v>100</v>
      </c>
      <c r="X29" s="934"/>
      <c r="Y29" s="913" t="s">
        <v>919</v>
      </c>
      <c r="Z29" s="851" t="str">
        <f t="shared" si="15"/>
        <v>建筑类型</v>
      </c>
      <c r="AA29" s="963">
        <f t="shared" si="3"/>
        <v>1</v>
      </c>
      <c r="AB29" s="963">
        <f t="shared" si="4"/>
        <v>1</v>
      </c>
      <c r="AC29" s="963">
        <f t="shared" si="5"/>
        <v>1</v>
      </c>
    </row>
    <row r="30" s="709" customFormat="1" ht="15" spans="1:29">
      <c r="A30" s="818"/>
      <c r="B30" s="759" t="s">
        <v>920</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921</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924</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926</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927</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929</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919</v>
      </c>
      <c r="Q35" s="893" t="str">
        <f t="shared" si="11"/>
        <v>市政基础设施</v>
      </c>
      <c r="R35" s="947" t="s">
        <v>888</v>
      </c>
      <c r="S35" s="948">
        <f t="shared" si="12"/>
        <v>100</v>
      </c>
      <c r="T35" s="947" t="s">
        <v>888</v>
      </c>
      <c r="U35" s="948">
        <f t="shared" si="13"/>
        <v>100</v>
      </c>
      <c r="V35" s="947" t="s">
        <v>888</v>
      </c>
      <c r="W35" s="948">
        <f t="shared" si="14"/>
        <v>100</v>
      </c>
      <c r="X35" s="934"/>
      <c r="Y35" s="913" t="s">
        <v>919</v>
      </c>
      <c r="Z35" s="851" t="str">
        <f t="shared" si="15"/>
        <v>市政基础设施</v>
      </c>
      <c r="AA35" s="963">
        <f t="shared" si="3"/>
        <v>1</v>
      </c>
      <c r="AB35" s="963">
        <f t="shared" si="4"/>
        <v>1</v>
      </c>
      <c r="AC35" s="963">
        <f t="shared" si="5"/>
        <v>1</v>
      </c>
    </row>
    <row r="36" ht="15" spans="1:29">
      <c r="A36" s="810"/>
      <c r="B36" s="759" t="s">
        <v>932</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934</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935</v>
      </c>
      <c r="B42" s="1470"/>
      <c r="C42" s="1471" t="e">
        <f>R43</f>
        <v>#DIV/0!</v>
      </c>
      <c r="D42" s="831" t="s">
        <v>936</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937</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941</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942</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943</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944</v>
      </c>
      <c r="D59" s="988" t="s">
        <v>945</v>
      </c>
      <c r="E59" s="988" t="s">
        <v>946</v>
      </c>
      <c r="F59" s="988" t="s">
        <v>947</v>
      </c>
      <c r="G59" s="988" t="s">
        <v>948</v>
      </c>
      <c r="H59" s="988" t="s">
        <v>949</v>
      </c>
      <c r="I59" s="988" t="s">
        <v>950</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951</v>
      </c>
      <c r="D76" s="988" t="s">
        <v>952</v>
      </c>
      <c r="E76" s="988" t="s">
        <v>953</v>
      </c>
      <c r="F76" s="988" t="s">
        <v>954</v>
      </c>
      <c r="G76" s="988" t="s">
        <v>955</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916</v>
      </c>
      <c r="B88" s="983" t="s">
        <v>917</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920</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921</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924</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926</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927</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929</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932</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134.71</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916</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919</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919</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924</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919</v>
      </c>
      <c r="Q32" s="893" t="str">
        <f t="shared" si="11"/>
        <v>车位类型</v>
      </c>
      <c r="R32" s="947" t="s">
        <v>888</v>
      </c>
      <c r="S32" s="948">
        <f t="shared" si="12"/>
        <v>100</v>
      </c>
      <c r="T32" s="947" t="s">
        <v>888</v>
      </c>
      <c r="U32" s="948">
        <f t="shared" si="13"/>
        <v>100</v>
      </c>
      <c r="V32" s="947" t="s">
        <v>888</v>
      </c>
      <c r="W32" s="948">
        <f t="shared" si="14"/>
        <v>100</v>
      </c>
      <c r="X32" s="934"/>
      <c r="Y32" s="913" t="s">
        <v>919</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936</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937</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938</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939</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940</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941</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942</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943</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944</v>
      </c>
      <c r="D55" s="988" t="s">
        <v>945</v>
      </c>
      <c r="E55" s="988" t="s">
        <v>946</v>
      </c>
      <c r="F55" s="988" t="s">
        <v>947</v>
      </c>
      <c r="G55" s="988" t="s">
        <v>948</v>
      </c>
      <c r="H55" s="988" t="s">
        <v>949</v>
      </c>
      <c r="I55" s="988" t="s">
        <v>950</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951</v>
      </c>
      <c r="D67" s="988" t="s">
        <v>952</v>
      </c>
      <c r="E67" s="988" t="s">
        <v>953</v>
      </c>
      <c r="F67" s="988" t="s">
        <v>954</v>
      </c>
      <c r="G67" s="988" t="s">
        <v>955</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916</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924</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916</v>
      </c>
      <c r="B26" s="755" t="s">
        <v>924</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919</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919</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919</v>
      </c>
      <c r="Q32" s="893">
        <f t="shared" si="11"/>
        <v>111</v>
      </c>
      <c r="R32" s="947" t="s">
        <v>888</v>
      </c>
      <c r="S32" s="948">
        <f t="shared" si="12"/>
        <v>100</v>
      </c>
      <c r="T32" s="947" t="s">
        <v>888</v>
      </c>
      <c r="U32" s="948">
        <f t="shared" si="13"/>
        <v>100</v>
      </c>
      <c r="V32" s="947" t="s">
        <v>888</v>
      </c>
      <c r="W32" s="948">
        <f t="shared" si="14"/>
        <v>100</v>
      </c>
      <c r="X32" s="934"/>
      <c r="Y32" s="913" t="s">
        <v>919</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934</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935</v>
      </c>
      <c r="B36" s="1470"/>
      <c r="C36" s="1471" t="e">
        <f>R37</f>
        <v>#DIV/0!</v>
      </c>
      <c r="D36" s="831" t="s">
        <v>936</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937</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938</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939</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940</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941</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942</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943</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944</v>
      </c>
      <c r="D53" s="988" t="s">
        <v>945</v>
      </c>
      <c r="E53" s="988" t="s">
        <v>946</v>
      </c>
      <c r="F53" s="988" t="s">
        <v>947</v>
      </c>
      <c r="G53" s="988" t="s">
        <v>948</v>
      </c>
      <c r="H53" s="988" t="s">
        <v>949</v>
      </c>
      <c r="I53" s="988" t="s">
        <v>950</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951</v>
      </c>
      <c r="D65" s="988" t="s">
        <v>952</v>
      </c>
      <c r="E65" s="988" t="s">
        <v>953</v>
      </c>
      <c r="F65" s="988" t="s">
        <v>954</v>
      </c>
      <c r="G65" s="988" t="s">
        <v>955</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916</v>
      </c>
      <c r="B77" s="983" t="s">
        <v>924</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31 E31 G31 I31">
      <formula1>是否封闭</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919</v>
      </c>
      <c r="Q36" s="491">
        <f t="shared" si="8"/>
        <v>111</v>
      </c>
      <c r="R36" s="1295" t="s">
        <v>888</v>
      </c>
      <c r="S36" s="1296">
        <f t="shared" si="10"/>
        <v>100</v>
      </c>
      <c r="T36" s="1295" t="s">
        <v>888</v>
      </c>
      <c r="U36" s="1296">
        <f t="shared" si="11"/>
        <v>100</v>
      </c>
      <c r="V36" s="1295" t="s">
        <v>888</v>
      </c>
      <c r="W36" s="1296">
        <f t="shared" si="12"/>
        <v>100</v>
      </c>
      <c r="X36" s="1282"/>
      <c r="Y36" s="1267" t="s">
        <v>919</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916</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919</v>
      </c>
      <c r="Q42" s="491" t="str">
        <f t="shared" si="14"/>
        <v>工程地质条件</v>
      </c>
      <c r="R42" s="1295" t="s">
        <v>888</v>
      </c>
      <c r="S42" s="1296">
        <f t="shared" si="10"/>
        <v>100</v>
      </c>
      <c r="T42" s="1295" t="s">
        <v>888</v>
      </c>
      <c r="U42" s="1296">
        <f t="shared" si="11"/>
        <v>100</v>
      </c>
      <c r="V42" s="1295" t="s">
        <v>888</v>
      </c>
      <c r="W42" s="1296">
        <f t="shared" si="12"/>
        <v>100</v>
      </c>
      <c r="X42" s="1282"/>
      <c r="Y42" s="1267" t="s">
        <v>919</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935</v>
      </c>
      <c r="B47" s="1202"/>
      <c r="C47" s="1203" t="e">
        <f>R48</f>
        <v>#DIV/0!</v>
      </c>
      <c r="D47" s="831" t="s">
        <v>936</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937</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938</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939</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940</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941</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942</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943</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951</v>
      </c>
      <c r="D102" s="1346" t="s">
        <v>952</v>
      </c>
      <c r="E102" s="1346" t="s">
        <v>953</v>
      </c>
      <c r="F102" s="1346" t="s">
        <v>954</v>
      </c>
      <c r="G102" s="1346" t="s">
        <v>955</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916</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D57:D65">
      <formula1>"25%,1"</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20" customWidth="1"/>
    <col min="2" max="3" width="12.4416666666667" style="3320" customWidth="1"/>
    <col min="4" max="6" width="8.10833333333333" style="3320"/>
    <col min="7" max="7" width="17.4416666666667" style="3320" customWidth="1"/>
    <col min="8" max="16384" width="8.10833333333333" style="3320"/>
  </cols>
  <sheetData>
    <row r="1" ht="23.25" spans="1:7">
      <c r="A1" s="3399" t="s">
        <v>78</v>
      </c>
      <c r="B1" s="3400"/>
      <c r="C1" s="3400"/>
      <c r="D1" s="3400"/>
      <c r="E1" s="3400"/>
      <c r="F1" s="3400"/>
      <c r="G1" s="3400"/>
    </row>
    <row r="2" spans="1:1">
      <c r="A2" s="3401"/>
    </row>
    <row r="3" s="3397" customFormat="1" ht="18" spans="1:7">
      <c r="A3" s="3402" t="str">
        <f>IF(ISNUMBER(FIND("公司",项目基本情况!B4)),项目基本情况!B4&amp;"：",项目基本情况!B4&amp;"  先生/女士：")</f>
        <v>xx  先生/女士：</v>
      </c>
      <c r="B3" s="3403"/>
      <c r="C3" s="3403"/>
      <c r="D3" s="3403"/>
      <c r="E3" s="3403"/>
      <c r="F3" s="3403"/>
      <c r="G3" s="3403"/>
    </row>
    <row r="4" ht="18.75" spans="1:7">
      <c r="A4" s="3404" t="str">
        <f>IF(ISNUMBER(FIND("公司",A3)),"受贵公司委托，我公司对"&amp;项目基本情况!I1&amp;"进行了预评估。","受您的委托，我公司对"&amp;项目基本情况!I1&amp;"进行了预评估。")</f>
        <v>受您的委托，我公司对北京市房地产进行了预评估。</v>
      </c>
      <c r="B4" s="3404"/>
      <c r="C4" s="3404"/>
      <c r="D4" s="3404"/>
      <c r="E4" s="3404"/>
      <c r="F4" s="3404"/>
      <c r="G4" s="3404"/>
    </row>
    <row r="5" ht="18.75" spans="1:1">
      <c r="A5" s="3405" t="s">
        <v>79</v>
      </c>
    </row>
    <row r="6" s="3398" customFormat="1" ht="56.25" spans="1:7">
      <c r="A6" s="340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估价对象为北京市房地产，为XX所有。根据《房屋所有权证》[]，估价对象建筑面积为134.71平方米。根据《》[]，估价对象（分摊）出让国有建设用地使用权面积为平方米。估价对象用途为。</v>
      </c>
      <c r="B6" s="3404"/>
      <c r="C6" s="3404"/>
      <c r="D6" s="3404"/>
      <c r="E6" s="3404"/>
      <c r="F6" s="3404"/>
      <c r="G6" s="3404"/>
    </row>
    <row r="7" ht="18.75" spans="1:1">
      <c r="A7" s="3405" t="s">
        <v>80</v>
      </c>
    </row>
    <row r="8" ht="18.75" spans="1:7">
      <c r="A8" s="3406" t="str">
        <f>IF(项目基本情况!D4="抵押",IF(项目基本情况!B4=项目基本情况!B5,定义!C51,定义!B51),定义!D51)</f>
        <v>为估价委托人了解估价对象房地产市场价值提供参考依据。</v>
      </c>
      <c r="B8" s="3407"/>
      <c r="C8" s="3404"/>
      <c r="D8" s="3404"/>
      <c r="E8" s="3404"/>
      <c r="F8" s="3404"/>
      <c r="G8" s="3404"/>
    </row>
    <row r="9" ht="18.75" spans="1:2">
      <c r="A9" s="3403" t="s">
        <v>81</v>
      </c>
      <c r="B9" s="3408"/>
    </row>
    <row r="10" ht="18" spans="1:7">
      <c r="A10" s="3409" t="str">
        <f>TEXT(项目基本情况!D2,"yyyy年m月d日;;")&amp;IF(项目基本情况!B2=项目基本情况!D2,"（评估专业人员实地查勘之日）","")</f>
        <v>2021年10月20日</v>
      </c>
      <c r="B10" s="3410"/>
      <c r="C10" s="3410"/>
      <c r="D10" s="3410"/>
      <c r="E10" s="3410"/>
      <c r="F10" s="3410"/>
      <c r="G10" s="3410"/>
    </row>
    <row r="11" ht="18.75" spans="1:1">
      <c r="A11" s="3403" t="s">
        <v>82</v>
      </c>
    </row>
    <row r="12" ht="75" spans="1:7">
      <c r="A12" s="3404" t="s">
        <v>83</v>
      </c>
      <c r="B12" s="3404"/>
      <c r="C12" s="3404"/>
      <c r="D12" s="3404"/>
      <c r="E12" s="3404"/>
      <c r="F12" s="3404"/>
      <c r="G12" s="3404"/>
    </row>
    <row r="13" ht="37.5" spans="1:7">
      <c r="A13" s="340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4"/>
      <c r="C13" s="3404"/>
      <c r="D13" s="3404"/>
      <c r="E13" s="3404"/>
      <c r="F13" s="3404"/>
      <c r="G13" s="3404"/>
    </row>
    <row r="14" ht="75" spans="1:7">
      <c r="A14" s="340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1"/>
      <c r="C14" s="3411"/>
      <c r="D14" s="3411"/>
      <c r="E14" s="3411"/>
      <c r="F14" s="3411"/>
      <c r="G14" s="3411"/>
    </row>
    <row r="15" ht="56.25" spans="1:7">
      <c r="A15" s="3404" t="s">
        <v>84</v>
      </c>
      <c r="B15" s="3404"/>
      <c r="C15" s="3404"/>
      <c r="D15" s="3404"/>
      <c r="E15" s="3404"/>
      <c r="F15" s="3404"/>
      <c r="G15" s="3404"/>
    </row>
    <row r="16" ht="56.25" spans="1:7">
      <c r="A16" s="340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1"/>
      <c r="C16" s="3411"/>
      <c r="D16" s="3411"/>
      <c r="E16" s="3411"/>
      <c r="F16" s="3411"/>
      <c r="G16" s="3411"/>
    </row>
    <row r="17" ht="18.75" spans="1:1">
      <c r="A17" s="3403" t="s">
        <v>85</v>
      </c>
    </row>
    <row r="18" ht="18" spans="1:1">
      <c r="A18" s="3335"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919</v>
      </c>
      <c r="Q32" s="893">
        <f t="shared" si="8"/>
        <v>111</v>
      </c>
      <c r="R32" s="947" t="s">
        <v>888</v>
      </c>
      <c r="S32" s="948">
        <f t="shared" si="10"/>
        <v>100</v>
      </c>
      <c r="T32" s="947" t="s">
        <v>888</v>
      </c>
      <c r="U32" s="948">
        <f t="shared" si="11"/>
        <v>100</v>
      </c>
      <c r="V32" s="947" t="s">
        <v>888</v>
      </c>
      <c r="W32" s="948">
        <f t="shared" si="12"/>
        <v>100</v>
      </c>
      <c r="X32" s="934"/>
      <c r="Y32" s="913" t="s">
        <v>919</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916</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919</v>
      </c>
      <c r="Q37" s="893" t="str">
        <f t="shared" si="14"/>
        <v>工程地质条件</v>
      </c>
      <c r="R37" s="947" t="s">
        <v>888</v>
      </c>
      <c r="S37" s="948">
        <f t="shared" si="10"/>
        <v>100</v>
      </c>
      <c r="T37" s="947" t="s">
        <v>888</v>
      </c>
      <c r="U37" s="948">
        <f t="shared" si="11"/>
        <v>100</v>
      </c>
      <c r="V37" s="947" t="s">
        <v>888</v>
      </c>
      <c r="W37" s="948">
        <f t="shared" si="12"/>
        <v>100</v>
      </c>
      <c r="X37" s="934"/>
      <c r="Y37" s="913" t="s">
        <v>919</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935</v>
      </c>
      <c r="B42" s="829"/>
      <c r="C42" s="830" t="e">
        <f>R43</f>
        <v>#DIV/0!</v>
      </c>
      <c r="D42" s="831" t="s">
        <v>936</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937</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941</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942</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943</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951</v>
      </c>
      <c r="D93" s="988" t="s">
        <v>952</v>
      </c>
      <c r="E93" s="988" t="s">
        <v>953</v>
      </c>
      <c r="F93" s="988" t="s">
        <v>954</v>
      </c>
      <c r="G93" s="988" t="s">
        <v>955</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916</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D52:D60">
      <formula1>"25%,1"</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1499</v>
      </c>
      <c r="B1" s="398"/>
      <c r="C1" s="399" t="s">
        <v>874</v>
      </c>
      <c r="D1" s="400">
        <f>SUM(D29:D30,D33:D39)</f>
        <v>134.71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2489171</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34423</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18478</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24709</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19934</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15994</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13620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11977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0.9522</v>
      </c>
      <c r="D20" s="483" t="s">
        <v>1579</v>
      </c>
      <c r="E20" s="484">
        <f>存贷款利率!E18/100</f>
        <v>0.0435</v>
      </c>
      <c r="F20" s="483" t="s">
        <v>1580</v>
      </c>
      <c r="G20" s="485">
        <f>SUMIF(M26:P26,E2,M28:P28)</f>
        <v>0.05</v>
      </c>
      <c r="H20" s="483" t="s">
        <v>1581</v>
      </c>
      <c r="I20" s="460">
        <f>'数据-取费表'!B13</f>
        <v>52</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2489171</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18478</v>
      </c>
      <c r="D29" s="517">
        <f>项目基本情况!C12</f>
        <v>134.71</v>
      </c>
      <c r="E29" s="518">
        <f>ROUND(C29*D29,0)</f>
        <v>2489171</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4620</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10690</v>
      </c>
      <c r="D33" s="517"/>
      <c r="E33" s="410">
        <f t="shared" ref="E33:E39" si="6">ROUND(C33*D33,0)</f>
        <v>0</v>
      </c>
      <c r="F33" s="410">
        <f>SUMIF(修正!A45:A56,G2,修正!B45:B56)</f>
        <v>0.7</v>
      </c>
      <c r="G33" s="410">
        <f t="shared" ref="G33" si="7">ROUND(IF(E2="工业",C33*$M$39,C33*$M$38),0)</f>
        <v>2673</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6109</v>
      </c>
      <c r="D34" s="517"/>
      <c r="E34" s="410">
        <f t="shared" si="6"/>
        <v>0</v>
      </c>
      <c r="F34" s="410">
        <f>SUMIF(修正!A45:A56,G2,修正!C45:C56)</f>
        <v>0.4</v>
      </c>
      <c r="G34" s="410">
        <f>ROUND(IF(E2="工业",C34*$M$39,C34*$M$38),0)</f>
        <v>1527</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4276</v>
      </c>
      <c r="D35" s="517"/>
      <c r="E35" s="410">
        <f t="shared" si="6"/>
        <v>0</v>
      </c>
      <c r="F35" s="410">
        <f>SUMIF(修正!A45:A56,G2,修正!D45:D56)</f>
        <v>0.28</v>
      </c>
      <c r="G35" s="410">
        <f>ROUND(IF(E2="工业",C35*$M$39,C35*$M$38),0)</f>
        <v>1069</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3818</v>
      </c>
      <c r="D36" s="517"/>
      <c r="E36" s="410">
        <f t="shared" si="6"/>
        <v>0</v>
      </c>
      <c r="F36" s="410">
        <f>SUMIF(修正!A45:A56,G2,修正!E45:E56)</f>
        <v>0.25</v>
      </c>
      <c r="G36" s="410">
        <f>ROUND(IF(E2="工业",C36*$M$39,C36*$M$38),0)</f>
        <v>955</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3818</v>
      </c>
      <c r="D37" s="517"/>
      <c r="E37" s="410">
        <f t="shared" si="6"/>
        <v>0</v>
      </c>
      <c r="F37" s="516">
        <f>SUMIF(修正!A45:A56,G2,修正!F45:F56)</f>
        <v>0.25</v>
      </c>
      <c r="G37" s="410">
        <f>ROUND(IF(E2="工业",C37*$M$39,C37*$M$38),0)</f>
        <v>955</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904</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50" customWidth="1"/>
    <col min="2" max="2" width="37.8833333333333" style="3350" customWidth="1"/>
    <col min="3" max="3" width="16.1083333333333" style="3350" customWidth="1"/>
    <col min="4" max="4" width="22.2166666666667" style="3350" customWidth="1"/>
    <col min="5" max="5" width="4.10833333333333" style="3350" customWidth="1"/>
    <col min="6" max="7" width="13" style="3350" customWidth="1"/>
    <col min="8" max="16384" width="9" style="3350"/>
  </cols>
  <sheetData>
    <row r="1" ht="18.75" spans="1:5">
      <c r="A1" s="3351" t="s">
        <v>86</v>
      </c>
      <c r="B1" s="3352"/>
      <c r="C1" s="3352"/>
      <c r="D1" s="3352"/>
      <c r="E1" s="3352"/>
    </row>
    <row r="2" ht="78.75" customHeight="1" spans="1:5">
      <c r="A2" s="33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3"/>
      <c r="C2" s="3353"/>
      <c r="D2" s="3353"/>
      <c r="E2" s="3353"/>
    </row>
    <row r="3" customHeight="1" spans="1:5">
      <c r="A3" s="3354"/>
      <c r="B3" s="3354"/>
      <c r="C3" s="3354"/>
      <c r="D3" s="3354"/>
      <c r="E3" s="3354"/>
    </row>
    <row r="4" ht="19.5" spans="1:5">
      <c r="A4" s="3355" t="str">
        <f>IF(项目基本情况!D5="房地产市场价值","估价结果一览表（市场价值不需本页表格)","估价结果一览表")</f>
        <v>估价结果一览表</v>
      </c>
      <c r="B4" s="3355"/>
      <c r="C4" s="3355"/>
      <c r="D4" s="3355"/>
      <c r="E4" s="3355"/>
    </row>
    <row r="5" ht="14.25" customHeight="1" spans="1:5">
      <c r="A5" s="3352"/>
      <c r="B5" s="3356" t="s">
        <v>87</v>
      </c>
      <c r="C5" s="3357" t="s">
        <v>88</v>
      </c>
      <c r="D5" s="3358"/>
      <c r="E5" s="3352"/>
    </row>
    <row r="6" ht="14.25" spans="1:5">
      <c r="A6" s="3352"/>
      <c r="B6" s="3359" t="str">
        <f>项目基本情况!I1</f>
        <v>北京市房地产</v>
      </c>
      <c r="C6" s="3360">
        <f>项目基本情况!C12</f>
        <v>134.71</v>
      </c>
      <c r="D6" s="3360"/>
      <c r="E6" s="3352"/>
    </row>
    <row r="7" ht="14.25" spans="1:5">
      <c r="A7" s="3352"/>
      <c r="B7" s="3361" t="s">
        <v>89</v>
      </c>
      <c r="C7" s="3362" t="str">
        <f>IF('数据-取费表'!B3="万元","总价（万元）","总价（元）")</f>
        <v>总价（元）</v>
      </c>
      <c r="D7" s="3360">
        <f ca="1">IF('数据-取费表'!E3="否",结果表!I102,'结果表 (1修多)'!I104)</f>
        <v>4879196</v>
      </c>
      <c r="E7" s="3352"/>
    </row>
    <row r="8" ht="28.5" spans="1:5">
      <c r="A8" s="3352"/>
      <c r="B8" s="3361"/>
      <c r="C8" s="3363" t="s">
        <v>90</v>
      </c>
      <c r="D8" s="3364" t="str">
        <f ca="1">IF('数据-取费表'!B3="万元",NUMBERSTRING(INT(D7*10000),2)&amp;"元整",NUMBERSTRING(INT(D7),2)&amp;"元整")</f>
        <v>肆佰捌拾柒万玖仟壹佰玖拾陆元整</v>
      </c>
      <c r="E8" s="3352"/>
    </row>
    <row r="9" ht="14.25" spans="1:5">
      <c r="A9" s="3352"/>
      <c r="B9" s="3361"/>
      <c r="C9" s="3365" t="s">
        <v>91</v>
      </c>
      <c r="D9" s="3360">
        <f ca="1">IF('数据-取费表'!E3="否",结果表!I103,'结果表 (1修多)'!I105)</f>
        <v>36220</v>
      </c>
      <c r="E9" s="3352"/>
    </row>
    <row r="10" ht="14.25" spans="1:5">
      <c r="A10" s="3352"/>
      <c r="B10" s="3359" t="str">
        <f>IF('数据-取费表'!E3="否",结果表!F105,'结果表 (1修多)'!F107)</f>
        <v>2.估价师所知悉的法定优先受偿款</v>
      </c>
      <c r="C10" s="3366" t="str">
        <f>IF('数据-取费表'!B3="万元","总额（万元）","总额（元）")</f>
        <v>总额（元）</v>
      </c>
      <c r="D10" s="3360">
        <f>IF('数据-取费表'!E3="否",结果表!I105,'结果表 (1修多)'!I107)</f>
        <v>0</v>
      </c>
      <c r="E10" s="3352"/>
    </row>
    <row r="11" ht="14.25" spans="1:5">
      <c r="A11" s="3352"/>
      <c r="B11" s="3359"/>
      <c r="C11" s="3363" t="s">
        <v>90</v>
      </c>
      <c r="D11" s="3364" t="str">
        <f>IF('数据-取费表'!B3="万元",NUMBERSTRING(INT(D10*10000),2)&amp;"元整",NUMBERSTRING(INT(D10),2)&amp;"元整")</f>
        <v>零元整</v>
      </c>
      <c r="E11" s="3352"/>
    </row>
    <row r="12" ht="14.25" spans="1:5">
      <c r="A12" s="3352"/>
      <c r="B12" s="3367" t="s">
        <v>92</v>
      </c>
      <c r="C12" s="3368" t="str">
        <f>C10</f>
        <v>总额（元）</v>
      </c>
      <c r="D12" s="3369">
        <f>IF('数据-取费表'!E3="否",结果表!I106,'结果表 (1修多)'!I108)</f>
        <v>0</v>
      </c>
      <c r="E12" s="3352"/>
    </row>
    <row r="13" ht="14.25" spans="1:5">
      <c r="A13" s="3352"/>
      <c r="B13" s="3367" t="s">
        <v>93</v>
      </c>
      <c r="C13" s="3368" t="str">
        <f>C10</f>
        <v>总额（元）</v>
      </c>
      <c r="D13" s="3369">
        <f>IF('数据-取费表'!E3="否",结果表!I107,'结果表 (1修多)'!I109)</f>
        <v>0</v>
      </c>
      <c r="E13" s="3352"/>
    </row>
    <row r="14" ht="14.25" spans="1:5">
      <c r="A14" s="3352"/>
      <c r="B14" s="3367" t="s">
        <v>94</v>
      </c>
      <c r="C14" s="3368" t="str">
        <f>C10</f>
        <v>总额（元）</v>
      </c>
      <c r="D14" s="3369">
        <f>IF('数据-取费表'!E3="否",结果表!I108,'结果表 (1修多)'!I110)</f>
        <v>0</v>
      </c>
      <c r="E14" s="3352"/>
    </row>
    <row r="15" ht="14.25" spans="1:5">
      <c r="A15" s="3352"/>
      <c r="B15" s="3359" t="str">
        <f>IF('数据-取费表'!E3="否",结果表!F110,'结果表 (1修多)'!F112)</f>
        <v>3.房地产抵押价值</v>
      </c>
      <c r="C15" s="3370" t="str">
        <f>C7</f>
        <v>总价（元）</v>
      </c>
      <c r="D15" s="3360">
        <f ca="1">IF('数据-取费表'!E3="否",结果表!I110,'结果表 (1修多)'!I112)</f>
        <v>4879196</v>
      </c>
      <c r="E15" s="3352"/>
    </row>
    <row r="16" ht="28.5" spans="1:5">
      <c r="A16" s="3352"/>
      <c r="B16" s="3359"/>
      <c r="C16" s="3363" t="s">
        <v>90</v>
      </c>
      <c r="D16" s="3360" t="str">
        <f ca="1">IF('数据-取费表'!B3="万元",NUMBERSTRING(INT(D15*10000),2)&amp;"元整",NUMBERSTRING(INT(D15),2)&amp;"元整")</f>
        <v>肆佰捌拾柒万玖仟壹佰玖拾陆元整</v>
      </c>
      <c r="E16" s="3352"/>
    </row>
    <row r="17" ht="14.25" spans="1:5">
      <c r="A17" s="3352"/>
      <c r="B17" s="3359"/>
      <c r="C17" s="3365" t="s">
        <v>91</v>
      </c>
      <c r="D17" s="3360">
        <f ca="1">IF('数据-取费表'!E3="否",结果表!I111,'结果表 (1修多)'!I113)</f>
        <v>36220</v>
      </c>
      <c r="E17" s="3352"/>
    </row>
    <row r="18" ht="14.25" spans="1:5">
      <c r="A18" s="3352"/>
      <c r="B18" s="3359" t="str">
        <f>IF('数据-取费表'!E3="否",结果表!F112,'结果表 (1修多)'!F114)</f>
        <v>——</v>
      </c>
      <c r="C18" s="3370" t="str">
        <f>C7</f>
        <v>总价（元）</v>
      </c>
      <c r="D18" s="3360" t="str">
        <f ca="1">IF('数据-取费表'!E3="否",结果表!I112,'结果表 (1修多)'!I114)</f>
        <v>——</v>
      </c>
      <c r="E18" s="3352"/>
    </row>
    <row r="19" ht="14.25" spans="1:5">
      <c r="A19" s="3352"/>
      <c r="B19" s="3359"/>
      <c r="C19" s="3363" t="s">
        <v>90</v>
      </c>
      <c r="D19" s="3360" t="e">
        <f ca="1">IF('数据-取费表'!B3="万元",NUMBERSTRING(INT(D18*10000),2)&amp;"元整",NUMBERSTRING(INT(D18),2)&amp;"元整")</f>
        <v>#VALUE!</v>
      </c>
      <c r="E19" s="3352"/>
    </row>
    <row r="20" ht="14.25" spans="1:5">
      <c r="A20" s="3352"/>
      <c r="B20" s="3359"/>
      <c r="C20" s="3365" t="s">
        <v>91</v>
      </c>
      <c r="D20" s="3360" t="str">
        <f ca="1">IF('数据-取费表'!E3="否",结果表!I113,'结果表 (1修多)'!I115)</f>
        <v>——</v>
      </c>
      <c r="E20" s="3352"/>
    </row>
    <row r="21" ht="14.25" spans="1:5">
      <c r="A21" s="3352"/>
      <c r="B21" s="3361" t="str">
        <f>IF('数据-取费表'!E3="否",结果表!F114,'结果表 (1修多)'!F116)</f>
        <v>——</v>
      </c>
      <c r="C21" s="3362" t="str">
        <f>C7</f>
        <v>总价（元）</v>
      </c>
      <c r="D21" s="3360" t="str">
        <f ca="1">IF('数据-取费表'!E3="否",结果表!I114,'结果表 (1修多)'!I116)</f>
        <v>——</v>
      </c>
      <c r="E21" s="3352"/>
    </row>
    <row r="22" ht="14.25" spans="1:5">
      <c r="A22" s="3352"/>
      <c r="B22" s="3361"/>
      <c r="C22" s="3363" t="s">
        <v>90</v>
      </c>
      <c r="D22" s="3364" t="e">
        <f ca="1">IF('数据-取费表'!B3="万元",NUMBERSTRING(INT(D21*10000),2)&amp;"元整",NUMBERSTRING(INT(D21),2)&amp;"元整")</f>
        <v>#VALUE!</v>
      </c>
      <c r="E22" s="3352"/>
    </row>
    <row r="23" ht="15" spans="1:5">
      <c r="A23" s="3352"/>
      <c r="B23" s="3371"/>
      <c r="C23" s="3372" t="s">
        <v>91</v>
      </c>
      <c r="D23" s="3373" t="str">
        <f ca="1">IF('数据-取费表'!E3="否",结果表!I115,'结果表 (1修多)'!I117)</f>
        <v>——</v>
      </c>
      <c r="E23" s="3352"/>
    </row>
    <row r="24" ht="14.25" spans="1:5">
      <c r="A24" s="3352"/>
      <c r="B24" s="3352"/>
      <c r="C24" s="3352"/>
      <c r="D24" s="3352"/>
      <c r="E24" s="3352"/>
    </row>
    <row r="25" ht="18.75" customHeight="1" spans="1:5">
      <c r="A25" s="3352"/>
      <c r="B25" s="3374" t="s">
        <v>95</v>
      </c>
      <c r="C25" s="3374"/>
      <c r="D25" s="3374"/>
      <c r="E25" s="3352"/>
    </row>
    <row r="26" ht="18.75" customHeight="1" spans="1:5">
      <c r="A26" s="3352"/>
      <c r="B26" s="3375" t="s">
        <v>96</v>
      </c>
      <c r="C26" s="3376"/>
      <c r="D26" s="3377" t="s">
        <v>97</v>
      </c>
      <c r="E26" s="3352"/>
    </row>
    <row r="27" ht="18.75" customHeight="1" spans="1:5">
      <c r="A27" s="3352"/>
      <c r="B27" s="3378"/>
      <c r="C27" s="3379"/>
      <c r="D27" s="3380"/>
      <c r="E27" s="3352"/>
    </row>
    <row r="28" ht="14.25" spans="1:5">
      <c r="A28" s="3352"/>
      <c r="B28" s="3381" t="s">
        <v>89</v>
      </c>
      <c r="C28" s="3382" t="s">
        <v>98</v>
      </c>
      <c r="D28" s="3383">
        <f ca="1">IF('数据-取费表'!E3="否",结果表!I102,'结果表 (1修多)'!I104)</f>
        <v>4879196</v>
      </c>
      <c r="E28" s="3352"/>
    </row>
    <row r="29" ht="28.5" spans="1:5">
      <c r="A29" s="3352"/>
      <c r="B29" s="3384"/>
      <c r="C29" s="3385" t="s">
        <v>90</v>
      </c>
      <c r="D29" s="3386" t="str">
        <f ca="1">IF('数据-取费表'!B3="万元",NUMBERSTRING(INT(D28*10000),2)&amp;"元整",NUMBERSTRING(INT(D28),2)&amp;"元整")</f>
        <v>肆佰捌拾柒万玖仟壹佰玖拾陆元整</v>
      </c>
      <c r="E29" s="3352"/>
    </row>
    <row r="30" ht="14.25" spans="1:5">
      <c r="A30" s="3352"/>
      <c r="B30" s="3387"/>
      <c r="C30" s="3365" t="s">
        <v>99</v>
      </c>
      <c r="D30" s="3388">
        <f ca="1">IF('数据-取费表'!E3="否",结果表!I103,'结果表 (1修多)'!I105)</f>
        <v>36220</v>
      </c>
      <c r="E30" s="3352"/>
    </row>
    <row r="31" ht="14.25" spans="1:5">
      <c r="A31" s="3352"/>
      <c r="B31" s="3389" t="str">
        <f>B10</f>
        <v>2.估价师所知悉的法定优先受偿款</v>
      </c>
      <c r="C31" s="3390" t="s">
        <v>100</v>
      </c>
      <c r="D31" s="3380">
        <f>IF('数据-取费表'!E3="否",结果表!I105,'结果表 (1修多)'!I107)</f>
        <v>0</v>
      </c>
      <c r="E31" s="3352"/>
    </row>
    <row r="32" ht="14.25" spans="1:5">
      <c r="A32" s="3352"/>
      <c r="B32" s="3382"/>
      <c r="C32" s="3385" t="s">
        <v>90</v>
      </c>
      <c r="D32" s="3391" t="str">
        <f>IF('数据-取费表'!B3="万元",NUMBERSTRING(INT(D31*10000),2)&amp;"元整",NUMBERSTRING(INT(D31),2)&amp;"元整")</f>
        <v>零元整</v>
      </c>
      <c r="E32" s="3352"/>
    </row>
    <row r="33" ht="14.25" spans="1:5">
      <c r="A33" s="3352"/>
      <c r="B33" s="3363" t="s">
        <v>92</v>
      </c>
      <c r="C33" s="3363" t="str">
        <f>C31</f>
        <v>总额</v>
      </c>
      <c r="D33" s="3388">
        <f>IF('数据-取费表'!E3="否",结果表!I106,'结果表 (1修多)'!I108)</f>
        <v>0</v>
      </c>
      <c r="E33" s="3352"/>
    </row>
    <row r="34" ht="14.25" spans="1:5">
      <c r="A34" s="3352"/>
      <c r="B34" s="3363" t="s">
        <v>93</v>
      </c>
      <c r="C34" s="3363" t="str">
        <f>C31</f>
        <v>总额</v>
      </c>
      <c r="D34" s="3388">
        <f>IF('数据-取费表'!E3="否",结果表!I107,'结果表 (1修多)'!I109)</f>
        <v>0</v>
      </c>
      <c r="E34" s="3352"/>
    </row>
    <row r="35" ht="14.25" spans="1:5">
      <c r="A35" s="3352"/>
      <c r="B35" s="3363" t="s">
        <v>94</v>
      </c>
      <c r="C35" s="3363" t="str">
        <f>C31</f>
        <v>总额</v>
      </c>
      <c r="D35" s="3388">
        <f>IF('数据-取费表'!E3="否",结果表!I108,'结果表 (1修多)'!I110)</f>
        <v>0</v>
      </c>
      <c r="E35" s="3352"/>
    </row>
    <row r="36" ht="14.25" spans="1:5">
      <c r="A36" s="3352"/>
      <c r="B36" s="3390" t="str">
        <f>B15</f>
        <v>3.房地产抵押价值</v>
      </c>
      <c r="C36" s="3390" t="str">
        <f>C28</f>
        <v>总价</v>
      </c>
      <c r="D36" s="3380">
        <f ca="1">IF('数据-取费表'!E3="否",结果表!I110,'结果表 (1修多)'!I112)</f>
        <v>4879196</v>
      </c>
      <c r="E36" s="3352"/>
    </row>
    <row r="37" ht="28.5" spans="1:5">
      <c r="A37" s="3352"/>
      <c r="B37" s="3390"/>
      <c r="C37" s="3385" t="s">
        <v>90</v>
      </c>
      <c r="D37" s="3391" t="str">
        <f ca="1">IF('数据-取费表'!B3="万元",NUMBERSTRING(INT(D36*10000),2)&amp;"元整",NUMBERSTRING(INT(D36),2)&amp;"元整")</f>
        <v>肆佰捌拾柒万玖仟壹佰玖拾陆元整</v>
      </c>
      <c r="E37" s="3352"/>
    </row>
    <row r="38" ht="14.25" spans="1:5">
      <c r="A38" s="3352"/>
      <c r="B38" s="3390"/>
      <c r="C38" s="3365" t="s">
        <v>99</v>
      </c>
      <c r="D38" s="3388">
        <f ca="1">IF('数据-取费表'!E3="否",结果表!D113,'结果表 (1修多)'!D117)</f>
        <v>36220</v>
      </c>
      <c r="E38" s="3352"/>
    </row>
    <row r="39" ht="14.25" spans="1:5">
      <c r="A39" s="3352"/>
      <c r="B39" s="3392" t="str">
        <f>B18</f>
        <v>——</v>
      </c>
      <c r="C39" s="3390" t="str">
        <f>C28</f>
        <v>总价</v>
      </c>
      <c r="D39" s="3380" t="str">
        <f ca="1">IF('数据-取费表'!E3="否",结果表!I112,'结果表 (1修多)'!I114)</f>
        <v>——</v>
      </c>
      <c r="E39" s="3352"/>
    </row>
    <row r="40" ht="14.25" spans="1:5">
      <c r="A40" s="3352"/>
      <c r="B40" s="3392"/>
      <c r="C40" s="3385" t="s">
        <v>90</v>
      </c>
      <c r="D40" s="3391" t="e">
        <f ca="1">IF('数据-取费表'!B3="万元",NUMBERSTRING(INT(D39*10000),2)&amp;"元整",NUMBERSTRING(INT(D39),2)&amp;"元整")</f>
        <v>#VALUE!</v>
      </c>
      <c r="E40" s="3352"/>
    </row>
    <row r="41" ht="14.25" spans="1:5">
      <c r="A41" s="3352"/>
      <c r="B41" s="3392"/>
      <c r="C41" s="3365" t="s">
        <v>99</v>
      </c>
      <c r="D41" s="3388" t="str">
        <f ca="1">IF('数据-取费表'!E3="否",结果表!D115,'结果表 (1修多)'!D119)</f>
        <v>——</v>
      </c>
      <c r="E41" s="3352"/>
    </row>
    <row r="42" ht="14.25" spans="1:5">
      <c r="A42" s="3352"/>
      <c r="B42" s="3390" t="str">
        <f>B21</f>
        <v>——</v>
      </c>
      <c r="C42" s="3390" t="str">
        <f>C28</f>
        <v>总价</v>
      </c>
      <c r="D42" s="3380" t="str">
        <f ca="1">IF('数据-取费表'!E3="否",结果表!I114,'结果表 (1修多)'!I116)</f>
        <v>——</v>
      </c>
      <c r="E42" s="3352"/>
    </row>
    <row r="43" ht="14.25" spans="1:5">
      <c r="A43" s="3352"/>
      <c r="B43" s="3389"/>
      <c r="C43" s="3385" t="s">
        <v>90</v>
      </c>
      <c r="D43" s="3393" t="e">
        <f ca="1">IF('数据-取费表'!B3="万元",NUMBERSTRING(INT(D42*10000),2)&amp;"元整",NUMBERSTRING(INT(D42),2)&amp;"元整")</f>
        <v>#VALUE!</v>
      </c>
      <c r="E43" s="3352"/>
    </row>
    <row r="44" ht="15" spans="1:5">
      <c r="A44" s="3352"/>
      <c r="B44" s="3394"/>
      <c r="C44" s="3372" t="s">
        <v>99</v>
      </c>
      <c r="D44" s="3395" t="str">
        <f ca="1">IF('数据-取费表'!E3="否",结果表!D117,'结果表 (1修多)'!D121)</f>
        <v>——</v>
      </c>
      <c r="E44" s="3352"/>
    </row>
    <row r="45" ht="14.25" spans="1:5">
      <c r="A45" s="3352"/>
      <c r="B45" s="3352" t="str">
        <f>IF('数据-取费表'!B3="元","单位：元、元/平方米（单位：人民币）","单位：万元、元/平方米（单位：人民币）")</f>
        <v>单位：元、元/平方米（单位：人民币）</v>
      </c>
      <c r="C45" s="3352"/>
      <c r="D45" s="3352"/>
      <c r="E45" s="3352"/>
    </row>
    <row r="46" ht="18.75" spans="2:2">
      <c r="B46" s="339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20" customWidth="1"/>
    <col min="2" max="9" width="12.2166666666667" style="3320" customWidth="1"/>
    <col min="10" max="16384" width="9" style="3320"/>
  </cols>
  <sheetData>
    <row r="1" ht="16.5" spans="1:9">
      <c r="A1" s="3339" t="str">
        <f>IF(项目基本情况!D5="房地产市场价值","估价结果一览表","结果表-2")</f>
        <v>结果表-2</v>
      </c>
      <c r="B1" s="3339"/>
      <c r="C1" s="3339"/>
      <c r="D1" s="3339"/>
      <c r="E1" s="3339"/>
      <c r="F1" s="3339"/>
      <c r="G1" s="3339"/>
      <c r="H1" s="3339"/>
      <c r="I1" s="3339"/>
    </row>
    <row r="2" ht="30" customHeight="1" spans="1:9">
      <c r="A2" s="3340" t="s">
        <v>102</v>
      </c>
      <c r="B2" s="3340" t="s">
        <v>103</v>
      </c>
      <c r="C2" s="3340" t="s">
        <v>104</v>
      </c>
      <c r="D2" s="3340" t="str">
        <f>IF('数据-取费表'!E3="否",结果表!D119,'结果表 (1修多)'!D123)</f>
        <v>出让国有建设用地使用权价值</v>
      </c>
      <c r="E2" s="3340"/>
      <c r="F2" s="3340" t="s">
        <v>105</v>
      </c>
      <c r="G2" s="3340"/>
      <c r="H2" s="3340" t="s">
        <v>106</v>
      </c>
      <c r="I2" s="3340"/>
    </row>
    <row r="3" ht="15" spans="1:9">
      <c r="A3" s="3341"/>
      <c r="B3" s="3341"/>
      <c r="C3" s="3341"/>
      <c r="D3" s="3341" t="s">
        <v>107</v>
      </c>
      <c r="E3" s="3341" t="s">
        <v>108</v>
      </c>
      <c r="F3" s="3341" t="s">
        <v>107</v>
      </c>
      <c r="G3" s="3341" t="s">
        <v>108</v>
      </c>
      <c r="H3" s="3341" t="s">
        <v>107</v>
      </c>
      <c r="I3" s="3341" t="s">
        <v>108</v>
      </c>
    </row>
    <row r="4" ht="46.5" customHeight="1" spans="1:9">
      <c r="A4" s="3341" t="str">
        <f>项目基本情况!I1</f>
        <v>北京市房地产</v>
      </c>
      <c r="B4" s="3341">
        <f>结果表!B121</f>
        <v>134.71</v>
      </c>
      <c r="C4" s="3341">
        <f>结果表!C121</f>
        <v>0</v>
      </c>
      <c r="D4" s="3341">
        <f ca="1">IF('数据-取费表'!E3="否",结果表!D121,'结果表 (1修多)'!D125)</f>
        <v>3381221</v>
      </c>
      <c r="E4" s="3341">
        <f ca="1">IF('数据-取费表'!E3="否",结果表!E121,'结果表 (1修多)'!E125)</f>
        <v>25100</v>
      </c>
      <c r="F4" s="3341">
        <f ca="1">IF('数据-取费表'!E3="否",结果表!F121,'结果表 (1修多)'!F125)</f>
        <v>1497975</v>
      </c>
      <c r="G4" s="3341">
        <f ca="1">IF('数据-取费表'!E3="否",结果表!G121,'结果表 (1修多)'!G125)</f>
        <v>11120</v>
      </c>
      <c r="H4" s="3341">
        <f ca="1">IF('数据-取费表'!E3="否",结果表!H121,'结果表 (1修多)'!H125)</f>
        <v>4879196</v>
      </c>
      <c r="I4" s="3341">
        <f ca="1">IF('数据-取费表'!E3="否",结果表!I121,'结果表 (1修多)'!I125)</f>
        <v>36220</v>
      </c>
    </row>
    <row r="5" ht="15" spans="1:9">
      <c r="A5" s="3341" t="s">
        <v>109</v>
      </c>
      <c r="B5" s="3341"/>
      <c r="C5" s="3341"/>
      <c r="D5" s="3342" t="str">
        <f ca="1">IF('数据-取费表'!E3="否",结果表!D122,'结果表 (1修多)'!D126)</f>
        <v>叁佰叁拾捌万壹仟贰佰贰拾壹元整</v>
      </c>
      <c r="E5" s="3342"/>
      <c r="F5" s="3342" t="str">
        <f ca="1">IF('数据-取费表'!E3="否",结果表!F122,'结果表 (1修多)'!F126)</f>
        <v>壹佰肆拾玖万柒仟玖佰柒拾伍元整</v>
      </c>
      <c r="G5" s="3342"/>
      <c r="H5" s="3342" t="str">
        <f ca="1">IF('数据-取费表'!E3="否",结果表!H122,'结果表 (1修多)'!H126)</f>
        <v>肆佰捌拾柒万玖仟壹佰玖拾陆元整</v>
      </c>
      <c r="I5" s="3342"/>
    </row>
    <row r="6" ht="15.75" spans="1:9">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ht="15" spans="1:9">
      <c r="A7" s="3341" t="s">
        <v>109</v>
      </c>
      <c r="B7" s="3341"/>
      <c r="C7" s="3341"/>
      <c r="D7" s="3344">
        <f>IF('数据-取费表'!E3="否",结果表!D124,'结果表 (1修多)'!D128)</f>
        <v>0</v>
      </c>
      <c r="E7" s="3345"/>
      <c r="F7" s="3345"/>
      <c r="G7" s="3345"/>
      <c r="H7" s="3345"/>
      <c r="I7" s="3349"/>
    </row>
    <row r="8" ht="15.75" spans="1:9">
      <c r="A8" s="3343" t="str">
        <f>IF('数据-取费表'!E3="否",结果表!A125,'结果表 (1修多)'!A129)</f>
        <v>房地产抵押价值</v>
      </c>
      <c r="B8" s="3343"/>
      <c r="C8" s="3343"/>
      <c r="D8" s="3343">
        <f ca="1">IF('数据-取费表'!E3="否",结果表!D125,'结果表 (1修多)'!D129)</f>
        <v>4879196</v>
      </c>
      <c r="E8" s="3343"/>
      <c r="F8" s="3343"/>
      <c r="G8" s="3343"/>
      <c r="H8" s="3343"/>
      <c r="I8" s="3343"/>
    </row>
    <row r="9" ht="15" spans="1:9">
      <c r="A9" s="3341" t="s">
        <v>109</v>
      </c>
      <c r="B9" s="3341"/>
      <c r="C9" s="3341"/>
      <c r="D9" s="3342">
        <f ca="1">IF('数据-取费表'!E3="否",结果表!D126,'结果表 (1修多)'!D130)</f>
        <v>36220</v>
      </c>
      <c r="E9" s="3342"/>
      <c r="F9" s="3342"/>
      <c r="G9" s="3342"/>
      <c r="H9" s="3342"/>
      <c r="I9" s="3342"/>
    </row>
    <row r="10" ht="15.75" spans="1:9">
      <c r="A10" s="3343" t="str">
        <f>IF('数据-取费表'!E3="否",结果表!A127,'结果表 (1修多)'!A131)</f>
        <v/>
      </c>
      <c r="B10" s="3343"/>
      <c r="C10" s="3343"/>
      <c r="D10" s="3343" t="str">
        <f ca="1">IF('数据-取费表'!E3="否",结果表!D127,'结果表 (1修多)'!D130)</f>
        <v>——</v>
      </c>
      <c r="E10" s="3343"/>
      <c r="F10" s="3343"/>
      <c r="G10" s="3343"/>
      <c r="H10" s="3343"/>
      <c r="I10" s="3343"/>
    </row>
    <row r="11" ht="15" spans="1:9">
      <c r="A11" s="3341" t="s">
        <v>109</v>
      </c>
      <c r="B11" s="3341"/>
      <c r="C11" s="3341"/>
      <c r="D11" s="3342" t="str">
        <f ca="1">IF('数据-取费表'!E3="否",结果表!D128,'结果表 (1修多)'!D132)</f>
        <v>——</v>
      </c>
      <c r="E11" s="3342"/>
      <c r="F11" s="3342"/>
      <c r="G11" s="3342"/>
      <c r="H11" s="3342"/>
      <c r="I11" s="3342"/>
    </row>
    <row r="12" ht="15.75" spans="1:9">
      <c r="A12" s="3343" t="str">
        <f>IF('数据-取费表'!E3="否",结果表!A129,'结果表 (1修多)'!A133)</f>
        <v/>
      </c>
      <c r="B12" s="3343"/>
      <c r="C12" s="3343"/>
      <c r="D12" s="3343" t="str">
        <f ca="1">IF('数据-取费表'!E3="否",结果表!D129,'结果表 (1修多)'!D133)</f>
        <v>——</v>
      </c>
      <c r="E12" s="3343"/>
      <c r="F12" s="3343"/>
      <c r="G12" s="3343"/>
      <c r="H12" s="3343"/>
      <c r="I12" s="3343"/>
    </row>
    <row r="13" ht="15.75" spans="1:9">
      <c r="A13" s="3346" t="s">
        <v>109</v>
      </c>
      <c r="B13" s="3346"/>
      <c r="C13" s="3346"/>
      <c r="D13" s="3347">
        <f>IF('数据-取费表'!E3="否",结果表!D130,'结果表 (1修多)'!D134)</f>
        <v>0</v>
      </c>
      <c r="E13" s="3347"/>
      <c r="F13" s="3347"/>
      <c r="G13" s="3347"/>
      <c r="H13" s="3347"/>
      <c r="I13" s="3347"/>
    </row>
    <row r="14" spans="1:9">
      <c r="A14" s="3348" t="str">
        <f>IF('数据-取费表'!E3="否",结果表!A131,'结果表 (1修多)'!A135)</f>
        <v>单位：平方米、元、元/平方米（币种：人民币）</v>
      </c>
      <c r="B14" s="3348"/>
      <c r="C14" s="3348"/>
      <c r="D14" s="3348"/>
      <c r="E14" s="3348"/>
      <c r="F14" s="3348"/>
      <c r="G14" s="3348"/>
      <c r="H14" s="3348"/>
      <c r="I14" s="3348"/>
    </row>
    <row r="15" spans="1:9">
      <c r="A15" s="3249"/>
      <c r="B15" s="3249"/>
      <c r="C15" s="3249"/>
      <c r="D15" s="3249"/>
      <c r="E15" s="3249"/>
      <c r="F15" s="3249"/>
      <c r="G15" s="3249"/>
      <c r="H15" s="3249"/>
      <c r="I15" s="3249"/>
    </row>
    <row r="16" ht="18.75" spans="1:9">
      <c r="A16" s="3297" t="s">
        <v>110</v>
      </c>
      <c r="B16" s="3249"/>
      <c r="C16" s="3249"/>
      <c r="D16" s="3249"/>
      <c r="E16" s="3249"/>
      <c r="F16" s="3249"/>
      <c r="G16" s="3249"/>
      <c r="H16" s="3249"/>
      <c r="I16" s="3249"/>
    </row>
    <row r="17" spans="1:9">
      <c r="A17" s="3249"/>
      <c r="B17" s="3249"/>
      <c r="C17" s="3249"/>
      <c r="D17" s="3249"/>
      <c r="E17" s="3249"/>
      <c r="F17" s="3249"/>
      <c r="G17" s="3249"/>
      <c r="H17" s="3249"/>
      <c r="I17" s="3249"/>
    </row>
    <row r="18" spans="1:9">
      <c r="A18" s="3249"/>
      <c r="B18" s="3249"/>
      <c r="C18" s="3249"/>
      <c r="D18" s="3249"/>
      <c r="E18" s="3249"/>
      <c r="F18" s="3249"/>
      <c r="G18" s="3249"/>
      <c r="H18" s="3249"/>
      <c r="I18" s="3249"/>
    </row>
    <row r="19" spans="1:9">
      <c r="A19" s="3249"/>
      <c r="B19" s="3249"/>
      <c r="C19" s="3249"/>
      <c r="D19" s="3249"/>
      <c r="E19" s="3249"/>
      <c r="F19" s="3249"/>
      <c r="G19" s="3249"/>
      <c r="H19" s="3249"/>
      <c r="I19" s="3249"/>
    </row>
    <row r="20" spans="1:9">
      <c r="A20" s="3249"/>
      <c r="B20" s="3249"/>
      <c r="C20" s="3249"/>
      <c r="D20" s="3249"/>
      <c r="E20" s="3249"/>
      <c r="F20" s="3249"/>
      <c r="G20" s="3249"/>
      <c r="H20" s="3249"/>
      <c r="I20" s="3249"/>
    </row>
    <row r="21" spans="1:9">
      <c r="A21" s="3249"/>
      <c r="B21" s="3249"/>
      <c r="C21" s="3249"/>
      <c r="D21" s="3249"/>
      <c r="E21" s="3249"/>
      <c r="F21" s="3249"/>
      <c r="G21" s="3249"/>
      <c r="H21" s="3249"/>
      <c r="I21" s="3249"/>
    </row>
    <row r="22" spans="1:9">
      <c r="A22" s="3249"/>
      <c r="B22" s="3249"/>
      <c r="C22" s="3249"/>
      <c r="D22" s="3249"/>
      <c r="E22" s="3249"/>
      <c r="F22" s="3249"/>
      <c r="G22" s="3249"/>
      <c r="H22" s="3249"/>
      <c r="I22" s="3249"/>
    </row>
    <row r="23" spans="1:9">
      <c r="A23" s="3249"/>
      <c r="B23" s="3249"/>
      <c r="C23" s="3249"/>
      <c r="D23" s="3249"/>
      <c r="E23" s="3249"/>
      <c r="F23" s="3249"/>
      <c r="G23" s="3249"/>
      <c r="H23" s="3249"/>
      <c r="I23" s="3249"/>
    </row>
    <row r="24" spans="1:9">
      <c r="A24" s="3249"/>
      <c r="B24" s="3249"/>
      <c r="C24" s="3249"/>
      <c r="D24" s="3249"/>
      <c r="E24" s="3249"/>
      <c r="F24" s="3249"/>
      <c r="G24" s="3249"/>
      <c r="H24" s="3249"/>
      <c r="I24" s="3249"/>
    </row>
    <row r="25" spans="1:9">
      <c r="A25" s="3249"/>
      <c r="B25" s="3249"/>
      <c r="C25" s="3249"/>
      <c r="D25" s="3249"/>
      <c r="E25" s="3249"/>
      <c r="F25" s="3249"/>
      <c r="G25" s="3249"/>
      <c r="H25" s="3249"/>
      <c r="I25" s="3249"/>
    </row>
    <row r="26" spans="1:9">
      <c r="A26" s="3249"/>
      <c r="B26" s="3249"/>
      <c r="C26" s="3249"/>
      <c r="D26" s="3249"/>
      <c r="E26" s="3249"/>
      <c r="F26" s="3249"/>
      <c r="G26" s="3249"/>
      <c r="H26" s="3249"/>
      <c r="I26" s="324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20" customWidth="1"/>
    <col min="2" max="2" width="24" style="3320" customWidth="1"/>
    <col min="3" max="3" width="23.2166666666667" style="3320" customWidth="1"/>
    <col min="4" max="4" width="21" style="3320" customWidth="1"/>
    <col min="5" max="16384" width="9" style="3320"/>
  </cols>
  <sheetData>
    <row r="1" ht="18.75" spans="1:4">
      <c r="A1" s="3321" t="s">
        <v>111</v>
      </c>
      <c r="B1" s="3321"/>
      <c r="C1" s="3321"/>
      <c r="D1" s="3321"/>
    </row>
    <row r="2" ht="18" spans="1:4">
      <c r="A2" s="3322" t="s">
        <v>112</v>
      </c>
      <c r="B2" s="3322"/>
      <c r="C2" s="3322"/>
      <c r="D2" s="3322"/>
    </row>
    <row r="3" ht="18.75" spans="1:4">
      <c r="A3" s="3323" t="s">
        <v>113</v>
      </c>
      <c r="B3" s="3323" t="s">
        <v>114</v>
      </c>
      <c r="C3" s="3323" t="s">
        <v>115</v>
      </c>
      <c r="D3" s="3323" t="s">
        <v>116</v>
      </c>
    </row>
    <row r="4" ht="56.25" customHeight="1" spans="1:4">
      <c r="A4" s="3324" t="str">
        <f>项目基本情况!B3</f>
        <v>陈颖</v>
      </c>
      <c r="B4" s="3325">
        <f ca="1">项目基本情况!C3</f>
        <v>1120060040</v>
      </c>
      <c r="C4" s="3326"/>
      <c r="D4" s="3327" t="s">
        <v>117</v>
      </c>
    </row>
    <row r="5" ht="56.25" customHeight="1" spans="1:4">
      <c r="A5" s="3324">
        <f>项目基本情况!D3</f>
        <v>0</v>
      </c>
      <c r="B5" s="3325">
        <f ca="1">项目基本情况!E3</f>
        <v>0</v>
      </c>
      <c r="C5" s="3328"/>
      <c r="D5" s="3327" t="s">
        <v>117</v>
      </c>
    </row>
    <row r="6" ht="12" customHeight="1" spans="1:4">
      <c r="A6" s="3324"/>
      <c r="B6" s="3325"/>
      <c r="C6" s="3329"/>
      <c r="D6" s="3327"/>
    </row>
    <row r="7" ht="18" spans="1:4">
      <c r="A7" s="3322" t="s">
        <v>118</v>
      </c>
      <c r="B7" s="3322"/>
      <c r="C7" s="3322"/>
      <c r="D7" s="3322"/>
    </row>
    <row r="8" ht="18.75" spans="1:4">
      <c r="A8" s="3323" t="s">
        <v>113</v>
      </c>
      <c r="B8" s="3325" t="s">
        <v>119</v>
      </c>
      <c r="C8" s="3323" t="s">
        <v>115</v>
      </c>
      <c r="D8" s="3323" t="s">
        <v>116</v>
      </c>
    </row>
    <row r="9" ht="56.25" customHeight="1" spans="1:4">
      <c r="A9" s="3330" t="s">
        <v>120</v>
      </c>
      <c r="B9" s="3330" t="s">
        <v>121</v>
      </c>
      <c r="C9" s="3326"/>
      <c r="D9" s="3327" t="s">
        <v>117</v>
      </c>
    </row>
    <row r="11" ht="18.75" spans="1:1">
      <c r="A11" s="3321" t="s">
        <v>122</v>
      </c>
    </row>
    <row r="12" ht="30" customHeight="1" spans="1:4">
      <c r="A12" s="3331" t="s">
        <v>123</v>
      </c>
      <c r="B12" s="3332"/>
      <c r="C12" s="3332"/>
      <c r="D12" s="3332"/>
    </row>
    <row r="13" ht="15" spans="1:4">
      <c r="A13" s="33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2"/>
      <c r="C13" s="3332"/>
      <c r="D13" s="3332"/>
    </row>
    <row r="14" ht="30" customHeight="1" spans="1:4">
      <c r="A14" s="3331" t="str">
        <f>IF(项目基本情况!D4="抵押","3.抵押双方在办理抵押登记手续时，应使用本公司出具的正式《不动产估价报告书》，特提醒报告使用者注意。","——")</f>
        <v>——</v>
      </c>
      <c r="B14" s="3332"/>
      <c r="C14" s="3332"/>
      <c r="D14" s="3332"/>
    </row>
    <row r="15" ht="15.75" customHeight="1" spans="1:4">
      <c r="A15" s="3331" t="str">
        <f>IF(项目基本情况!D4="抵押","4.本次评估估价师所知悉的法定优先受偿款情况说明如下：","——")</f>
        <v>——</v>
      </c>
      <c r="B15" s="3332"/>
      <c r="C15" s="3332"/>
      <c r="D15" s="3332"/>
    </row>
    <row r="16" ht="75" customHeight="1" spans="1:4">
      <c r="A16" s="3331" t="str">
        <f>IF(项目基本情况!D4="抵押",CONCATENATE(项目基本情况!J13,项目基本情况!J14,项目基本情况!J15),"——")</f>
        <v>——</v>
      </c>
      <c r="B16" s="3331"/>
      <c r="C16" s="3331"/>
      <c r="D16" s="3331"/>
    </row>
    <row r="17" ht="63.75" customHeight="1" spans="1:4">
      <c r="A17" s="3333" t="s">
        <v>124</v>
      </c>
      <c r="B17" s="3333"/>
      <c r="C17" s="3333"/>
      <c r="D17" s="3333"/>
    </row>
    <row r="18" ht="15.75" customHeight="1" spans="1:4">
      <c r="A18" s="3331" t="str">
        <f>IF(项目基本情况!D4="抵押",结果表!L106,"——")</f>
        <v>——</v>
      </c>
      <c r="B18" s="3331"/>
      <c r="C18" s="3331"/>
      <c r="D18" s="3331"/>
    </row>
    <row r="19" ht="46.5" customHeight="1" spans="1:4">
      <c r="A19" s="33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1"/>
      <c r="C19" s="3331"/>
      <c r="D19" s="3331"/>
    </row>
    <row r="20" ht="15" spans="1:4">
      <c r="A20" s="3333" t="s">
        <v>125</v>
      </c>
      <c r="B20" s="3333"/>
      <c r="C20" s="3333"/>
      <c r="D20" s="3333"/>
    </row>
    <row r="21" spans="1:4">
      <c r="A21" s="3334"/>
      <c r="B21" s="322"/>
      <c r="C21" s="322"/>
      <c r="D21" s="322"/>
    </row>
    <row r="22" spans="1:4">
      <c r="A22" s="3334"/>
      <c r="B22" s="322"/>
      <c r="C22" s="322"/>
      <c r="D22" s="322"/>
    </row>
    <row r="23" ht="18.75" spans="1:1">
      <c r="A23" s="3335" t="s">
        <v>126</v>
      </c>
    </row>
    <row r="24" ht="18" spans="1:1">
      <c r="A24" s="3335"/>
    </row>
    <row r="25" ht="18.75" spans="1:1">
      <c r="A25" s="3335" t="s">
        <v>127</v>
      </c>
    </row>
    <row r="28" ht="21" customHeight="1" spans="4:4">
      <c r="D28" s="3336" t="s">
        <v>128</v>
      </c>
    </row>
    <row r="29" ht="21" customHeight="1" spans="3:4">
      <c r="C29" s="3337"/>
      <c r="D29" s="333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8" customWidth="1"/>
    <col min="2" max="16384" width="14.4416666666667" style="3249"/>
  </cols>
  <sheetData>
    <row r="1" s="3297" customFormat="1" ht="18.75" spans="1:1">
      <c r="A1" s="3299" t="s">
        <v>129</v>
      </c>
    </row>
    <row r="3" ht="14.25" spans="1:7">
      <c r="A3" s="3300" t="s">
        <v>130</v>
      </c>
      <c r="B3" s="3249" t="s">
        <v>131</v>
      </c>
      <c r="G3" s="3301"/>
    </row>
    <row r="4" spans="7:7">
      <c r="G4" s="3301"/>
    </row>
    <row r="5" ht="14.25" spans="1:7">
      <c r="A5" s="3302" t="s">
        <v>132</v>
      </c>
      <c r="B5" s="3249" t="s">
        <v>133</v>
      </c>
      <c r="G5" s="3301"/>
    </row>
    <row r="6" spans="7:7">
      <c r="G6" s="3301"/>
    </row>
    <row r="7" ht="14.25" spans="1:7">
      <c r="A7" s="3303" t="s">
        <v>134</v>
      </c>
      <c r="B7" s="3249" t="s">
        <v>135</v>
      </c>
      <c r="G7" s="3301"/>
    </row>
    <row r="8" spans="7:7">
      <c r="G8" s="3301"/>
    </row>
    <row r="9" ht="14.25" spans="1:2">
      <c r="A9" s="3304" t="s">
        <v>136</v>
      </c>
      <c r="B9" s="3249" t="s">
        <v>137</v>
      </c>
    </row>
    <row r="11" ht="14.25" spans="1:2">
      <c r="A11" s="3305" t="s">
        <v>138</v>
      </c>
      <c r="B11" s="3306" t="s">
        <v>139</v>
      </c>
    </row>
    <row r="13" ht="14.25" spans="1:1">
      <c r="A13" s="3307" t="s">
        <v>140</v>
      </c>
    </row>
    <row r="15" ht="13.5" spans="1:3">
      <c r="A15" s="3308" t="s">
        <v>141</v>
      </c>
      <c r="B15" s="3309" t="s">
        <v>142</v>
      </c>
      <c r="C15" s="3310"/>
    </row>
    <row r="16" ht="13.5" spans="1:3">
      <c r="A16" s="3311"/>
      <c r="B16" s="3309" t="s">
        <v>143</v>
      </c>
      <c r="C16" s="3310"/>
    </row>
    <row r="17" ht="14.25" spans="1:3">
      <c r="A17" s="3311"/>
      <c r="B17" s="3309" t="s">
        <v>144</v>
      </c>
      <c r="C17" s="3310"/>
    </row>
    <row r="18" ht="13.5" spans="1:3">
      <c r="A18" s="3312"/>
      <c r="B18" s="3313" t="s">
        <v>145</v>
      </c>
      <c r="C18" s="3310"/>
    </row>
    <row r="19" ht="14.25" spans="1:3">
      <c r="A19" s="3314" t="s">
        <v>146</v>
      </c>
      <c r="B19" s="3315"/>
      <c r="C19" s="3316"/>
    </row>
    <row r="20" ht="13.5" spans="1:3">
      <c r="A20" s="3317" t="s">
        <v>147</v>
      </c>
      <c r="B20" s="3313" t="s">
        <v>148</v>
      </c>
      <c r="C20" s="3310"/>
    </row>
    <row r="21" ht="13.5" spans="1:3">
      <c r="A21" s="3317"/>
      <c r="B21" s="3313" t="s">
        <v>149</v>
      </c>
      <c r="C21" s="3310"/>
    </row>
    <row r="22" ht="13.5" spans="1:3">
      <c r="A22" s="3317"/>
      <c r="B22" s="3313" t="s">
        <v>150</v>
      </c>
      <c r="C22" s="3310"/>
    </row>
    <row r="23" ht="13.5" spans="1:3">
      <c r="A23" s="3317"/>
      <c r="B23" s="3318" t="s">
        <v>151</v>
      </c>
      <c r="C23" s="3318" t="s">
        <v>152</v>
      </c>
    </row>
    <row r="24" ht="13.5" spans="1:3">
      <c r="A24" s="3317"/>
      <c r="B24" s="3318"/>
      <c r="C24" s="3318" t="s">
        <v>153</v>
      </c>
    </row>
    <row r="25" ht="13.5" spans="1:3">
      <c r="A25" s="3317"/>
      <c r="B25" s="3318"/>
      <c r="C25" s="3318" t="s">
        <v>154</v>
      </c>
    </row>
    <row r="26" ht="13.5" spans="1:3">
      <c r="A26" s="3317"/>
      <c r="B26" s="3318"/>
      <c r="C26" s="3318" t="s">
        <v>155</v>
      </c>
    </row>
    <row r="27" ht="13.5" spans="1:3">
      <c r="A27" s="3317"/>
      <c r="B27" s="3318"/>
      <c r="C27" s="3318" t="s">
        <v>156</v>
      </c>
    </row>
    <row r="28" ht="13.5" spans="1:3">
      <c r="A28" s="3317"/>
      <c r="B28" s="3318"/>
      <c r="C28" s="3318" t="s">
        <v>157</v>
      </c>
    </row>
    <row r="29" ht="14.25" spans="1:3">
      <c r="A29" s="3317"/>
      <c r="B29" s="3318"/>
      <c r="C29" s="3318" t="s">
        <v>158</v>
      </c>
    </row>
    <row r="30" ht="14.25" spans="1:3">
      <c r="A30" s="3317"/>
      <c r="B30" s="3318"/>
      <c r="C30" s="3318" t="s">
        <v>159</v>
      </c>
    </row>
    <row r="31" ht="13.5" spans="1:3">
      <c r="A31" s="3317"/>
      <c r="B31" s="3318"/>
      <c r="C31" s="3318" t="s">
        <v>160</v>
      </c>
    </row>
    <row r="32" spans="1:1">
      <c r="A32" s="331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5" customWidth="1"/>
    <col min="2" max="2" width="38.6666666666667" style="3265" customWidth="1"/>
    <col min="3" max="3" width="26" style="3265" customWidth="1"/>
    <col min="4" max="4" width="35" style="3265" hidden="1" customWidth="1"/>
    <col min="5" max="5" width="30.1083333333333" style="3265" customWidth="1"/>
    <col min="6" max="6" width="35.4416666666667" style="3265" customWidth="1"/>
    <col min="7" max="7" width="31" style="3265" customWidth="1"/>
    <col min="8" max="8" width="37.4416666666667" style="3265" hidden="1" customWidth="1"/>
    <col min="9" max="16384" width="22.6666666666667" style="3265"/>
  </cols>
  <sheetData>
    <row r="1" customHeight="1" spans="1:8">
      <c r="A1" s="3266"/>
      <c r="B1" s="3266"/>
      <c r="C1" s="3266"/>
      <c r="D1" s="3266"/>
      <c r="E1" s="3266"/>
      <c r="F1" s="3266"/>
      <c r="G1" s="3266"/>
      <c r="H1" s="3266"/>
    </row>
    <row r="2" customHeight="1" spans="1:8">
      <c r="A2" s="3267" t="s">
        <v>162</v>
      </c>
      <c r="B2" s="3268">
        <f ca="1">TODAY()</f>
        <v>44491</v>
      </c>
      <c r="C2" s="3269" t="s">
        <v>163</v>
      </c>
      <c r="D2" s="3269"/>
      <c r="E2" s="3269"/>
      <c r="F2" s="3266"/>
      <c r="G2" s="3266"/>
      <c r="H2" s="3266"/>
    </row>
    <row r="3" customHeight="1" spans="1:8">
      <c r="A3" s="3270" t="s">
        <v>164</v>
      </c>
      <c r="B3" s="3271" t="s">
        <v>165</v>
      </c>
      <c r="C3" s="3271" t="s">
        <v>166</v>
      </c>
      <c r="D3" s="3272" t="s">
        <v>167</v>
      </c>
      <c r="E3" s="3273" t="s">
        <v>168</v>
      </c>
      <c r="F3" s="3274" t="s">
        <v>169</v>
      </c>
      <c r="G3" s="3271" t="s">
        <v>166</v>
      </c>
      <c r="H3" s="3272" t="s">
        <v>170</v>
      </c>
    </row>
    <row r="4" customHeight="1" spans="1:8">
      <c r="A4" s="3274" t="s">
        <v>171</v>
      </c>
      <c r="B4" s="3274">
        <f ca="1">IF(C4&lt;B2,"已过期",1119970066)</f>
        <v>1119970066</v>
      </c>
      <c r="C4" s="3275">
        <v>44876</v>
      </c>
      <c r="D4" s="3276" t="str">
        <f ca="1">A4&amp;"（注册号："&amp;B4&amp;"）"</f>
        <v>梁津（注册号：1119970066）</v>
      </c>
      <c r="E4" s="3277" t="s">
        <v>171</v>
      </c>
      <c r="F4" s="3274">
        <f ca="1">IF(G4&lt;B2,"已过期",96010014)</f>
        <v>96010014</v>
      </c>
      <c r="G4" s="3278">
        <v>47118</v>
      </c>
      <c r="H4" s="3279" t="str">
        <f ca="1">E4&amp;"（注册号："&amp;F4&amp;"）"</f>
        <v>梁津（注册号：96010014）</v>
      </c>
    </row>
    <row r="5" customHeight="1" spans="1:8">
      <c r="A5" s="3274" t="s">
        <v>172</v>
      </c>
      <c r="B5" s="3274">
        <f ca="1">IF(C5&lt;B2,"已过期",1119970111)</f>
        <v>1119970111</v>
      </c>
      <c r="C5" s="3275">
        <v>44876</v>
      </c>
      <c r="D5" s="3276" t="str">
        <f ca="1" t="shared" ref="D5:D14" si="0">A5&amp;"（注册号："&amp;B5&amp;"）"</f>
        <v>叶凌（注册号：1119970111）</v>
      </c>
      <c r="E5" s="3277" t="s">
        <v>172</v>
      </c>
      <c r="F5" s="3274">
        <f ca="1">IF(G5&lt;B2,"已过期",94010078)</f>
        <v>94010078</v>
      </c>
      <c r="G5" s="3278">
        <v>46387</v>
      </c>
      <c r="H5" s="3279" t="str">
        <f ca="1" t="shared" ref="H5:H16" si="1">E5&amp;"（注册号："&amp;F5&amp;"）"</f>
        <v>叶凌（注册号：94010078）</v>
      </c>
    </row>
    <row r="6" customHeight="1" spans="1:8">
      <c r="A6" s="3274" t="s">
        <v>173</v>
      </c>
      <c r="B6" s="3274" t="str">
        <f ca="1">IF(C6&lt;B2,"已过期",1120050019)</f>
        <v>已过期</v>
      </c>
      <c r="C6" s="3275">
        <v>44395</v>
      </c>
      <c r="D6" s="3276" t="str">
        <f ca="1" t="shared" si="0"/>
        <v>王鹏（注册号：已过期）</v>
      </c>
      <c r="E6" s="3277" t="s">
        <v>173</v>
      </c>
      <c r="F6" s="3274">
        <f ca="1">IF(G6&lt;B2,"已过期",2002110030)</f>
        <v>2002110030</v>
      </c>
      <c r="G6" s="3278">
        <v>46387</v>
      </c>
      <c r="H6" s="3279" t="str">
        <f ca="1" t="shared" si="1"/>
        <v>王鹏（注册号：2002110030）</v>
      </c>
    </row>
    <row r="7" customHeight="1" spans="1:8">
      <c r="A7" s="3274" t="s">
        <v>174</v>
      </c>
      <c r="B7" s="3274">
        <f ca="1">IF(C7&lt;B2,"已过期",1120000080)</f>
        <v>1120000080</v>
      </c>
      <c r="C7" s="3275">
        <v>44876</v>
      </c>
      <c r="D7" s="3276" t="str">
        <f ca="1" t="shared" si="0"/>
        <v>欧红伟（注册号：1120000080）</v>
      </c>
      <c r="E7" s="3277" t="s">
        <v>174</v>
      </c>
      <c r="F7" s="3274">
        <f ca="1">IF(G7&lt;B2,"已过期",2000110082)</f>
        <v>2000110082</v>
      </c>
      <c r="G7" s="3278">
        <v>46387</v>
      </c>
      <c r="H7" s="3279" t="str">
        <f ca="1" t="shared" si="1"/>
        <v>欧红伟（注册号：2000110082）</v>
      </c>
    </row>
    <row r="8" customHeight="1" spans="1:8">
      <c r="A8" s="3274" t="s">
        <v>175</v>
      </c>
      <c r="B8" s="3274">
        <f ca="1">IF(C8&lt;B2,"已过期",1419970001)</f>
        <v>1419970001</v>
      </c>
      <c r="C8" s="3275">
        <v>44899</v>
      </c>
      <c r="D8" s="3276" t="str">
        <f ca="1" t="shared" si="0"/>
        <v>吴薇（注册号：1419970001）</v>
      </c>
      <c r="E8" s="3277" t="s">
        <v>175</v>
      </c>
      <c r="F8" s="3274">
        <f ca="1">IF(G8&lt;B2,"已过期",2002110125)</f>
        <v>2002110125</v>
      </c>
      <c r="G8" s="3278">
        <v>47118</v>
      </c>
      <c r="H8" s="3279" t="str">
        <f ca="1" t="shared" si="1"/>
        <v>吴薇（注册号：2002110125）</v>
      </c>
    </row>
    <row r="9" customHeight="1" spans="1:8">
      <c r="A9" s="3274" t="s">
        <v>176</v>
      </c>
      <c r="B9" s="3274">
        <f ca="1">IF(C9&lt;B2,"已过期",1120060040)</f>
        <v>1120060040</v>
      </c>
      <c r="C9" s="3280">
        <v>44554</v>
      </c>
      <c r="D9" s="3276" t="str">
        <f ca="1" t="shared" si="0"/>
        <v>陈颖（注册号：1120060040）</v>
      </c>
      <c r="E9" s="3277" t="s">
        <v>176</v>
      </c>
      <c r="F9" s="3274">
        <f ca="1">IF(G9&lt;B2,"已过期",2004110096)</f>
        <v>2004110096</v>
      </c>
      <c r="G9" s="3278">
        <v>47118</v>
      </c>
      <c r="H9" s="3279" t="str">
        <f ca="1" t="shared" si="1"/>
        <v>陈颖（注册号：2004110096）</v>
      </c>
    </row>
    <row r="10" customHeight="1" spans="1:8">
      <c r="A10" s="3274" t="s">
        <v>177</v>
      </c>
      <c r="B10" s="3274">
        <f ca="1">IF(C10&lt;B2,"已过期",1120100036)</f>
        <v>1120100036</v>
      </c>
      <c r="C10" s="3280">
        <v>44675</v>
      </c>
      <c r="D10" s="3276" t="str">
        <f ca="1" t="shared" si="0"/>
        <v>崔锴（注册号：1120100036）</v>
      </c>
      <c r="E10" s="3277" t="s">
        <v>177</v>
      </c>
      <c r="F10" s="3274">
        <f ca="1">IF(G10&lt;B2,"已过期",2010110070)</f>
        <v>2010110070</v>
      </c>
      <c r="G10" s="3278">
        <v>47907</v>
      </c>
      <c r="H10" s="3279" t="str">
        <f ca="1" t="shared" si="1"/>
        <v>崔锴（注册号：2010110070）</v>
      </c>
    </row>
    <row r="11" customHeight="1" spans="1:8">
      <c r="A11" s="3274" t="s">
        <v>178</v>
      </c>
      <c r="B11" s="3274">
        <f ca="1">IF(C11&lt;B2,"已过期",1120070131)</f>
        <v>1120070131</v>
      </c>
      <c r="C11" s="3275">
        <v>44849</v>
      </c>
      <c r="D11" s="3276" t="str">
        <f ca="1" t="shared" si="0"/>
        <v>郑燚（注册号：1120070131）</v>
      </c>
      <c r="E11" s="3277" t="s">
        <v>178</v>
      </c>
      <c r="F11" s="3274">
        <f ca="1">IF(G11&lt;B2,"已过期",2014110011)</f>
        <v>2014110011</v>
      </c>
      <c r="G11" s="3278">
        <v>49302</v>
      </c>
      <c r="H11" s="3279" t="str">
        <f ca="1" t="shared" si="1"/>
        <v>郑燚（注册号：2014110011）</v>
      </c>
    </row>
    <row r="12" customHeight="1" spans="1:8">
      <c r="A12" s="3274" t="s">
        <v>179</v>
      </c>
      <c r="B12" s="3274">
        <f ca="1">IF(C12&lt;B2,"已过期",1120040230)</f>
        <v>1120040230</v>
      </c>
      <c r="C12" s="3280">
        <v>44864</v>
      </c>
      <c r="D12" s="3276" t="str">
        <f ca="1" t="shared" si="0"/>
        <v>苏海（注册号：1120040230）</v>
      </c>
      <c r="E12" s="3277" t="s">
        <v>179</v>
      </c>
      <c r="F12" s="3274">
        <f ca="1">IF(G12&lt;B2,"已过期",98030020)</f>
        <v>98030020</v>
      </c>
      <c r="G12" s="3278">
        <v>47118</v>
      </c>
      <c r="H12" s="3279" t="str">
        <f ca="1" t="shared" si="1"/>
        <v>苏海（注册号：98030020）</v>
      </c>
    </row>
    <row r="13" customHeight="1" spans="1:8">
      <c r="A13" s="3274" t="s">
        <v>180</v>
      </c>
      <c r="B13" s="3274" t="str">
        <f ca="1">IF(C13&lt;B2,"已过期",1120020033)</f>
        <v>已过期</v>
      </c>
      <c r="C13" s="3275">
        <v>44339</v>
      </c>
      <c r="D13" s="3276" t="str">
        <f ca="1" t="shared" si="0"/>
        <v>刘敬东（注册号：已过期）</v>
      </c>
      <c r="E13" s="3277" t="s">
        <v>180</v>
      </c>
      <c r="F13" s="3274">
        <f ca="1">IF(G13&lt;B2,"已过期",2000110137)</f>
        <v>2000110137</v>
      </c>
      <c r="G13" s="3278">
        <v>46387</v>
      </c>
      <c r="H13" s="3279" t="str">
        <f ca="1" t="shared" si="1"/>
        <v>刘敬东（注册号：2000110137）</v>
      </c>
    </row>
    <row r="14" customHeight="1" spans="1:8">
      <c r="A14" s="3274" t="s">
        <v>181</v>
      </c>
      <c r="B14" s="3274">
        <f ca="1">IF(C14&lt;B2,"已过期",1119980106)</f>
        <v>1119980106</v>
      </c>
      <c r="C14" s="3280">
        <v>44969</v>
      </c>
      <c r="D14" s="3276" t="str">
        <f ca="1" t="shared" si="0"/>
        <v>刘俊财（注册号：1119980106）</v>
      </c>
      <c r="E14" s="3277" t="s">
        <v>181</v>
      </c>
      <c r="F14" s="3274">
        <f ca="1">IF(G14&lt;B2,"已过期",96010063)</f>
        <v>96010063</v>
      </c>
      <c r="G14" s="3278">
        <v>47483</v>
      </c>
      <c r="H14" s="3279" t="str">
        <f ca="1" t="shared" si="1"/>
        <v>刘俊财（注册号：96010063）</v>
      </c>
    </row>
    <row r="15" customHeight="1" spans="1:8">
      <c r="A15" s="3274"/>
      <c r="B15" s="3274"/>
      <c r="C15" s="3280"/>
      <c r="D15" s="3276" t="str">
        <f t="shared" ref="D15:D16" si="2">A15&amp;"（注册号："&amp;B15&amp;"）"</f>
        <v>（注册号：）</v>
      </c>
      <c r="E15" s="3277" t="s">
        <v>182</v>
      </c>
      <c r="F15" s="3274">
        <f ca="1">IF(G15&lt;B2,"已过期",2011110090)</f>
        <v>2011110090</v>
      </c>
      <c r="G15" s="3278">
        <v>48302</v>
      </c>
      <c r="H15" s="3279" t="str">
        <f ca="1" t="shared" ref="H15" si="3">E15&amp;"（注册号："&amp;F15&amp;"）"</f>
        <v>赵雯（注册号：2011110090）</v>
      </c>
    </row>
    <row r="16" s="3263" customFormat="1" customHeight="1" spans="1:8">
      <c r="A16" s="3274"/>
      <c r="B16" s="3274"/>
      <c r="C16" s="3274"/>
      <c r="D16" s="3276" t="str">
        <f t="shared" si="2"/>
        <v>（注册号：）</v>
      </c>
      <c r="E16" s="3277"/>
      <c r="F16" s="3274"/>
      <c r="G16" s="3274"/>
      <c r="H16" s="3281" t="str">
        <f t="shared" si="1"/>
        <v>（注册号：）</v>
      </c>
    </row>
    <row r="17" customHeight="1" spans="1:8">
      <c r="A17" s="3282" t="s">
        <v>183</v>
      </c>
      <c r="B17" s="3282"/>
      <c r="C17" s="3282"/>
      <c r="D17" s="3282"/>
      <c r="E17" s="3282"/>
      <c r="F17" s="3282"/>
      <c r="G17" s="3282"/>
      <c r="H17" s="3282"/>
    </row>
    <row r="18" customHeight="1" spans="1:7">
      <c r="A18" s="3271" t="s">
        <v>184</v>
      </c>
      <c r="B18" s="3271"/>
      <c r="C18" s="3271"/>
      <c r="D18" s="3272"/>
      <c r="E18" s="3283" t="s">
        <v>185</v>
      </c>
      <c r="F18" s="3271"/>
      <c r="G18" s="3271"/>
    </row>
    <row r="19" s="3264" customFormat="1" customHeight="1" spans="1:7">
      <c r="A19" s="3284" t="s">
        <v>186</v>
      </c>
      <c r="B19" s="3271" t="s">
        <v>187</v>
      </c>
      <c r="C19" s="3271" t="s">
        <v>166</v>
      </c>
      <c r="D19" s="3272"/>
      <c r="E19" s="3277" t="s">
        <v>186</v>
      </c>
      <c r="F19" s="3271" t="s">
        <v>187</v>
      </c>
      <c r="G19" s="3271" t="s">
        <v>166</v>
      </c>
    </row>
    <row r="20" s="3264" customFormat="1" customHeight="1" spans="1:7">
      <c r="A20" s="3285" t="s">
        <v>188</v>
      </c>
      <c r="B20" s="3285" t="s">
        <v>189</v>
      </c>
      <c r="C20" s="3278">
        <v>44820</v>
      </c>
      <c r="D20" s="3286"/>
      <c r="E20" s="3287" t="s">
        <v>190</v>
      </c>
      <c r="F20" s="3285" t="s">
        <v>191</v>
      </c>
      <c r="G20" s="3288">
        <v>44377</v>
      </c>
    </row>
    <row r="21" s="3264" customFormat="1" customHeight="1" spans="1:7">
      <c r="A21" s="3285"/>
      <c r="B21" s="3285"/>
      <c r="C21" s="3289"/>
      <c r="D21" s="3290"/>
      <c r="E21" s="3287" t="s">
        <v>192</v>
      </c>
      <c r="F21" s="3291" t="s">
        <v>193</v>
      </c>
      <c r="G21" s="3292">
        <v>44012</v>
      </c>
    </row>
    <row r="22" customHeight="1" spans="3:7">
      <c r="C22" s="3293"/>
      <c r="D22" s="3293"/>
      <c r="E22" s="3294"/>
      <c r="F22" s="3295"/>
      <c r="G22" s="3296"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8" customWidth="1"/>
    <col min="2" max="2" width="22.4416666666667" style="3249" customWidth="1"/>
    <col min="3" max="3" width="13" style="2745" hidden="1" customWidth="1"/>
    <col min="4" max="4" width="5.775" style="3250" hidden="1" customWidth="1"/>
    <col min="5" max="5" width="7.10833333333333" style="3250" hidden="1" customWidth="1"/>
    <col min="6" max="6" width="10.6666666666667" style="3250" hidden="1" customWidth="1"/>
    <col min="7" max="7" width="7.44166666666667" style="3250" hidden="1" customWidth="1"/>
    <col min="8" max="8" width="9" style="2745" hidden="1" customWidth="1"/>
    <col min="9" max="9" width="11.6666666666667" style="2745" hidden="1" customWidth="1"/>
    <col min="10" max="10" width="9" style="2745" hidden="1" customWidth="1"/>
    <col min="11" max="19" width="9" style="3250" hidden="1" customWidth="1"/>
    <col min="20" max="24" width="9" style="2745" hidden="1" customWidth="1"/>
    <col min="25" max="25" width="9" style="2745" customWidth="1"/>
    <col min="26" max="26" width="15.8833333333333" style="3249" customWidth="1"/>
    <col min="27" max="16384" width="9" style="3249"/>
  </cols>
  <sheetData>
    <row r="1" s="3247" customFormat="1" ht="27" spans="1:25">
      <c r="A1" s="3251" t="s">
        <v>195</v>
      </c>
      <c r="B1" s="3252" t="s">
        <v>196</v>
      </c>
      <c r="C1" s="3253" t="s">
        <v>197</v>
      </c>
      <c r="D1" s="3254" t="s">
        <v>198</v>
      </c>
      <c r="E1" s="3254" t="s">
        <v>199</v>
      </c>
      <c r="F1" s="3254" t="s">
        <v>200</v>
      </c>
      <c r="G1" s="3254" t="s">
        <v>201</v>
      </c>
      <c r="H1" s="3254" t="s">
        <v>202</v>
      </c>
      <c r="I1" s="3254" t="s">
        <v>203</v>
      </c>
      <c r="J1" s="3254" t="s">
        <v>204</v>
      </c>
      <c r="K1" s="3254" t="s">
        <v>205</v>
      </c>
      <c r="L1" s="3254" t="s">
        <v>206</v>
      </c>
      <c r="M1" s="3254" t="s">
        <v>207</v>
      </c>
      <c r="N1" s="3254" t="s">
        <v>208</v>
      </c>
      <c r="O1" s="3254" t="s">
        <v>209</v>
      </c>
      <c r="P1" s="3261" t="s">
        <v>210</v>
      </c>
      <c r="Q1" s="3261" t="s">
        <v>211</v>
      </c>
      <c r="R1" s="3261" t="s">
        <v>212</v>
      </c>
      <c r="S1" s="3254" t="s">
        <v>213</v>
      </c>
      <c r="T1" s="3262" t="s">
        <v>214</v>
      </c>
      <c r="U1" s="3254" t="s">
        <v>215</v>
      </c>
      <c r="V1" s="3254" t="s">
        <v>216</v>
      </c>
      <c r="W1" s="3254" t="s">
        <v>217</v>
      </c>
      <c r="X1" s="3254" t="s">
        <v>218</v>
      </c>
      <c r="Y1" s="3254" t="s">
        <v>219</v>
      </c>
    </row>
    <row r="2" spans="1:25">
      <c r="A2" s="2405" t="s">
        <v>121</v>
      </c>
      <c r="B2" s="2405" t="s">
        <v>220</v>
      </c>
      <c r="C2" s="3255" t="s">
        <v>221</v>
      </c>
      <c r="D2" s="3250" t="s">
        <v>222</v>
      </c>
      <c r="E2" s="3250" t="s">
        <v>223</v>
      </c>
      <c r="F2" s="3250" t="s">
        <v>152</v>
      </c>
      <c r="G2" s="3250">
        <v>40</v>
      </c>
      <c r="H2" s="3250" t="s">
        <v>152</v>
      </c>
      <c r="I2" s="3250" t="s">
        <v>224</v>
      </c>
      <c r="J2" s="3250" t="s">
        <v>225</v>
      </c>
      <c r="K2" s="3250" t="s">
        <v>226</v>
      </c>
      <c r="L2" s="3250" t="s">
        <v>226</v>
      </c>
      <c r="M2" s="3250" t="s">
        <v>226</v>
      </c>
      <c r="N2" s="3250" t="s">
        <v>226</v>
      </c>
      <c r="O2" s="3250" t="s">
        <v>226</v>
      </c>
      <c r="P2" s="3250" t="s">
        <v>226</v>
      </c>
      <c r="Q2" s="3250" t="s">
        <v>226</v>
      </c>
      <c r="R2" s="3250" t="s">
        <v>227</v>
      </c>
      <c r="S2" s="3250" t="s">
        <v>226</v>
      </c>
      <c r="T2" s="3250" t="s">
        <v>228</v>
      </c>
      <c r="U2" s="3250" t="s">
        <v>226</v>
      </c>
      <c r="V2" s="3250" t="s">
        <v>229</v>
      </c>
      <c r="W2" s="3250" t="s">
        <v>226</v>
      </c>
      <c r="X2" s="3250" t="s">
        <v>230</v>
      </c>
      <c r="Y2" s="3250" t="s">
        <v>231</v>
      </c>
    </row>
    <row r="3" spans="1:25">
      <c r="A3" s="2405" t="s">
        <v>232</v>
      </c>
      <c r="B3" s="2439" t="s">
        <v>233</v>
      </c>
      <c r="C3" s="328" t="s">
        <v>234</v>
      </c>
      <c r="D3" s="3250" t="s">
        <v>235</v>
      </c>
      <c r="E3" s="3250" t="s">
        <v>121</v>
      </c>
      <c r="F3" s="3250" t="s">
        <v>153</v>
      </c>
      <c r="G3" s="3250">
        <v>50</v>
      </c>
      <c r="H3" s="3250" t="s">
        <v>153</v>
      </c>
      <c r="I3" s="3250" t="s">
        <v>236</v>
      </c>
      <c r="J3" s="3250" t="s">
        <v>237</v>
      </c>
      <c r="K3" s="3250" t="s">
        <v>238</v>
      </c>
      <c r="L3" s="3250" t="s">
        <v>238</v>
      </c>
      <c r="M3" s="3250" t="s">
        <v>238</v>
      </c>
      <c r="N3" s="3250" t="s">
        <v>238</v>
      </c>
      <c r="O3" s="3250" t="s">
        <v>238</v>
      </c>
      <c r="P3" s="3250" t="s">
        <v>238</v>
      </c>
      <c r="Q3" s="3250" t="s">
        <v>238</v>
      </c>
      <c r="R3" s="3250" t="s">
        <v>239</v>
      </c>
      <c r="S3" s="3250" t="s">
        <v>238</v>
      </c>
      <c r="T3" s="3250" t="s">
        <v>240</v>
      </c>
      <c r="U3" s="3250" t="s">
        <v>238</v>
      </c>
      <c r="V3" s="3250" t="s">
        <v>241</v>
      </c>
      <c r="W3" s="3250" t="s">
        <v>238</v>
      </c>
      <c r="X3" s="3250" t="s">
        <v>242</v>
      </c>
      <c r="Y3" s="3250" t="s">
        <v>243</v>
      </c>
    </row>
    <row r="4" spans="1:25">
      <c r="A4" s="2405" t="s">
        <v>244</v>
      </c>
      <c r="B4" s="2439" t="s">
        <v>245</v>
      </c>
      <c r="C4" s="3255" t="s">
        <v>246</v>
      </c>
      <c r="D4" s="3250" t="s">
        <v>121</v>
      </c>
      <c r="E4" s="3250" t="s">
        <v>247</v>
      </c>
      <c r="F4" s="3250" t="s">
        <v>154</v>
      </c>
      <c r="G4" s="3250">
        <v>70</v>
      </c>
      <c r="H4" s="3250" t="s">
        <v>154</v>
      </c>
      <c r="I4" s="3250" t="s">
        <v>248</v>
      </c>
      <c r="K4" s="3250" t="s">
        <v>249</v>
      </c>
      <c r="L4" s="3250" t="s">
        <v>249</v>
      </c>
      <c r="M4" s="3250" t="s">
        <v>249</v>
      </c>
      <c r="N4" s="3250" t="s">
        <v>249</v>
      </c>
      <c r="O4" s="3250" t="s">
        <v>249</v>
      </c>
      <c r="P4" s="3250" t="s">
        <v>249</v>
      </c>
      <c r="Q4" s="3250" t="s">
        <v>249</v>
      </c>
      <c r="R4" s="3250" t="s">
        <v>250</v>
      </c>
      <c r="S4" s="3250" t="s">
        <v>249</v>
      </c>
      <c r="T4" s="3250" t="s">
        <v>251</v>
      </c>
      <c r="U4" s="3250" t="s">
        <v>249</v>
      </c>
      <c r="W4" s="3250" t="s">
        <v>249</v>
      </c>
      <c r="X4" s="3250" t="s">
        <v>252</v>
      </c>
      <c r="Y4" s="3250" t="s">
        <v>253</v>
      </c>
    </row>
    <row r="5" spans="1:24">
      <c r="A5" s="2405" t="s">
        <v>254</v>
      </c>
      <c r="B5" s="2405" t="s">
        <v>255</v>
      </c>
      <c r="C5" s="3255" t="s">
        <v>256</v>
      </c>
      <c r="F5" s="3250" t="s">
        <v>155</v>
      </c>
      <c r="H5" s="3250" t="s">
        <v>257</v>
      </c>
      <c r="I5" s="3250" t="s">
        <v>258</v>
      </c>
      <c r="K5" s="3250" t="s">
        <v>259</v>
      </c>
      <c r="L5" s="3250" t="s">
        <v>259</v>
      </c>
      <c r="M5" s="3250" t="s">
        <v>259</v>
      </c>
      <c r="N5" s="3250" t="s">
        <v>259</v>
      </c>
      <c r="O5" s="3250" t="s">
        <v>259</v>
      </c>
      <c r="P5" s="3250" t="s">
        <v>259</v>
      </c>
      <c r="Q5" s="3250" t="s">
        <v>259</v>
      </c>
      <c r="R5" s="3250" t="s">
        <v>260</v>
      </c>
      <c r="S5" s="3250" t="s">
        <v>259</v>
      </c>
      <c r="T5" s="3250" t="s">
        <v>261</v>
      </c>
      <c r="U5" s="3250" t="s">
        <v>259</v>
      </c>
      <c r="W5" s="3250" t="s">
        <v>259</v>
      </c>
      <c r="X5" s="3259"/>
    </row>
    <row r="6" spans="1:24">
      <c r="A6" s="2405" t="s">
        <v>262</v>
      </c>
      <c r="B6" s="2405" t="s">
        <v>263</v>
      </c>
      <c r="C6" s="3256" t="s">
        <v>264</v>
      </c>
      <c r="F6" s="3250" t="s">
        <v>257</v>
      </c>
      <c r="H6" s="3250" t="s">
        <v>157</v>
      </c>
      <c r="I6" s="3250" t="s">
        <v>265</v>
      </c>
      <c r="K6" s="3250" t="s">
        <v>266</v>
      </c>
      <c r="L6" s="3250" t="s">
        <v>266</v>
      </c>
      <c r="M6" s="3250" t="s">
        <v>266</v>
      </c>
      <c r="N6" s="3250" t="s">
        <v>266</v>
      </c>
      <c r="O6" s="3250" t="s">
        <v>266</v>
      </c>
      <c r="P6" s="3250" t="s">
        <v>266</v>
      </c>
      <c r="Q6" s="3250" t="s">
        <v>266</v>
      </c>
      <c r="R6" s="3250" t="s">
        <v>267</v>
      </c>
      <c r="S6" s="3250" t="s">
        <v>266</v>
      </c>
      <c r="T6" s="3250"/>
      <c r="U6" s="3250" t="s">
        <v>266</v>
      </c>
      <c r="W6" s="3250" t="s">
        <v>266</v>
      </c>
      <c r="X6" s="3259"/>
    </row>
    <row r="7" spans="1:24">
      <c r="A7" s="2405" t="s">
        <v>268</v>
      </c>
      <c r="B7" s="2439" t="s">
        <v>269</v>
      </c>
      <c r="C7" s="3255" t="s">
        <v>270</v>
      </c>
      <c r="F7" s="3250" t="s">
        <v>271</v>
      </c>
      <c r="H7" s="3250" t="s">
        <v>155</v>
      </c>
      <c r="I7" s="3250" t="s">
        <v>272</v>
      </c>
      <c r="X7" s="3259"/>
    </row>
    <row r="8" spans="1:24">
      <c r="A8" s="2405" t="s">
        <v>273</v>
      </c>
      <c r="B8" s="2439" t="s">
        <v>274</v>
      </c>
      <c r="C8" s="3255" t="s">
        <v>275</v>
      </c>
      <c r="F8" s="3250" t="s">
        <v>276</v>
      </c>
      <c r="H8" s="3250" t="s">
        <v>277</v>
      </c>
      <c r="I8" s="3250" t="s">
        <v>278</v>
      </c>
      <c r="X8" s="3259"/>
    </row>
    <row r="9" spans="1:8">
      <c r="A9" s="2405" t="s">
        <v>279</v>
      </c>
      <c r="B9" s="2405" t="s">
        <v>280</v>
      </c>
      <c r="C9" s="3255" t="s">
        <v>281</v>
      </c>
      <c r="F9" s="3250" t="s">
        <v>157</v>
      </c>
      <c r="H9" s="3250" t="s">
        <v>282</v>
      </c>
    </row>
    <row r="10" spans="1:6">
      <c r="A10" s="2405" t="s">
        <v>283</v>
      </c>
      <c r="B10" s="2405" t="s">
        <v>284</v>
      </c>
      <c r="C10" s="3255" t="s">
        <v>285</v>
      </c>
      <c r="F10" s="3250" t="s">
        <v>121</v>
      </c>
    </row>
    <row r="11" spans="1:3">
      <c r="A11" s="2405" t="s">
        <v>286</v>
      </c>
      <c r="B11" s="2405" t="s">
        <v>287</v>
      </c>
      <c r="C11" s="3255" t="s">
        <v>288</v>
      </c>
    </row>
    <row r="12" spans="1:3">
      <c r="A12" s="2405" t="s">
        <v>289</v>
      </c>
      <c r="B12" s="2405" t="s">
        <v>290</v>
      </c>
      <c r="C12" s="3255" t="s">
        <v>291</v>
      </c>
    </row>
    <row r="13" spans="1:3">
      <c r="A13" s="2405" t="s">
        <v>292</v>
      </c>
      <c r="B13" s="2405" t="s">
        <v>293</v>
      </c>
      <c r="C13" s="3255" t="s">
        <v>294</v>
      </c>
    </row>
    <row r="14" spans="1:3">
      <c r="A14" s="2405" t="s">
        <v>295</v>
      </c>
      <c r="B14" s="2405" t="s">
        <v>296</v>
      </c>
      <c r="C14" s="3255"/>
    </row>
    <row r="15" spans="1:3">
      <c r="A15" s="2405" t="s">
        <v>297</v>
      </c>
      <c r="B15" s="2405" t="s">
        <v>298</v>
      </c>
      <c r="C15" s="3255"/>
    </row>
    <row r="16" spans="1:3">
      <c r="A16" s="2405" t="s">
        <v>299</v>
      </c>
      <c r="B16" s="2405" t="s">
        <v>300</v>
      </c>
      <c r="C16" s="3255"/>
    </row>
    <row r="17" spans="1:3">
      <c r="A17" s="2405" t="s">
        <v>301</v>
      </c>
      <c r="B17" s="2405" t="s">
        <v>302</v>
      </c>
      <c r="C17" s="3255"/>
    </row>
    <row r="18" spans="1:3">
      <c r="A18" s="2405" t="s">
        <v>303</v>
      </c>
      <c r="B18" s="2405" t="s">
        <v>304</v>
      </c>
      <c r="C18" s="3255"/>
    </row>
    <row r="19" spans="1:3">
      <c r="A19" s="2405" t="s">
        <v>305</v>
      </c>
      <c r="B19" s="2405" t="s">
        <v>306</v>
      </c>
      <c r="C19" s="3255"/>
    </row>
    <row r="20" spans="1:3">
      <c r="A20" s="2405" t="s">
        <v>307</v>
      </c>
      <c r="B20" s="2405" t="s">
        <v>308</v>
      </c>
      <c r="C20" s="3255"/>
    </row>
    <row r="21" spans="1:3">
      <c r="A21" s="2405" t="s">
        <v>257</v>
      </c>
      <c r="B21" s="2405" t="s">
        <v>308</v>
      </c>
      <c r="C21" s="3255"/>
    </row>
    <row r="22" spans="1:3">
      <c r="A22" s="2405" t="s">
        <v>309</v>
      </c>
      <c r="B22" s="2405" t="s">
        <v>308</v>
      </c>
      <c r="C22" s="3255"/>
    </row>
    <row r="23" spans="1:3">
      <c r="A23" s="2405" t="s">
        <v>310</v>
      </c>
      <c r="B23" s="2405" t="s">
        <v>308</v>
      </c>
      <c r="C23" s="3255"/>
    </row>
    <row r="24" spans="1:3">
      <c r="A24" s="2405" t="s">
        <v>311</v>
      </c>
      <c r="B24" s="2405" t="s">
        <v>308</v>
      </c>
      <c r="C24" s="3255"/>
    </row>
    <row r="25" spans="1:3">
      <c r="A25" s="2405" t="s">
        <v>312</v>
      </c>
      <c r="B25" s="2405" t="s">
        <v>308</v>
      </c>
      <c r="C25" s="3255"/>
    </row>
    <row r="26" spans="1:3">
      <c r="A26" s="2405" t="s">
        <v>313</v>
      </c>
      <c r="B26" s="2405" t="s">
        <v>308</v>
      </c>
      <c r="C26" s="3255"/>
    </row>
    <row r="27" spans="1:3">
      <c r="A27" s="2405" t="s">
        <v>308</v>
      </c>
      <c r="B27" s="2405" t="s">
        <v>308</v>
      </c>
      <c r="C27" s="3255"/>
    </row>
    <row r="28" spans="1:3">
      <c r="A28" s="2405" t="s">
        <v>308</v>
      </c>
      <c r="B28" s="2405" t="s">
        <v>308</v>
      </c>
      <c r="C28" s="3255"/>
    </row>
    <row r="29" spans="1:3">
      <c r="A29" s="2405" t="s">
        <v>308</v>
      </c>
      <c r="B29" s="2405" t="s">
        <v>308</v>
      </c>
      <c r="C29" s="3255"/>
    </row>
    <row r="30" spans="1:3">
      <c r="A30" s="2405" t="s">
        <v>308</v>
      </c>
      <c r="B30" s="2405" t="s">
        <v>308</v>
      </c>
      <c r="C30" s="3255"/>
    </row>
    <row r="31" spans="1:3">
      <c r="A31" s="2405" t="s">
        <v>308</v>
      </c>
      <c r="B31" s="2405" t="s">
        <v>308</v>
      </c>
      <c r="C31" s="3255"/>
    </row>
    <row r="32" spans="1:3">
      <c r="A32" s="2405" t="s">
        <v>308</v>
      </c>
      <c r="B32" s="2405" t="s">
        <v>308</v>
      </c>
      <c r="C32" s="3255"/>
    </row>
    <row r="33" spans="1:3">
      <c r="A33" s="2405" t="s">
        <v>308</v>
      </c>
      <c r="B33" s="2405" t="s">
        <v>308</v>
      </c>
      <c r="C33" s="3255"/>
    </row>
    <row r="34" spans="1:3">
      <c r="A34" s="2405" t="s">
        <v>308</v>
      </c>
      <c r="B34" s="2405" t="s">
        <v>308</v>
      </c>
      <c r="C34" s="3255"/>
    </row>
    <row r="35" spans="1:3">
      <c r="A35" s="2405" t="s">
        <v>308</v>
      </c>
      <c r="B35" s="2405" t="s">
        <v>308</v>
      </c>
      <c r="C35" s="3255"/>
    </row>
    <row r="36" spans="1:3">
      <c r="A36" s="2405" t="s">
        <v>308</v>
      </c>
      <c r="B36" s="2405" t="s">
        <v>308</v>
      </c>
      <c r="C36" s="3255"/>
    </row>
    <row r="37" spans="1:3">
      <c r="A37" s="2405" t="s">
        <v>308</v>
      </c>
      <c r="B37" s="2405" t="s">
        <v>308</v>
      </c>
      <c r="C37" s="3255"/>
    </row>
    <row r="38" spans="1:3">
      <c r="A38" s="2405" t="s">
        <v>308</v>
      </c>
      <c r="B38" s="2405" t="s">
        <v>308</v>
      </c>
      <c r="C38" s="3255"/>
    </row>
    <row r="39" spans="1:3">
      <c r="A39" s="2405" t="s">
        <v>308</v>
      </c>
      <c r="B39" s="2405" t="s">
        <v>308</v>
      </c>
      <c r="C39" s="3255"/>
    </row>
    <row r="40" spans="1:3">
      <c r="A40" s="2405" t="s">
        <v>308</v>
      </c>
      <c r="B40" s="2405" t="s">
        <v>308</v>
      </c>
      <c r="C40" s="3255"/>
    </row>
    <row r="41" spans="1:3">
      <c r="A41" s="2405" t="s">
        <v>308</v>
      </c>
      <c r="B41" s="2405" t="s">
        <v>308</v>
      </c>
      <c r="C41" s="3255"/>
    </row>
    <row r="42" spans="1:3">
      <c r="A42" s="2405" t="s">
        <v>308</v>
      </c>
      <c r="B42" s="2405" t="s">
        <v>308</v>
      </c>
      <c r="C42" s="3255"/>
    </row>
    <row r="43" spans="1:3">
      <c r="A43" s="2405" t="s">
        <v>308</v>
      </c>
      <c r="B43" s="2405" t="s">
        <v>308</v>
      </c>
      <c r="C43" s="3255"/>
    </row>
    <row r="44" spans="1:3">
      <c r="A44" s="2405" t="s">
        <v>308</v>
      </c>
      <c r="B44" s="2405" t="s">
        <v>308</v>
      </c>
      <c r="C44" s="3255"/>
    </row>
    <row r="45" spans="1:3">
      <c r="A45" s="2405" t="s">
        <v>308</v>
      </c>
      <c r="B45" s="2405" t="s">
        <v>308</v>
      </c>
      <c r="C45" s="3255"/>
    </row>
    <row r="46" spans="1:3">
      <c r="A46" s="2405" t="s">
        <v>308</v>
      </c>
      <c r="B46" s="2405" t="s">
        <v>308</v>
      </c>
      <c r="C46" s="3255"/>
    </row>
    <row r="47" spans="1:3">
      <c r="A47" s="2405" t="s">
        <v>308</v>
      </c>
      <c r="B47" s="2405" t="s">
        <v>308</v>
      </c>
      <c r="C47" s="3255"/>
    </row>
    <row r="48" spans="1:3">
      <c r="A48" s="2405" t="s">
        <v>308</v>
      </c>
      <c r="B48" s="2405" t="s">
        <v>308</v>
      </c>
      <c r="C48" s="3255"/>
    </row>
    <row r="49" spans="1:3">
      <c r="A49" s="2405" t="s">
        <v>308</v>
      </c>
      <c r="B49" s="2405" t="s">
        <v>308</v>
      </c>
      <c r="C49" s="3255"/>
    </row>
    <row r="50" spans="1:3">
      <c r="A50" s="2405" t="s">
        <v>308</v>
      </c>
      <c r="B50" s="2405" t="s">
        <v>308</v>
      </c>
      <c r="C50" s="3255"/>
    </row>
    <row r="51" spans="1:4">
      <c r="A51" s="3257" t="s">
        <v>314</v>
      </c>
      <c r="B51" s="27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7" t="s">
        <v>316</v>
      </c>
      <c r="B52" s="3257" t="s">
        <v>317</v>
      </c>
      <c r="C52" s="2745" t="s">
        <v>318</v>
      </c>
      <c r="D52" s="2745" t="s">
        <v>319</v>
      </c>
    </row>
    <row r="53" customHeight="1" spans="1:3">
      <c r="A53" s="3253" t="s">
        <v>320</v>
      </c>
      <c r="B53" s="2745" t="s">
        <v>321</v>
      </c>
      <c r="C53" s="27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3"/>
      <c r="B54" s="2745" t="s">
        <v>322</v>
      </c>
      <c r="C54" s="2745" t="s">
        <v>323</v>
      </c>
    </row>
    <row r="55" spans="1:3">
      <c r="A55" s="3253"/>
      <c r="B55" s="2745" t="s">
        <v>324</v>
      </c>
      <c r="C55" s="2745" t="s">
        <v>325</v>
      </c>
    </row>
    <row r="56" spans="1:3">
      <c r="A56" s="3253"/>
      <c r="B56" s="2745" t="s">
        <v>326</v>
      </c>
      <c r="C56" s="2745" t="s">
        <v>327</v>
      </c>
    </row>
    <row r="57" spans="1:3">
      <c r="A57" s="3253"/>
      <c r="B57" s="2745" t="s">
        <v>328</v>
      </c>
      <c r="C57" s="2745" t="s">
        <v>329</v>
      </c>
    </row>
    <row r="58" spans="1:2">
      <c r="A58" s="3258"/>
      <c r="B58" s="3259"/>
    </row>
    <row r="59" spans="1:2">
      <c r="A59" s="3258"/>
      <c r="B59" s="3259"/>
    </row>
    <row r="60" spans="1:2">
      <c r="A60" s="3260"/>
      <c r="B60" s="2745"/>
    </row>
    <row r="61" spans="1:2">
      <c r="A61" s="3260"/>
      <c r="B61" s="2745"/>
    </row>
    <row r="62" spans="1:2">
      <c r="A62" s="3260"/>
      <c r="B62" s="2745"/>
    </row>
    <row r="63" spans="1:2">
      <c r="A63" s="3260"/>
      <c r="B63" s="2745"/>
    </row>
    <row r="64" spans="1:2">
      <c r="A64" s="3260"/>
      <c r="B64" s="2745"/>
    </row>
    <row r="65" spans="1:2">
      <c r="A65" s="3260"/>
      <c r="B65" s="2745"/>
    </row>
    <row r="66" spans="1:2">
      <c r="A66" s="3260"/>
      <c r="B66" s="2745"/>
    </row>
    <row r="67" spans="1:2">
      <c r="A67" s="3260"/>
      <c r="B67" s="2745"/>
    </row>
    <row r="68" spans="1:2">
      <c r="A68" s="3260"/>
      <c r="B68" s="2745"/>
    </row>
    <row r="69" spans="1:2">
      <c r="A69" s="3260"/>
      <c r="B69" s="2745"/>
    </row>
    <row r="70" spans="1:2">
      <c r="A70" s="3260"/>
      <c r="B70" s="2745"/>
    </row>
    <row r="71" spans="1:2">
      <c r="A71" s="3260"/>
      <c r="B71" s="2745"/>
    </row>
    <row r="72" spans="1:2">
      <c r="A72" s="3260"/>
      <c r="B72" s="2745"/>
    </row>
    <row r="73" spans="1:2">
      <c r="A73" s="3260"/>
      <c r="B73" s="2745"/>
    </row>
    <row r="74" spans="1:2">
      <c r="A74" s="3260"/>
      <c r="B74" s="2745"/>
    </row>
    <row r="75" spans="1:2">
      <c r="A75" s="3260"/>
      <c r="B75" s="2745"/>
    </row>
    <row r="76" spans="1:2">
      <c r="A76" s="3260"/>
      <c r="B76" s="2745"/>
    </row>
    <row r="77" spans="1:2">
      <c r="A77" s="3260"/>
      <c r="B77" s="2745"/>
    </row>
    <row r="78" spans="1:2">
      <c r="A78" s="3260"/>
      <c r="B78" s="2745"/>
    </row>
    <row r="79" spans="1:2">
      <c r="A79" s="3260"/>
      <c r="B79" s="2745"/>
    </row>
    <row r="80" spans="1:2">
      <c r="A80" s="3260"/>
      <c r="B80" s="2745"/>
    </row>
    <row r="81" spans="1:2">
      <c r="A81" s="3260"/>
      <c r="B81" s="2745"/>
    </row>
    <row r="82" spans="1:2">
      <c r="A82" s="3260"/>
      <c r="B82" s="2745"/>
    </row>
    <row r="83" spans="1:2">
      <c r="A83" s="3260"/>
      <c r="B83" s="2745"/>
    </row>
    <row r="84" spans="1:2">
      <c r="A84" s="3260"/>
      <c r="B84" s="2745"/>
    </row>
    <row r="85" spans="1:2">
      <c r="A85" s="3260"/>
      <c r="B85" s="2745"/>
    </row>
    <row r="86" spans="1:2">
      <c r="A86" s="3260"/>
      <c r="B86" s="2745"/>
    </row>
    <row r="87" spans="1:2">
      <c r="A87" s="3260"/>
      <c r="B87" s="2745"/>
    </row>
    <row r="88" spans="1:2">
      <c r="A88" s="3260"/>
      <c r="B88" s="2745"/>
    </row>
    <row r="89" spans="1:2">
      <c r="A89" s="3260"/>
      <c r="B89" s="2745"/>
    </row>
    <row r="90" spans="1:2">
      <c r="A90" s="3260"/>
      <c r="B90" s="2745"/>
    </row>
    <row r="91" spans="1:2">
      <c r="A91" s="3260"/>
      <c r="B91" s="2745"/>
    </row>
    <row r="92" spans="1:2">
      <c r="A92" s="3260"/>
      <c r="B92" s="2745"/>
    </row>
    <row r="93" spans="1:2">
      <c r="A93" s="3260"/>
      <c r="B93" s="2745"/>
    </row>
    <row r="94" spans="1:2">
      <c r="A94" s="3260"/>
      <c r="B94" s="2745"/>
    </row>
    <row r="95" spans="1:2">
      <c r="A95" s="3260"/>
      <c r="B95" s="2745"/>
    </row>
    <row r="96" spans="1:2">
      <c r="A96" s="3260"/>
      <c r="B96" s="2745"/>
    </row>
    <row r="97" spans="1:2">
      <c r="A97" s="3260"/>
      <c r="B97" s="2745"/>
    </row>
    <row r="98" spans="1:2">
      <c r="A98" s="3260"/>
      <c r="B98" s="2745"/>
    </row>
    <row r="99" spans="1:2">
      <c r="A99" s="3260"/>
      <c r="B99" s="2745"/>
    </row>
    <row r="100" spans="1:2">
      <c r="A100" s="3260"/>
      <c r="B100" s="2745"/>
    </row>
    <row r="101" spans="1:2">
      <c r="A101" s="3260"/>
      <c r="B101" s="2745"/>
    </row>
    <row r="102" spans="1:2">
      <c r="A102" s="3260"/>
      <c r="B102" s="2745"/>
    </row>
    <row r="103" spans="1:2">
      <c r="A103" s="3260"/>
      <c r="B103" s="2745"/>
    </row>
    <row r="104" spans="1:2">
      <c r="A104" s="3260"/>
      <c r="B104" s="2745"/>
    </row>
    <row r="105" spans="1:2">
      <c r="A105" s="3260"/>
      <c r="B105" s="2745"/>
    </row>
    <row r="106" spans="1:2">
      <c r="A106" s="3260"/>
      <c r="B106" s="2745"/>
    </row>
    <row r="107" spans="1:2">
      <c r="A107" s="3260"/>
      <c r="B107" s="2745"/>
    </row>
    <row r="108" spans="1:2">
      <c r="A108" s="3260"/>
      <c r="B108" s="2745"/>
    </row>
    <row r="109" spans="1:2">
      <c r="A109" s="3260"/>
      <c r="B109" s="2745"/>
    </row>
    <row r="110" spans="1:2">
      <c r="A110" s="3260"/>
      <c r="B110" s="2745"/>
    </row>
    <row r="111" spans="1:2">
      <c r="A111" s="3260"/>
      <c r="B111" s="2745"/>
    </row>
    <row r="112" spans="1:2">
      <c r="A112" s="3260"/>
      <c r="B112" s="2745"/>
    </row>
    <row r="113" spans="1:2">
      <c r="A113" s="3260"/>
      <c r="B113" s="2745"/>
    </row>
    <row r="114" spans="1:2">
      <c r="A114" s="3260"/>
      <c r="B114" s="2745"/>
    </row>
    <row r="115" spans="1:2">
      <c r="A115" s="3260"/>
      <c r="B115" s="2745"/>
    </row>
    <row r="116" spans="1:2">
      <c r="A116" s="3260"/>
      <c r="B116" s="2745"/>
    </row>
    <row r="117" spans="1:2">
      <c r="A117" s="3260"/>
      <c r="B117" s="2745"/>
    </row>
    <row r="118" spans="1:2">
      <c r="A118" s="3260"/>
      <c r="B118" s="2745"/>
    </row>
    <row r="119" spans="1:2">
      <c r="A119" s="3260"/>
      <c r="B119" s="2745"/>
    </row>
    <row r="120" spans="1:2">
      <c r="A120" s="3260"/>
      <c r="B120" s="2745"/>
    </row>
    <row r="121" spans="1:2">
      <c r="A121" s="3260"/>
      <c r="B121" s="2745"/>
    </row>
    <row r="122" spans="1:2">
      <c r="A122" s="3260"/>
      <c r="B122" s="2745"/>
    </row>
    <row r="123" spans="1:2">
      <c r="A123" s="3260"/>
      <c r="B123" s="2745"/>
    </row>
    <row r="124" spans="1:2">
      <c r="A124" s="3260"/>
      <c r="B124" s="2745"/>
    </row>
    <row r="125" spans="1:2">
      <c r="A125" s="3260"/>
      <c r="B125" s="2745"/>
    </row>
    <row r="126" spans="1:2">
      <c r="A126" s="3260"/>
      <c r="B126" s="2745"/>
    </row>
    <row r="127" spans="1:2">
      <c r="A127" s="3260"/>
      <c r="B127" s="2745"/>
    </row>
    <row r="128" spans="1:2">
      <c r="A128" s="3260"/>
      <c r="B128" s="274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2021-10-22T05:39:49Z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