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25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3" r:id="rId18"/>
    <sheet name="收益法" sheetId="15" r:id="rId19"/>
    <sheet name="成本法" sheetId="11" state="hidden" r:id="rId20"/>
    <sheet name="假设开发法" sheetId="12"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<sst xmlns="http://schemas.openxmlformats.org/spreadsheetml/2006/main" count="6864" uniqueCount="2413">
  <si>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</si>
  <si>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</si>
  <si>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</si>
  <si>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</si>
  <si>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</si>
  <si>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</si>
  <si>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</si>
  <si>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</si>
  <si>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</si>
  <si>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</si>
  <si>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</si>
  <si>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</si>
  <si>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</si>
  <si>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</si>
  <si>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</si>
  <si>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</si>
  <si>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</si>
  <si>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</si>
  <si>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</si>
  <si>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</si>
  <si>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</si>
  <si>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</si>
  <si>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</si>
  <si>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</si>
  <si>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</si>
  <si>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</si>
  <si>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</si>
  <si>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</si>
  <si>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</si>
  <si>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</si>
  <si>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</si>
  <si>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</si>
  <si>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</si>
  <si>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</si>
  <si>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</si>
  <si>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</si>
  <si>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</si>
  <si>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</si>
  <si>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</si>
  <si>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</si>
  <si>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</si>
  <si>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</si>
  <si>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</si>
  <si>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</si>
  <si>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</si>
  <si>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</si>
  <si>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</si>
  <si>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</si>
  <si>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</si>
  <si>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</si>
  <si>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</si>
  <si>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</si>
  <si>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</si>
  <si>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</si>
  <si>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</si>
  <si>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</si>
  <si>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</si>
  <si>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</si>
  <si>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</si>
  <si>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</si>
  <si>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</si>
  <si>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</si>
  <si>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</si>
  <si>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</si>
  <si>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</si>
  <si>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</si>
  <si>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</si>
  <si>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</si>
  <si>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</si>
  <si>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</si>
  <si>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</si>
  <si>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</si>
  <si>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</si>
  <si>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</si>
  <si>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</si>
  <si>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</si>
  <si>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</si>
  <si>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</si>
  <si>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</si>
  <si>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</si>
  <si>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</si>
  <si>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</si>
  <si>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</si>
  <si>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</si>
  <si>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</si>
  <si>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</si>
  <si>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</si>
  <si>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</si>
  <si>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</si>
  <si>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</si>
  <si>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</si>
  <si>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</si>
  <si>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</si>
  <si>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</si>
  <si>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</si>
  <si>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</si>
  <si>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</si>
  <si>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</si>
  <si>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</si>
  <si>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</si>
  <si>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</si>
  <si>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</si>
  <si>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</si>
  <si>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</si>
  <si>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</si>
  <si>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</si>
  <si>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</si>
  <si>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</si>
  <si>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</si>
  <si>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</si>
  <si>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</si>
  <si>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</si>
  <si>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</si>
  <si>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</si>
  <si>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</si>
  <si>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</si>
  <si>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</si>
  <si>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</si>
  <si>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</si>
  <si>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</si>
  <si>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</si>
  <si>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</si>
  <si>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</si>
  <si>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</si>
  <si>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</si>
  <si>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</si>
  <si>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</si>
  <si>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</si>
  <si>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</si>
  <si>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</si>
  <si>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</si>
  <si>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</si>
  <si>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</si>
  <si>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</si>
  <si>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</si>
  <si>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</si>
  <si>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</si>
  <si>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</si>
  <si>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</si>
  <si>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</si>
  <si>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</si>
  <si>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</si>
  <si>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</si>
  <si>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</si>
  <si>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</si>
  <si>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</si>
  <si>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</si>
  <si>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</si>
  <si>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</si>
  <si>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</si>
  <si>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</si>
  <si>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</si>
  <si>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</si>
  <si>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</si>
  <si>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</si>
  <si>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</si>
  <si>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</si>
  <si>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</si>
  <si>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</si>
  <si>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</si>
  <si>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</si>
  <si>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</si>
  <si>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</si>
  <si>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</si>
  <si>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</si>
  <si>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</si>
  <si>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</si>
  <si>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</si>
  <si>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</si>
  <si>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</si>
  <si>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</si>
  <si>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</si>
  <si>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</si>
  <si>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</si>
  <si>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</si>
  <si>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</si>
  <si>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</si>
  <si>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</si>
  <si>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</si>
  <si>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</si>
  <si>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</si>
  <si>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</si>
  <si>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</si>
  <si>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</si>
  <si>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</si>
  <si>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</si>
  <si>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</si>
  <si>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</si>
  <si>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</si>
  <si>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</si>
  <si>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</si>
  <si>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</si>
  <si>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</si>
  <si>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</si>
  <si>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</si>
  <si>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</si>
  <si>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</si>
  <si>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</si>
  <si>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</si>
  <si>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</si>
  <si>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</si>
  <si>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</si>
  <si>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</si>
  <si>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</si>
  <si>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</si>
  <si>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</si>
  <si>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</si>
  <si>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</si>
  <si>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</si>
  <si>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</si>
  <si>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</si>
  <si>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</si>
  <si>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</si>
  <si>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</si>
  <si>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</si>
  <si>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</si>
  <si>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</si>
  <si>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</si>
  <si>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</si>
  <si>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</si>
  <si>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</si>
  <si>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</si>
  <si>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</si>
  <si>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</si>
  <si>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</si>
  <si>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</si>
  <si>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</si>
  <si>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</si>
  <si>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</si>
  <si>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</si>
  <si>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</si>
  <si>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</si>
  <si>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</si>
  <si>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</si>
  <si>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</si>
  <si>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</si>
  <si>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</si>
  <si>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</si>
  <si>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</si>
  <si>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</si>
  <si>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</si>
  <si>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</si>
  <si>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</si>
  <si>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</si>
  <si>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</si>
  <si>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</si>
  <si>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</si>
  <si>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</si>
  <si>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</si>
  <si>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</si>
  <si>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</si>
  <si>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</si>
  <si>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</si>
  <si>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</si>
  <si>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</si>
  <si>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</si>
  <si>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</si>
  <si>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</si>
  <si>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</si>
  <si>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</si>
  <si>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</si>
  <si>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</si>
  <si>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</si>
  <si>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</si>
  <si>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</si>
  <si>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</si>
  <si>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</si>
  <si>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</si>
  <si>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</si>
  <si>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</si>
  <si>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</si>
  <si>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</si>
  <si>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</si>
  <si>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</si>
  <si>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</si>
  <si>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</si>
  <si>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</si>
  <si>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</si>
  <si>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</si>
  <si>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</si>
  <si>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</si>
  <si>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</si>
  <si>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</si>
  <si>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</si>
  <si>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</si>
  <si>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</si>
  <si>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</si>
  <si>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</si>
  <si>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</si>
  <si>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</si>
  <si>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</si>
  <si>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</si>
  <si>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</si>
  <si>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</si>
  <si>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</si>
  <si>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</si>
  <si>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</si>
  <si>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</si>
  <si>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</si>
  <si>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</si>
  <si>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</si>
  <si>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</si>
  <si>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</si>
  <si>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</si>
  <si>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</si>
  <si>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</si>
  <si>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</si>
  <si>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</si>
  <si>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</si>
  <si>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</si>
  <si>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</si>
  <si>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</si>
  <si>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</si>
  <si>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</si>
  <si>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</si>
  <si>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</si>
  <si>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</si>
  <si>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</si>
  <si>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</si>
  <si>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</si>
  <si>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</si>
  <si>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</si>
  <si>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</si>
  <si>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</si>
  <si>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</si>
  <si>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</si>
  <si>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</si>
  <si>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</si>
  <si>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</si>
  <si>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</si>
  <si>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</si>
  <si>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</si>
  <si>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</si>
  <si>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</si>
  <si>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</si>
  <si>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</si>
  <si>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</si>
  <si>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</si>
  <si>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</si>
  <si>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</si>
  <si>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</si>
  <si>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</si>
  <si>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</si>
  <si>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</si>
  <si>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</si>
  <si>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</si>
  <si>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</si>
  <si>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</si>
  <si>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</si>
  <si>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</si>
  <si>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</si>
  <si>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</si>
  <si>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</si>
  <si>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</si>
  <si>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</si>
  <si>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</si>
  <si>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</si>
  <si>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</si>
  <si>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房屋所有权证</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</si>
  <si>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</si>
  <si>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</si>
  <si>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</si>
  <si>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</si>
  <si>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</si>
  <si>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</si>
  <si>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</si>
  <si>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</si>
  <si>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</si>
  <si>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</si>
  <si>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</si>
  <si>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</si>
  <si>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</si>
  <si>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</si>
  <si>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</si>
  <si>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</si>
  <si>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</si>
  <si>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</si>
  <si>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</si>
  <si>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</si>
  <si>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</si>
  <si>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</si>
  <si>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</si>
  <si>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</si>
  <si>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</si>
  <si>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</si>
  <si>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</si>
  <si>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</si>
  <si>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</si>
  <si>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</si>
  <si>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</si>
  <si>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</si>
  <si>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</si>
  <si>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</si>
  <si>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</si>
  <si>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</si>
  <si>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</si>
  <si>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</si>
  <si>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</si>
  <si>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</si>
  <si>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</si>
  <si>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</si>
  <si>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</si>
  <si>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</si>
  <si>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</si>
  <si>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</si>
  <si>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</si>
  <si>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</si>
  <si>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</si>
  <si>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</si>
  <si>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</si>
  <si>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</si>
  <si>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</si>
  <si>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</si>
  <si>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</si>
  <si>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</si>
  <si>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</si>
  <si>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</si>
  <si>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</si>
  <si>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</si>
  <si>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</si>
  <si>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</si>
  <si>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</si>
  <si>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</si>
  <si>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</si>
  <si>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</si>
  <si>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</si>
  <si>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</si>
  <si>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</si>
  <si>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</si>
  <si>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</si>
  <si>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</si>
  <si>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</si>
  <si>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</si>
  <si>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</si>
  <si>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</si>
  <si>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</si>
  <si>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</si>
  <si>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</si>
  <si>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</si>
  <si>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</si>
  <si>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</si>
  <si>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</si>
  <si>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</si>
  <si>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</si>
  <si>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</si>
  <si>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</si>
  <si>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</si>
  <si>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</si>
  <si>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</si>
  <si>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</si>
  <si>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</si>
  <si>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</si>
  <si>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</si>
  <si>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</si>
  <si>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</si>
  <si>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</si>
  <si>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</si>
  <si>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</si>
  <si>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</si>
  <si>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</si>
  <si>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</si>
  <si>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</si>
  <si>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</si>
  <si>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</si>
  <si>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</si>
  <si>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</si>
  <si>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</si>
  <si>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</si>
  <si>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</si>
  <si>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</si>
  <si>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</si>
  <si>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</si>
  <si>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</si>
  <si>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</si>
  <si>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</si>
  <si>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</si>
  <si>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</si>
  <si>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</si>
  <si>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</si>
  <si>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</si>
  <si>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</si>
  <si>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</si>
  <si>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</si>
  <si>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</si>
  <si>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</si>
  <si>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</si>
  <si>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</si>
  <si>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</si>
  <si>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</si>
  <si>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</si>
  <si>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</si>
  <si>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</si>
  <si>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</si>
  <si>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</si>
  <si>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</si>
  <si>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</si>
  <si>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</si>
  <si>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</si>
  <si>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</si>
  <si>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</si>
  <si>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</si>
  <si>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</si>
  <si>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</si>
  <si>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</si>
  <si>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</si>
  <si>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</si>
  <si>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</si>
  <si>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</si>
  <si>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</si>
  <si>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</si>
  <si>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</si>
  <si>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</si>
  <si>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</si>
  <si>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</si>
  <si>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</si>
  <si>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</si>
  <si>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</si>
  <si>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</si>
  <si>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</si>
  <si>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</si>
  <si>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</si>
  <si>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</si>
  <si>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</si>
  <si>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</si>
  <si>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</si>
  <si>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</si>
  <si>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</si>
  <si>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</si>
  <si>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</si>
  <si>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</si>
  <si>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</si>
  <si>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</si>
  <si>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</si>
  <si>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</si>
  <si>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</si>
  <si>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</si>
  <si>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</si>
  <si>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</si>
  <si>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</si>
  <si>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</si>
  <si>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</si>
  <si>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</si>
  <si>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</si>
  <si>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</si>
  <si>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</si>
  <si>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</si>
  <si>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</si>
  <si>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</si>
  <si>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</si>
  <si>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</si>
  <si>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</si>
  <si>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</si>
  <si>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</si>
  <si>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</si>
  <si>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</si>
  <si>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</si>
  <si>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</si>
  <si>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</si>
  <si>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</si>
  <si>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</si>
  <si>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</si>
  <si>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</si>
  <si>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</si>
  <si>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</si>
  <si>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</si>
  <si>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</si>
  <si>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</si>
  <si>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</si>
  <si>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</si>
  <si>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</si>
  <si>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</si>
  <si>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</si>
  <si>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</si>
  <si>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</si>
  <si>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</si>
  <si>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</si>
  <si>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</si>
  <si>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</si>
  <si>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</si>
  <si>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</si>
  <si>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</si>
  <si>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</si>
  <si>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</si>
  <si>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</si>
  <si>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</si>
  <si>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</si>
  <si>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</si>
  <si>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</si>
  <si>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</si>
  <si>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</si>
  <si>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</si>
  <si>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</si>
  <si>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</si>
  <si>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</si>
  <si>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</si>
  <si>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</si>
  <si>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</si>
  <si>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</si>
  <si>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</si>
  <si>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</si>
  <si>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</si>
  <si>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</si>
  <si>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</si>
  <si>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</si>
  <si>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</si>
  <si>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</si>
  <si>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</si>
  <si>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</si>
  <si>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</si>
  <si>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</si>
  <si>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</si>
  <si>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</si>
  <si>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</si>
  <si>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</si>
  <si>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</si>
  <si>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</si>
  <si>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</si>
  <si>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</si>
  <si>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</si>
  <si>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</si>
  <si>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</si>
  <si>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</si>
  <si>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</si>
  <si>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</si>
  <si>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</si>
  <si>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</si>
  <si>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</si>
  <si>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</si>
  <si>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</si>
  <si>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</si>
  <si>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</si>
  <si>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</si>
  <si>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</si>
  <si>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</si>
  <si>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</si>
  <si>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</si>
  <si>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</si>
  <si>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</si>
  <si>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</si>
  <si>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</si>
  <si>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</si>
  <si>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</si>
  <si>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</si>
  <si>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</si>
  <si>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</si>
  <si>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</si>
  <si>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</si>
  <si>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</si>
  <si>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</si>
  <si>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</si>
  <si>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</si>
  <si>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</si>
  <si>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</si>
  <si>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</si>
  <si>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</si>
  <si>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</si>
  <si>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</si>
  <si>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</si>
  <si>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</si>
  <si>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</si>
  <si>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</si>
  <si>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</si>
  <si>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</si>
  <si>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</si>
  <si>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</si>
  <si>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</si>
  <si>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</si>
  <si>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</si>
  <si>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</si>
  <si>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</si>
  <si>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</si>
  <si>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</si>
  <si>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</si>
  <si>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</si>
  <si>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</si>
  <si>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</si>
  <si>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</si>
  <si>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</si>
  <si>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</si>
  <si>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</si>
  <si>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</si>
  <si>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</si>
  <si>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</si>
  <si>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</si>
  <si>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</si>
  <si>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</si>
  <si>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</si>
  <si>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</si>
  <si>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</si>
  <si>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</si>
  <si>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</si>
  <si>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</si>
  <si>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</si>
  <si>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</si>
  <si>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</si>
  <si>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</si>
  <si>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</si>
  <si>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</si>
  <si>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</si>
  <si>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</si>
  <si>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</si>
  <si>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</si>
  <si>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</si>
  <si>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</si>
  <si>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</si>
  <si>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</si>
  <si>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</si>
  <si>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</si>
  <si>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</si>
  <si>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</si>
  <si>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</si>
  <si>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</si>
  <si>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</si>
  <si>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</si>
  <si>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</si>
  <si>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</si>
  <si>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</si>
  <si>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</si>
  <si>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</si>
  <si>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</si>
  <si>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</si>
  <si>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</si>
  <si>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</si>
  <si>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</si>
  <si>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</si>
  <si>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</si>
  <si>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</si>
  <si>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</si>
  <si>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</si>
  <si>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</si>
  <si>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</si>
  <si>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</si>
  <si>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</si>
  <si>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</si>
  <si>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</si>
  <si>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</si>
  <si>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</si>
  <si>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</si>
  <si>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</si>
  <si>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</si>
  <si>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</si>
  <si>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</si>
  <si>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</si>
  <si>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</si>
  <si>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</si>
  <si>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</si>
  <si>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</si>
  <si>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</si>
  <si>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</si>
  <si>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</si>
  <si>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</si>
  <si>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</si>
  <si>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</si>
  <si>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</si>
  <si>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</si>
  <si>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</si>
  <si>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</si>
  <si>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</si>
  <si>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</si>
  <si>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</si>
  <si>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</si>
  <si>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</si>
  <si>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</si>
  <si>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</si>
  <si>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</si>
  <si>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</si>
  <si>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</si>
  <si>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</si>
  <si>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</si>
  <si>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</si>
  <si>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</si>
  <si>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</si>
  <si>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</si>
  <si>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</si>
  <si>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</si>
  <si>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</si>
  <si>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</si>
  <si>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</si>
  <si>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</si>
  <si>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</si>
  <si>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</si>
  <si>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</si>
  <si>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</si>
  <si>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</si>
  <si>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</si>
  <si>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</si>
  <si>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</si>
  <si>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</si>
  <si>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</si>
  <si>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</si>
  <si>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</si>
  <si>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</si>
  <si>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</si>
  <si>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</si>
  <si>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</si>
  <si>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</si>
  <si>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</si>
  <si>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</si>
  <si>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</si>
  <si>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</si>
  <si>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</si>
  <si>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</si>
  <si>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</si>
  <si>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</si>
  <si>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</si>
  <si>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</si>
  <si>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</si>
  <si>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</si>
  <si>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</si>
  <si>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</si>
  <si>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</si>
  <si>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</si>
  <si>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</si>
  <si>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</si>
  <si>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</si>
  <si>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</si>
  <si>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</si>
  <si>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</si>
  <si>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</si>
  <si>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</si>
  <si>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</si>
  <si>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</si>
  <si>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</si>
  <si>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</si>
  <si>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</si>
  <si>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</si>
  <si>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</si>
  <si>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</si>
  <si>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</si>
  <si>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</si>
  <si>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</si>
  <si>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</si>
  <si>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</si>
  <si>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</si>
  <si>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</si>
  <si>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</si>
  <si>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</si>
  <si>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</si>
  <si>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</si>
  <si>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</si>
  <si>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</si>
  <si>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</si>
  <si>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</si>
  <si>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</si>
  <si>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</si>
  <si>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</si>
  <si>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</si>
  <si>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</si>
  <si>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</si>
  <si>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</si>
  <si>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</si>
  <si>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</si>
  <si>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</si>
  <si>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</si>
  <si>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</si>
  <si>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</si>
  <si>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</si>
  <si>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</si>
  <si>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</si>
  <si>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</si>
  <si>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</si>
  <si>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</si>
  <si>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</si>
  <si>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</si>
  <si>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</si>
  <si>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</si>
  <si>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</si>
  <si>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</si>
  <si>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</si>
  <si>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</si>
  <si>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</si>
  <si>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</si>
  <si>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</si>
  <si>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</si>
  <si>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</si>
  <si>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</si>
  <si>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</si>
  <si>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</si>
  <si>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</si>
  <si>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</si>
  <si>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东方银座</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</si>
  <si>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</si>
  <si>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</si>
  <si>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</si>
  <si>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</si>
  <si>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</si>
  <si>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</si>
  <si>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</si>
  <si>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</si>
  <si>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</si>
  <si>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</si>
  <si>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</si>
  <si>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</si>
  <si>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</si>
  <si>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</si>
  <si>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</si>
  <si>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</si>
  <si>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t>居住社区成熟度</t>
  </si>
  <si>
    <r>
      <rPr>
        <sz val="11"/>
        <rFont val="宋体"/>
        <charset val="134"/>
      </rPr>
      <t>区位状况</t>
    </r>
  </si>
  <si>
    <t>较好</t>
  </si>
  <si>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</si>
  <si>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</si>
  <si>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</si>
  <si>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</si>
  <si>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</si>
  <si>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东南</t>
  </si>
  <si>
    <t>东</t>
  </si>
  <si>
    <t>南</t>
  </si>
  <si>
    <t>北</t>
  </si>
  <si>
    <t>楼层</t>
  </si>
  <si>
    <t>9/27</t>
  </si>
  <si>
    <t>10/27</t>
  </si>
  <si>
    <t>8/27</t>
  </si>
  <si>
    <t>6/27</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</si>
  <si>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</si>
  <si>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</si>
  <si>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</si>
  <si>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</si>
  <si>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</si>
  <si>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</si>
  <si>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</si>
  <si>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</si>
  <si>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</si>
  <si>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</si>
  <si>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</si>
  <si>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</si>
  <si>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</si>
  <si>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</si>
  <si>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</si>
  <si>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</si>
  <si>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</si>
  <si>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</si>
  <si>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</si>
  <si>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</si>
  <si>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</si>
  <si>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</si>
  <si>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</si>
  <si>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</si>
  <si>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</si>
  <si>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</si>
  <si>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</si>
  <si>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</si>
  <si>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</si>
  <si>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</si>
  <si>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</si>
  <si>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</si>
  <si>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</si>
  <si>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</si>
  <si>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</si>
  <si>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</si>
  <si>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</si>
  <si>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</si>
  <si>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</si>
  <si>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</si>
  <si>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西南</t>
  </si>
  <si>
    <t>东西</t>
  </si>
  <si>
    <t>西</t>
  </si>
  <si>
    <t>东北</t>
  </si>
  <si>
    <t>西北</t>
  </si>
  <si>
    <t>100</t>
  </si>
  <si>
    <t>100.2</t>
  </si>
  <si>
    <t>99.8</t>
  </si>
  <si>
    <t>99.4</t>
  </si>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</sst>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4" formatCode="_ &quot;￥&quot;* #,##0.00_ ;_ &quot;￥&quot;* \-#,##0.00_ ;_ &quot;￥&quot;* &quot;-&quot;??_ ;_ @_ "/>
    <numFmt numFmtId="42" formatCode="_ &quot;￥&quot;* #,##0_ ;_ &quot;￥&quot;* \-#,##0_ ;_ &quot;￥&quot;* &quot;-&quot;_ ;_ @_ "/>
    <numFmt numFmtId="176" formatCode="0.0_ "/>
    <numFmt numFmtId="41" formatCode="_ * #,##0_ ;_ * \-#,##0_ ;_ * &quot;-&quot;_ ;_ @_ "/>
    <numFmt numFmtId="43" formatCode="_ * #,##0.00_ ;_ * \-#,##0.00_ ;_ * &quot;-&quot;??_ ;_ @_ "/>
    <numFmt numFmtId="177" formatCode="0.000%"/>
    <numFmt numFmtId="178" formatCode="yyyy/m/d;@"/>
    <numFmt numFmtId="179" formatCode="0_ ;[Red]\-0\ "/>
    <numFmt numFmtId="180" formatCode="0_ "/>
    <numFmt numFmtId="181" formatCode="0;_쐀"/>
    <numFmt numFmtId="182" formatCode="0.00_ "/>
    <numFmt numFmtId="183" formatCode="yyyy&quot;年&quot;m&quot;月&quot;d&quot;日&quot;;@"/>
    <numFmt numFmtId="184" formatCode="0.0000%"/>
    <numFmt numFmtId="185" formatCode="0_);[Red]\(0\)"/>
    <numFmt numFmtId="186" formatCode="[DBNum2][$-804]General"/>
    <numFmt numFmtId="187" formatCode="0.0%"/>
    <numFmt numFmtId="188" formatCode="0.000_ "/>
    <numFmt numFmtId="189" formatCode="0.0000_ "/>
    <numFmt numFmtId="190" formatCode="0.0_);[Red]\(0.0\)"/>
    <numFmt numFmtId="191" formatCode="[DBNum1][$-804]yyyy&quot;年&quot;m&quot;月&quot;d&quot;日&quot;;@"/>
    <numFmt numFmtId="192" formatCode="[$-F800]dddd\,\ mmmm\ dd\,\ yyyy"/>
    <numFmt numFmtId="193" formatCode="0.00_);[Red]\(0.00\)"/>
    <numFmt numFmtId="194" formatCode="0.000_);[Red]\(0.000\)"/>
    <numFmt numFmtId="195" formatCode="yyyy&quot;年&quot;m&quot;月&quot;;@"/>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sz val="11"/>
      <color rgb="FFFA7D00"/>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1"/>
      <name val="宋体"/>
      <charset val="134"/>
    </font>
    <font>
      <sz val="16"/>
      <name val="宋体"/>
      <charset val="134"/>
    </font>
    <font>
      <sz val="14"/>
      <name val="楷体_GB2312"/>
      <charset val="134"/>
    </font>
    <font>
      <sz val="9"/>
      <name val="宋体"/>
      <charset val="134"/>
    </font>
    <font>
      <b/>
      <sz val="8"/>
      <name val="宋体"/>
      <charset val="134"/>
    </font>
    <font>
      <sz val="11"/>
      <name val="楷体_GB2312"/>
      <charset val="134"/>
    </font>
    <font>
      <sz val="10"/>
      <name val="宋体"/>
      <charset val="134"/>
    </font>
    <font>
      <b/>
      <sz val="10"/>
      <name val="宋体"/>
      <charset val="134"/>
    </font>
    <font>
      <sz val="11"/>
      <name val="宋体"/>
      <charset val="0"/>
      <scheme val="minor"/>
    </font>
    <font>
      <b/>
      <sz val="9"/>
      <name val="宋体"/>
      <charset val="134"/>
    </font>
    <font>
      <sz val="12"/>
      <name val="宋体"/>
      <charset val="134"/>
    </font>
    <font>
      <sz val="8"/>
      <name val="宋体"/>
      <charset val="134"/>
    </font>
    <font>
      <b/>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5" borderId="0" applyNumberFormat="0" applyBorder="0" applyAlignment="0" applyProtection="0">
      <alignment vertical="center"/>
    </xf>
    <xf numFmtId="0" fontId="151" fillId="26" borderId="17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9" borderId="0" applyNumberFormat="0" applyBorder="0" applyAlignment="0" applyProtection="0">
      <alignment vertical="center"/>
    </xf>
    <xf numFmtId="0" fontId="150" fillId="23" borderId="0" applyNumberFormat="0" applyBorder="0" applyAlignment="0" applyProtection="0">
      <alignment vertical="center"/>
    </xf>
    <xf numFmtId="43" fontId="0" fillId="0" borderId="0" applyFont="0" applyFill="0" applyBorder="0" applyAlignment="0" applyProtection="0">
      <alignment vertical="center"/>
    </xf>
    <xf numFmtId="0" fontId="147" fillId="28" borderId="0" applyNumberFormat="0" applyBorder="0" applyAlignment="0" applyProtection="0">
      <alignment vertical="center"/>
    </xf>
    <xf numFmtId="0" fontId="15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0" borderId="0"/>
    <xf numFmtId="0" fontId="0" fillId="33" borderId="180" applyNumberFormat="0" applyFont="0" applyAlignment="0" applyProtection="0">
      <alignment vertical="center"/>
    </xf>
    <xf numFmtId="0" fontId="147" fillId="22" borderId="0" applyNumberFormat="0" applyBorder="0" applyAlignment="0" applyProtection="0">
      <alignment vertical="center"/>
    </xf>
    <xf numFmtId="0" fontId="155"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61" fillId="0" borderId="182" applyNumberFormat="0" applyFill="0" applyAlignment="0" applyProtection="0">
      <alignment vertical="center"/>
    </xf>
    <xf numFmtId="0" fontId="0" fillId="0" borderId="0"/>
    <xf numFmtId="0" fontId="157" fillId="0" borderId="182" applyNumberFormat="0" applyFill="0" applyAlignment="0" applyProtection="0">
      <alignment vertical="center"/>
    </xf>
    <xf numFmtId="0" fontId="147" fillId="35" borderId="0" applyNumberFormat="0" applyBorder="0" applyAlignment="0" applyProtection="0">
      <alignment vertical="center"/>
    </xf>
    <xf numFmtId="0" fontId="155" fillId="0" borderId="179" applyNumberFormat="0" applyFill="0" applyAlignment="0" applyProtection="0">
      <alignment vertical="center"/>
    </xf>
    <xf numFmtId="0" fontId="147" fillId="24" borderId="0" applyNumberFormat="0" applyBorder="0" applyAlignment="0" applyProtection="0">
      <alignment vertical="center"/>
    </xf>
    <xf numFmtId="0" fontId="154" fillId="32" borderId="178" applyNumberFormat="0" applyAlignment="0" applyProtection="0">
      <alignment vertical="center"/>
    </xf>
    <xf numFmtId="0" fontId="163" fillId="32" borderId="177" applyNumberFormat="0" applyAlignment="0" applyProtection="0">
      <alignment vertical="center"/>
    </xf>
    <xf numFmtId="0" fontId="164" fillId="38" borderId="183" applyNumberFormat="0" applyAlignment="0" applyProtection="0">
      <alignment vertical="center"/>
    </xf>
    <xf numFmtId="0" fontId="148" fillId="34" borderId="0" applyNumberFormat="0" applyBorder="0" applyAlignment="0" applyProtection="0">
      <alignment vertical="center"/>
    </xf>
    <xf numFmtId="0" fontId="147" fillId="42" borderId="0" applyNumberFormat="0" applyBorder="0" applyAlignment="0" applyProtection="0">
      <alignment vertical="center"/>
    </xf>
    <xf numFmtId="0" fontId="149" fillId="0" borderId="176" applyNumberFormat="0" applyFill="0" applyAlignment="0" applyProtection="0">
      <alignment vertical="center"/>
    </xf>
    <xf numFmtId="0" fontId="156" fillId="0" borderId="181" applyNumberFormat="0" applyFill="0" applyAlignment="0" applyProtection="0">
      <alignment vertical="center"/>
    </xf>
    <xf numFmtId="0" fontId="165" fillId="43" borderId="0" applyNumberFormat="0" applyBorder="0" applyAlignment="0" applyProtection="0">
      <alignment vertical="center"/>
    </xf>
    <xf numFmtId="0" fontId="0" fillId="0" borderId="0">
      <alignment vertical="center"/>
    </xf>
    <xf numFmtId="0" fontId="162" fillId="36" borderId="0" applyNumberFormat="0" applyBorder="0" applyAlignment="0" applyProtection="0">
      <alignment vertical="center"/>
    </xf>
    <xf numFmtId="0" fontId="117" fillId="0" borderId="0">
      <alignment vertical="center"/>
    </xf>
    <xf numFmtId="0" fontId="148" fillId="45" borderId="0" applyNumberFormat="0" applyBorder="0" applyAlignment="0" applyProtection="0">
      <alignment vertical="center"/>
    </xf>
    <xf numFmtId="0" fontId="147" fillId="37" borderId="0" applyNumberFormat="0" applyBorder="0" applyAlignment="0" applyProtection="0">
      <alignment vertical="center"/>
    </xf>
    <xf numFmtId="0" fontId="148" fillId="31" borderId="0" applyNumberFormat="0" applyBorder="0" applyAlignment="0" applyProtection="0">
      <alignment vertical="center"/>
    </xf>
    <xf numFmtId="0" fontId="148" fillId="30" borderId="0" applyNumberFormat="0" applyBorder="0" applyAlignment="0" applyProtection="0">
      <alignment vertical="center"/>
    </xf>
    <xf numFmtId="0" fontId="148" fillId="27" borderId="0" applyNumberFormat="0" applyBorder="0" applyAlignment="0" applyProtection="0">
      <alignment vertical="center"/>
    </xf>
    <xf numFmtId="0" fontId="148" fillId="47" borderId="0" applyNumberFormat="0" applyBorder="0" applyAlignment="0" applyProtection="0">
      <alignment vertical="center"/>
    </xf>
    <xf numFmtId="0" fontId="147" fillId="49" borderId="0" applyNumberFormat="0" applyBorder="0" applyAlignment="0" applyProtection="0">
      <alignment vertical="center"/>
    </xf>
    <xf numFmtId="0" fontId="0" fillId="0" borderId="0">
      <alignment vertical="center"/>
    </xf>
    <xf numFmtId="0" fontId="147" fillId="46" borderId="0" applyNumberFormat="0" applyBorder="0" applyAlignment="0" applyProtection="0">
      <alignment vertical="center"/>
    </xf>
    <xf numFmtId="0" fontId="148" fillId="41" borderId="0" applyNumberFormat="0" applyBorder="0" applyAlignment="0" applyProtection="0">
      <alignment vertical="center"/>
    </xf>
    <xf numFmtId="0" fontId="148" fillId="48" borderId="0" applyNumberFormat="0" applyBorder="0" applyAlignment="0" applyProtection="0">
      <alignment vertical="center"/>
    </xf>
    <xf numFmtId="0" fontId="147" fillId="21" borderId="0" applyNumberFormat="0" applyBorder="0" applyAlignment="0" applyProtection="0">
      <alignment vertical="center"/>
    </xf>
    <xf numFmtId="0" fontId="0" fillId="0" borderId="0">
      <alignment vertical="center"/>
    </xf>
    <xf numFmtId="0" fontId="148" fillId="14" borderId="0" applyNumberFormat="0" applyBorder="0" applyAlignment="0" applyProtection="0">
      <alignment vertical="center"/>
    </xf>
    <xf numFmtId="0" fontId="147" fillId="40" borderId="0" applyNumberFormat="0" applyBorder="0" applyAlignment="0" applyProtection="0">
      <alignment vertical="center"/>
    </xf>
    <xf numFmtId="0" fontId="147" fillId="29" borderId="0" applyNumberFormat="0" applyBorder="0" applyAlignment="0" applyProtection="0">
      <alignment vertical="center"/>
    </xf>
    <xf numFmtId="0" fontId="148" fillId="39" borderId="0" applyNumberFormat="0" applyBorder="0" applyAlignment="0" applyProtection="0">
      <alignment vertical="center"/>
    </xf>
    <xf numFmtId="0" fontId="147" fillId="44"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44">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2"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5" fontId="17" fillId="5" borderId="0" xfId="21" applyNumberFormat="1" applyFont="1" applyFill="1" applyBorder="1" applyAlignment="1">
      <alignment horizontal="left" vertical="center"/>
    </xf>
    <xf numFmtId="185"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5"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5" fontId="16" fillId="6" borderId="23" xfId="21" applyNumberFormat="1" applyFont="1" applyFill="1" applyBorder="1" applyAlignment="1">
      <alignment horizontal="left" vertical="center" wrapText="1"/>
    </xf>
    <xf numFmtId="185" fontId="16" fillId="6" borderId="24" xfId="21" applyNumberFormat="1" applyFont="1" applyFill="1" applyBorder="1" applyAlignment="1">
      <alignment horizontal="left" vertical="center" wrapText="1"/>
    </xf>
    <xf numFmtId="185"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5" fontId="16" fillId="6" borderId="22" xfId="21" applyNumberFormat="1" applyFont="1" applyFill="1" applyBorder="1" applyAlignment="1">
      <alignment horizontal="left" vertical="center" wrapText="1"/>
    </xf>
    <xf numFmtId="185"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5"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5" fontId="16" fillId="6" borderId="29" xfId="21" applyNumberFormat="1" applyFont="1" applyFill="1" applyBorder="1" applyAlignment="1">
      <alignment horizontal="left" vertical="center" wrapText="1"/>
    </xf>
    <xf numFmtId="185" fontId="16" fillId="6" borderId="31" xfId="21" applyNumberFormat="1" applyFont="1" applyFill="1" applyBorder="1" applyAlignment="1">
      <alignment horizontal="left" vertical="center" wrapText="1"/>
    </xf>
    <xf numFmtId="185" fontId="18" fillId="5" borderId="0" xfId="21" applyNumberFormat="1" applyFont="1" applyFill="1" applyAlignment="1">
      <alignment horizontal="left" vertical="center"/>
    </xf>
    <xf numFmtId="185"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0" fontId="18" fillId="0" borderId="0" xfId="21" applyNumberFormat="1" applyFont="1" applyAlignment="1">
      <alignment horizontal="left" vertical="center"/>
    </xf>
    <xf numFmtId="187" fontId="18" fillId="0" borderId="19" xfId="21" applyNumberFormat="1" applyFont="1" applyBorder="1" applyAlignment="1">
      <alignment horizontal="left" vertical="center"/>
    </xf>
    <xf numFmtId="187" fontId="18" fillId="0" borderId="0" xfId="21" applyNumberFormat="1" applyFont="1" applyAlignment="1">
      <alignment horizontal="left" vertical="center"/>
    </xf>
    <xf numFmtId="0" fontId="18" fillId="0" borderId="0" xfId="21" applyFont="1" applyFill="1" applyAlignment="1">
      <alignment horizontal="left" vertical="center"/>
    </xf>
    <xf numFmtId="180"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0" fontId="18" fillId="0" borderId="18" xfId="21" applyNumberFormat="1" applyFont="1" applyBorder="1" applyAlignment="1">
      <alignment horizontal="left" vertical="center"/>
    </xf>
    <xf numFmtId="176"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0"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8" fontId="18" fillId="0" borderId="0" xfId="21" applyNumberFormat="1" applyFont="1" applyAlignment="1">
      <alignment horizontal="left" vertical="center"/>
    </xf>
    <xf numFmtId="188" fontId="18" fillId="0" borderId="19" xfId="21" applyNumberFormat="1" applyFont="1" applyBorder="1" applyAlignment="1">
      <alignment horizontal="left" vertical="center"/>
    </xf>
    <xf numFmtId="188"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8" fontId="19" fillId="0" borderId="0" xfId="21" applyNumberFormat="1" applyFont="1" applyAlignment="1">
      <alignment horizontal="left" vertical="center"/>
    </xf>
    <xf numFmtId="188" fontId="19" fillId="0" borderId="19" xfId="21" applyNumberFormat="1" applyFont="1" applyBorder="1" applyAlignment="1">
      <alignment horizontal="left" vertical="center"/>
    </xf>
    <xf numFmtId="176" fontId="18" fillId="0" borderId="18" xfId="21" applyNumberFormat="1" applyFont="1" applyBorder="1" applyAlignment="1">
      <alignment horizontal="left" vertical="center"/>
    </xf>
    <xf numFmtId="176"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2"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2"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76" fontId="0" fillId="2" borderId="4" xfId="0" applyNumberFormat="1" applyFill="1" applyBorder="1" applyAlignment="1" applyProtection="1">
      <alignment horizontal="center" vertical="center"/>
    </xf>
    <xf numFmtId="17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76" fontId="0" fillId="2" borderId="7" xfId="0" applyNumberFormat="1" applyFill="1" applyBorder="1" applyAlignment="1" applyProtection="1">
      <alignment horizontal="center" vertical="center"/>
    </xf>
    <xf numFmtId="17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76" fontId="0" fillId="2" borderId="56" xfId="0" applyNumberFormat="1" applyFill="1" applyBorder="1" applyAlignment="1" applyProtection="1">
      <alignment horizontal="center" vertical="center"/>
    </xf>
    <xf numFmtId="176"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76" fontId="0" fillId="2" borderId="5" xfId="0" applyNumberFormat="1" applyFill="1" applyBorder="1" applyAlignment="1" applyProtection="1">
      <alignment horizontal="center" vertical="center"/>
    </xf>
    <xf numFmtId="176" fontId="0" fillId="2" borderId="8" xfId="0" applyNumberFormat="1" applyFill="1" applyBorder="1" applyAlignment="1" applyProtection="1">
      <alignment horizontal="center" vertical="center"/>
    </xf>
    <xf numFmtId="176"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9"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9"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7"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7"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2"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9"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9"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9" fontId="24" fillId="2" borderId="52" xfId="0" applyNumberFormat="1" applyFont="1" applyFill="1" applyBorder="1" applyAlignment="1" applyProtection="1">
      <alignment horizontal="left" vertical="center" wrapText="1"/>
    </xf>
    <xf numFmtId="189"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9"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7"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9"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9"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5"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2"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89"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189"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9" fontId="19" fillId="2" borderId="7" xfId="0" applyNumberFormat="1" applyFont="1" applyFill="1" applyBorder="1" applyAlignment="1" applyProtection="1">
      <alignment horizontal="left" vertical="center" wrapText="1"/>
    </xf>
    <xf numFmtId="185" fontId="18" fillId="2" borderId="16" xfId="0" applyNumberFormat="1" applyFont="1" applyFill="1" applyBorder="1" applyAlignment="1" applyProtection="1">
      <alignment horizontal="left" vertical="center" wrapText="1"/>
    </xf>
    <xf numFmtId="18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5"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3"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3"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3"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5"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7" fontId="46" fillId="11" borderId="97" xfId="0" applyNumberFormat="1" applyFont="1" applyFill="1" applyBorder="1" applyAlignment="1" applyProtection="1">
      <alignment horizontal="left" vertical="center" wrapText="1"/>
      <protection locked="0"/>
    </xf>
    <xf numFmtId="185"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5"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7" fontId="43" fillId="2" borderId="13" xfId="0" applyNumberFormat="1" applyFont="1" applyFill="1" applyBorder="1" applyAlignment="1" applyProtection="1">
      <alignment horizontal="center" vertical="center"/>
    </xf>
    <xf numFmtId="187"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3"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3"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5"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3"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0" fontId="61" fillId="2" borderId="38" xfId="0" applyNumberFormat="1" applyFont="1" applyFill="1" applyBorder="1" applyAlignment="1" applyProtection="1">
      <alignment horizontal="center" vertical="center"/>
    </xf>
    <xf numFmtId="187"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0" fontId="61" fillId="0" borderId="0" xfId="0" applyNumberFormat="1" applyFont="1" applyFill="1" applyBorder="1" applyAlignment="1" applyProtection="1">
      <alignment horizontal="center" vertical="center"/>
      <protection locked="0"/>
    </xf>
    <xf numFmtId="187"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90" fontId="42" fillId="2" borderId="14" xfId="0" applyNumberFormat="1" applyFont="1" applyFill="1" applyBorder="1" applyAlignment="1" applyProtection="1">
      <alignment horizontal="center" vertical="center" wrapText="1"/>
    </xf>
    <xf numFmtId="187"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7"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7"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7"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7"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0" fontId="43" fillId="2" borderId="14" xfId="0" applyNumberFormat="1" applyFont="1" applyFill="1" applyBorder="1" applyAlignment="1" applyProtection="1">
      <alignment horizontal="center" vertical="center"/>
    </xf>
    <xf numFmtId="187" fontId="43" fillId="0" borderId="0" xfId="0" applyNumberFormat="1" applyFont="1" applyFill="1" applyBorder="1" applyAlignment="1" applyProtection="1">
      <alignment vertical="center" wrapText="1"/>
      <protection locked="0"/>
    </xf>
    <xf numFmtId="193" fontId="43" fillId="2" borderId="93" xfId="0" applyNumberFormat="1" applyFont="1" applyFill="1" applyBorder="1" applyAlignment="1" applyProtection="1">
      <alignment horizontal="left" vertical="center" wrapText="1"/>
    </xf>
    <xf numFmtId="190"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0" fontId="59" fillId="0" borderId="0" xfId="0" applyNumberFormat="1" applyFont="1" applyFill="1" applyAlignment="1" applyProtection="1">
      <alignment horizontal="center" vertical="center"/>
      <protection locked="0"/>
    </xf>
    <xf numFmtId="187"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90"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90" fontId="43" fillId="2" borderId="0" xfId="0" applyNumberFormat="1" applyFont="1" applyFill="1" applyBorder="1" applyAlignment="1" applyProtection="1">
      <alignment horizontal="center"/>
      <protection locked="0"/>
    </xf>
    <xf numFmtId="187"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4"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4"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4"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5"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5"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90" fontId="43"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0"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5"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3"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3"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3"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5" fontId="46" fillId="2" borderId="89" xfId="0" applyNumberFormat="1" applyFont="1" applyFill="1" applyBorder="1" applyAlignment="1" applyProtection="1">
      <alignment horizontal="left" vertical="center" wrapText="1"/>
    </xf>
    <xf numFmtId="185"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5"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7" fontId="43" fillId="2" borderId="13" xfId="0" applyNumberFormat="1" applyFont="1" applyFill="1" applyBorder="1" applyAlignment="1" applyProtection="1">
      <alignment horizontal="left" vertical="center"/>
    </xf>
    <xf numFmtId="187"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3" fontId="43" fillId="0" borderId="0" xfId="0" applyNumberFormat="1" applyFont="1" applyFill="1" applyAlignment="1" applyProtection="1">
      <alignment horizontal="left" vertical="center"/>
      <protection locked="0"/>
    </xf>
    <xf numFmtId="193"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5"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2"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0" fontId="61" fillId="2" borderId="38" xfId="0" applyNumberFormat="1" applyFont="1" applyFill="1" applyBorder="1" applyAlignment="1" applyProtection="1">
      <alignment horizontal="left" vertical="center"/>
    </xf>
    <xf numFmtId="187"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90" fontId="61" fillId="0" borderId="0" xfId="0" applyNumberFormat="1" applyFont="1" applyFill="1" applyBorder="1" applyAlignment="1" applyProtection="1">
      <alignment horizontal="left" vertical="center"/>
      <protection locked="0"/>
    </xf>
    <xf numFmtId="187" fontId="61" fillId="0" borderId="0" xfId="0" applyNumberFormat="1" applyFont="1" applyFill="1" applyBorder="1" applyAlignment="1" applyProtection="1">
      <alignment horizontal="left" vertical="center"/>
      <protection locked="0"/>
    </xf>
    <xf numFmtId="190" fontId="42" fillId="2" borderId="14" xfId="0" applyNumberFormat="1" applyFont="1" applyFill="1" applyBorder="1" applyAlignment="1" applyProtection="1">
      <alignment horizontal="left" vertical="center" wrapText="1"/>
    </xf>
    <xf numFmtId="187"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7"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7"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7"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90" fontId="43" fillId="2" borderId="14" xfId="0" applyNumberFormat="1" applyFont="1" applyFill="1" applyBorder="1" applyAlignment="1" applyProtection="1">
      <alignment horizontal="left" vertical="center"/>
    </xf>
    <xf numFmtId="187" fontId="43" fillId="0" borderId="0" xfId="0" applyNumberFormat="1" applyFont="1" applyFill="1" applyBorder="1" applyAlignment="1" applyProtection="1">
      <alignment horizontal="left" vertical="center" wrapText="1"/>
      <protection locked="0"/>
    </xf>
    <xf numFmtId="190"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90" fontId="59" fillId="0" borderId="0" xfId="0" applyNumberFormat="1" applyFont="1" applyFill="1" applyAlignment="1" applyProtection="1">
      <alignment horizontal="left" vertical="center"/>
      <protection locked="0"/>
    </xf>
    <xf numFmtId="187"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90" fontId="43" fillId="2" borderId="0" xfId="0" applyNumberFormat="1" applyFont="1" applyFill="1" applyAlignment="1" applyProtection="1">
      <alignment horizontal="left" vertical="center"/>
    </xf>
    <xf numFmtId="187"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4"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4"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4"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5"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5"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3"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0"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90" fontId="43" fillId="2" borderId="0" xfId="0" applyNumberFormat="1"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5" fontId="42" fillId="2" borderId="90" xfId="0" applyNumberFormat="1" applyFont="1" applyFill="1" applyBorder="1" applyAlignment="1" applyProtection="1">
      <alignment horizontal="center" vertical="center" wrapText="1"/>
    </xf>
    <xf numFmtId="195"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90" fontId="61" fillId="2" borderId="117" xfId="0" applyNumberFormat="1" applyFont="1" applyFill="1" applyBorder="1" applyAlignment="1" applyProtection="1">
      <alignment horizontal="center" vertical="center"/>
    </xf>
    <xf numFmtId="187"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0" fontId="43" fillId="2" borderId="0" xfId="0" applyNumberFormat="1" applyFont="1" applyFill="1" applyBorder="1" applyAlignment="1" applyProtection="1">
      <alignment horizontal="center"/>
    </xf>
    <xf numFmtId="187"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0" fontId="61" fillId="2" borderId="117" xfId="0" applyNumberFormat="1" applyFont="1" applyFill="1" applyBorder="1" applyAlignment="1" applyProtection="1">
      <alignment horizontal="center" vertical="center"/>
      <protection locked="0"/>
    </xf>
    <xf numFmtId="190" fontId="43" fillId="13" borderId="14" xfId="0" applyNumberFormat="1" applyFont="1" applyFill="1" applyBorder="1" applyAlignment="1" applyProtection="1">
      <alignment horizontal="center" vertical="center"/>
      <protection locked="0"/>
    </xf>
    <xf numFmtId="190"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5"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5" fontId="42" fillId="2" borderId="90" xfId="0" applyNumberFormat="1" applyFont="1" applyFill="1" applyBorder="1" applyAlignment="1" applyProtection="1">
      <alignment horizontal="left" vertical="center" wrapText="1"/>
    </xf>
    <xf numFmtId="195"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90" fontId="61" fillId="2" borderId="117" xfId="0" applyNumberFormat="1" applyFont="1" applyFill="1" applyBorder="1" applyAlignment="1" applyProtection="1">
      <alignment horizontal="left" vertical="center"/>
    </xf>
    <xf numFmtId="187"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90" fontId="43" fillId="2" borderId="0" xfId="0" applyNumberFormat="1" applyFont="1" applyFill="1" applyBorder="1" applyAlignment="1" applyProtection="1">
      <alignment horizontal="left"/>
    </xf>
    <xf numFmtId="187"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0"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0"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80"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5"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5"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5" fontId="49" fillId="0" borderId="7" xfId="0" applyNumberFormat="1" applyFont="1" applyFill="1" applyBorder="1" applyAlignment="1" applyProtection="1">
      <alignment horizontal="center"/>
      <protection locked="0"/>
    </xf>
    <xf numFmtId="185" fontId="49" fillId="2" borderId="7" xfId="0" applyNumberFormat="1" applyFont="1" applyFill="1" applyBorder="1" applyAlignment="1" applyProtection="1">
      <alignment horizontal="center"/>
      <protection locked="0"/>
    </xf>
    <xf numFmtId="193"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5" fontId="18" fillId="0" borderId="7" xfId="0" applyNumberFormat="1" applyFont="1" applyFill="1" applyBorder="1" applyAlignment="1" applyProtection="1">
      <alignment horizontal="center"/>
      <protection locked="0"/>
    </xf>
    <xf numFmtId="185"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5"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0" fontId="49" fillId="2" borderId="7" xfId="0" applyNumberFormat="1" applyFont="1" applyFill="1" applyBorder="1" applyAlignment="1" applyProtection="1">
      <alignment horizontal="center" vertical="center"/>
    </xf>
    <xf numFmtId="182" fontId="49" fillId="2" borderId="7" xfId="57" applyNumberFormat="1" applyFont="1" applyFill="1" applyBorder="1" applyAlignment="1" applyProtection="1">
      <alignment horizontal="center"/>
    </xf>
    <xf numFmtId="187"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0"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0"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57"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9" fontId="49" fillId="2" borderId="14" xfId="0" applyNumberFormat="1" applyFont="1" applyFill="1" applyBorder="1" applyAlignment="1" applyProtection="1">
      <alignment horizontal="center"/>
    </xf>
    <xf numFmtId="189" fontId="49" fillId="2" borderId="7" xfId="0" applyNumberFormat="1" applyFont="1" applyFill="1" applyBorder="1" applyAlignment="1" applyProtection="1">
      <alignment horizontal="center" vertical="center"/>
    </xf>
    <xf numFmtId="180"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5"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5"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3"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0"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80"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0"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82"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0" fillId="2" borderId="6" xfId="57" applyNumberFormat="1" applyFont="1" applyFill="1" applyBorder="1" applyAlignment="1" applyProtection="1">
      <alignment horizontal="left"/>
    </xf>
    <xf numFmtId="0" fontId="80" fillId="2" borderId="13" xfId="57" applyFont="1" applyFill="1" applyBorder="1" applyAlignment="1" applyProtection="1"/>
    <xf numFmtId="180" fontId="80" fillId="2" borderId="7" xfId="57" applyNumberFormat="1" applyFont="1" applyFill="1" applyBorder="1" applyAlignment="1" applyProtection="1">
      <alignment horizontal="center" vertical="center"/>
    </xf>
    <xf numFmtId="182" fontId="80"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2"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76"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2"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7"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84"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7" fontId="24" fillId="2" borderId="7" xfId="0" applyNumberFormat="1" applyFont="1" applyFill="1" applyBorder="1" applyAlignment="1" applyProtection="1">
      <alignment horizontal="center"/>
    </xf>
    <xf numFmtId="187"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7"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7" fontId="74"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7"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7"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7"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7"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7"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7"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7" fontId="49" fillId="11" borderId="93"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77"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2"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2" fontId="74" fillId="2" borderId="11" xfId="0" applyNumberFormat="1" applyFont="1" applyFill="1" applyBorder="1" applyAlignment="1" applyProtection="1">
      <alignment horizontal="center" vertical="center"/>
    </xf>
    <xf numFmtId="182"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7" fontId="74"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7"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7"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3"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2"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5"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7"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2" xfId="0" applyFont="1" applyFill="1" applyBorder="1" applyAlignment="1" applyProtection="1">
      <alignment vertical="center" wrapText="1"/>
    </xf>
    <xf numFmtId="0" fontId="89" fillId="2" borderId="92"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9"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7"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7"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2" xfId="0" applyFont="1" applyFill="1" applyBorder="1" applyAlignment="1" applyProtection="1">
      <alignment horizontal="center" vertical="center" wrapText="1"/>
    </xf>
    <xf numFmtId="0" fontId="89" fillId="2" borderId="92"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79"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0" fontId="94" fillId="2" borderId="73" xfId="0" applyFont="1" applyFill="1" applyBorder="1" applyAlignment="1" applyProtection="1">
      <alignment horizontal="left" vertical="center" wrapText="1"/>
    </xf>
    <xf numFmtId="49" fontId="43" fillId="12" borderId="14" xfId="0" applyNumberFormat="1" applyFont="1" applyFill="1" applyBorder="1" applyAlignment="1" applyProtection="1">
      <alignment horizontal="left" vertical="center" wrapText="1"/>
      <protection locked="0"/>
    </xf>
    <xf numFmtId="0" fontId="94"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90" fontId="45" fillId="0" borderId="0" xfId="0" applyNumberFormat="1" applyFont="1" applyFill="1" applyBorder="1" applyAlignment="1" applyProtection="1">
      <alignment horizontal="left" vertical="center"/>
      <protection locked="0"/>
    </xf>
    <xf numFmtId="187"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90" fontId="42" fillId="2" borderId="68" xfId="0" applyNumberFormat="1" applyFont="1" applyFill="1" applyBorder="1" applyAlignment="1" applyProtection="1">
      <alignment horizontal="left" vertical="center" wrapText="1"/>
    </xf>
    <xf numFmtId="190"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90" fontId="43" fillId="2" borderId="93" xfId="0" applyNumberFormat="1" applyFont="1" applyFill="1" applyBorder="1" applyAlignment="1" applyProtection="1">
      <alignment horizontal="left" vertical="center"/>
    </xf>
    <xf numFmtId="193" fontId="43" fillId="11" borderId="93" xfId="0" applyNumberFormat="1" applyFont="1" applyFill="1" applyBorder="1" applyAlignment="1" applyProtection="1">
      <alignment horizontal="left" vertical="center" wrapText="1"/>
    </xf>
    <xf numFmtId="190"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7"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4"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9"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76" fontId="54" fillId="2" borderId="8" xfId="0" applyNumberFormat="1" applyFont="1" applyFill="1" applyBorder="1" applyAlignment="1" applyProtection="1">
      <alignment horizontal="left" vertical="center"/>
    </xf>
    <xf numFmtId="176"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76"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7"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2"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7"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0"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0"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1"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7"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0" fillId="2" borderId="148" xfId="0" applyFont="1" applyFill="1" applyBorder="1" applyAlignment="1" applyProtection="1">
      <alignment vertical="center" wrapText="1"/>
    </xf>
    <xf numFmtId="0" fontId="90" fillId="2" borderId="149" xfId="0" applyFont="1" applyFill="1" applyBorder="1" applyAlignment="1" applyProtection="1">
      <alignment vertical="center" wrapText="1"/>
    </xf>
    <xf numFmtId="0" fontId="90" fillId="2" borderId="7" xfId="0" applyFont="1" applyFill="1" applyBorder="1" applyAlignment="1" applyProtection="1">
      <alignment horizontal="left" vertical="center" wrapText="1"/>
    </xf>
    <xf numFmtId="0" fontId="90"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86" fontId="49" fillId="2" borderId="13" xfId="0" applyNumberFormat="1" applyFont="1" applyFill="1" applyBorder="1" applyAlignment="1" applyProtection="1">
      <alignment horizontal="left" vertical="center" shrinkToFit="1"/>
    </xf>
    <xf numFmtId="186"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86" fontId="49" fillId="2" borderId="13" xfId="0" applyNumberFormat="1" applyFont="1" applyFill="1" applyBorder="1" applyAlignment="1" applyProtection="1">
      <alignment horizontal="left" vertical="center" wrapText="1"/>
    </xf>
    <xf numFmtId="186"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7"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9"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86" fontId="49" fillId="2" borderId="93" xfId="0" applyNumberFormat="1" applyFont="1" applyFill="1" applyBorder="1" applyAlignment="1" applyProtection="1">
      <alignment horizontal="left" vertical="center" shrinkToFit="1"/>
    </xf>
    <xf numFmtId="186" fontId="49" fillId="16" borderId="0" xfId="0" applyNumberFormat="1" applyFont="1" applyFill="1" applyBorder="1" applyAlignment="1" applyProtection="1">
      <alignment horizontal="left" vertical="center" shrinkToFit="1"/>
    </xf>
    <xf numFmtId="186" fontId="49" fillId="2" borderId="93" xfId="0" applyNumberFormat="1" applyFont="1" applyFill="1" applyBorder="1" applyAlignment="1" applyProtection="1">
      <alignment horizontal="left" vertical="center" wrapText="1"/>
    </xf>
    <xf numFmtId="186" fontId="49" fillId="16" borderId="0" xfId="0" applyNumberFormat="1" applyFont="1" applyFill="1" applyBorder="1" applyAlignment="1" applyProtection="1">
      <alignment horizontal="left" vertical="center" wrapText="1"/>
    </xf>
    <xf numFmtId="186"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86" fontId="49" fillId="2" borderId="88" xfId="0" applyNumberFormat="1" applyFont="1" applyFill="1" applyBorder="1" applyAlignment="1" applyProtection="1">
      <alignment horizontal="left" vertical="center" wrapText="1"/>
    </xf>
    <xf numFmtId="186"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86"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7"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7"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2"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80"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7"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7"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2" fontId="49" fillId="0" borderId="0" xfId="0" applyNumberFormat="1" applyFont="1" applyAlignment="1" applyProtection="1">
      <alignment horizontal="left" vertical="center"/>
      <protection locked="0"/>
    </xf>
    <xf numFmtId="182" fontId="49" fillId="2" borderId="0" xfId="0" applyNumberFormat="1" applyFont="1" applyFill="1" applyAlignment="1" applyProtection="1">
      <alignment horizontal="left" vertical="center"/>
      <protection locked="0"/>
    </xf>
    <xf numFmtId="182"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2"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2" fontId="42" fillId="2"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2"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2"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2"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0"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0"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3"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2" fontId="42" fillId="2" borderId="6" xfId="0" applyNumberFormat="1" applyFont="1" applyFill="1" applyBorder="1" applyAlignment="1" applyProtection="1">
      <alignment horizontal="left" vertical="center" wrapText="1"/>
      <protection locked="0"/>
    </xf>
    <xf numFmtId="182"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8"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7"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7" fontId="42" fillId="0" borderId="61" xfId="0" applyNumberFormat="1" applyFont="1" applyFill="1" applyBorder="1" applyAlignment="1" applyProtection="1">
      <alignment horizontal="left" vertical="center"/>
      <protection locked="0"/>
    </xf>
    <xf numFmtId="180"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7" fontId="42" fillId="0" borderId="11" xfId="0" applyNumberFormat="1" applyFont="1" applyFill="1" applyBorder="1" applyAlignment="1" applyProtection="1">
      <alignment horizontal="left" vertical="center"/>
      <protection locked="0"/>
    </xf>
    <xf numFmtId="182"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3" fontId="43" fillId="2" borderId="3" xfId="57" applyNumberFormat="1" applyFont="1" applyFill="1" applyBorder="1" applyAlignment="1" applyProtection="1">
      <alignment horizontal="left" vertical="center" wrapText="1"/>
      <protection locked="0"/>
    </xf>
    <xf numFmtId="193" fontId="43" fillId="0" borderId="5" xfId="57" applyNumberFormat="1" applyFont="1" applyFill="1" applyBorder="1" applyAlignment="1" applyProtection="1">
      <alignment horizontal="left" vertical="center"/>
      <protection locked="0"/>
    </xf>
    <xf numFmtId="187"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3" fontId="43" fillId="2" borderId="6" xfId="57" applyNumberFormat="1" applyFont="1" applyFill="1" applyBorder="1" applyAlignment="1" applyProtection="1">
      <alignment horizontal="left" vertical="center" wrapText="1"/>
      <protection locked="0"/>
    </xf>
    <xf numFmtId="193" fontId="42" fillId="0" borderId="8" xfId="57" applyNumberFormat="1" applyFont="1" applyFill="1" applyBorder="1" applyAlignment="1" applyProtection="1">
      <alignment horizontal="left" vertical="center"/>
      <protection locked="0"/>
    </xf>
    <xf numFmtId="187" fontId="49" fillId="0" borderId="8" xfId="0" applyNumberFormat="1" applyFont="1" applyFill="1" applyBorder="1" applyAlignment="1" applyProtection="1">
      <alignment horizontal="left" vertical="center"/>
      <protection locked="0"/>
    </xf>
    <xf numFmtId="193" fontId="43" fillId="2" borderId="57" xfId="57" applyNumberFormat="1" applyFont="1" applyFill="1" applyBorder="1" applyAlignment="1" applyProtection="1">
      <alignment horizontal="left" vertical="center" wrapText="1"/>
      <protection locked="0"/>
    </xf>
    <xf numFmtId="193" fontId="42" fillId="0" borderId="61" xfId="57" applyNumberFormat="1" applyFont="1" applyFill="1" applyBorder="1" applyAlignment="1" applyProtection="1">
      <alignment horizontal="left" vertical="center"/>
      <protection locked="0"/>
    </xf>
    <xf numFmtId="193" fontId="43" fillId="2" borderId="9" xfId="57" applyNumberFormat="1" applyFont="1" applyFill="1" applyBorder="1" applyAlignment="1" applyProtection="1">
      <alignment horizontal="left" vertical="center" wrapText="1"/>
      <protection locked="0"/>
    </xf>
    <xf numFmtId="193" fontId="43" fillId="2" borderId="11" xfId="57" applyNumberFormat="1" applyFont="1" applyFill="1" applyBorder="1" applyAlignment="1" applyProtection="1">
      <alignment horizontal="left" vertical="center"/>
      <protection locked="0"/>
    </xf>
    <xf numFmtId="187" fontId="49" fillId="0" borderId="11" xfId="0" applyNumberFormat="1" applyFont="1" applyFill="1" applyBorder="1" applyAlignment="1" applyProtection="1">
      <alignment horizontal="left" vertical="center"/>
      <protection locked="0"/>
    </xf>
    <xf numFmtId="193" fontId="42" fillId="2" borderId="6" xfId="57" applyNumberFormat="1" applyFont="1" applyFill="1" applyBorder="1" applyAlignment="1" applyProtection="1">
      <alignment horizontal="left" vertical="center" wrapText="1"/>
      <protection locked="0"/>
    </xf>
    <xf numFmtId="193" fontId="43" fillId="2" borderId="5" xfId="57" applyNumberFormat="1" applyFont="1" applyFill="1" applyBorder="1" applyAlignment="1" applyProtection="1">
      <alignment horizontal="left" vertical="center"/>
      <protection locked="0"/>
    </xf>
    <xf numFmtId="193" fontId="43" fillId="2" borderId="72" xfId="57" applyNumberFormat="1" applyFont="1" applyFill="1" applyBorder="1" applyAlignment="1" applyProtection="1">
      <alignment horizontal="left" vertical="center"/>
      <protection locked="0"/>
    </xf>
    <xf numFmtId="182"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7"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77"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2"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76" fontId="42" fillId="2" borderId="60" xfId="0" applyNumberFormat="1" applyFont="1" applyFill="1" applyBorder="1" applyAlignment="1" applyProtection="1">
      <alignment horizontal="left" vertical="center"/>
      <protection locked="0"/>
    </xf>
    <xf numFmtId="182"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77" fontId="42" fillId="0" borderId="8" xfId="0" applyNumberFormat="1" applyFont="1" applyBorder="1" applyAlignment="1" applyProtection="1">
      <alignment horizontal="left" vertical="center"/>
      <protection locked="0"/>
    </xf>
    <xf numFmtId="187"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7"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3"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8"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3"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3"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8" fillId="0" borderId="0" xfId="0" applyFont="1" applyBorder="1" applyAlignment="1" applyProtection="1">
      <alignment vertical="center"/>
      <protection locked="0"/>
    </xf>
    <xf numFmtId="0" fontId="88"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92" fontId="124" fillId="0" borderId="7" xfId="60" applyNumberFormat="1" applyFont="1" applyFill="1" applyBorder="1" applyAlignment="1">
      <alignment horizontal="left" vertical="center"/>
    </xf>
    <xf numFmtId="192"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83"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2"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3"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83"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83"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1"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8"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8"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91" fontId="133" fillId="0" borderId="0" xfId="0" applyNumberFormat="1" applyFont="1" applyAlignment="1">
      <alignment vertical="center"/>
    </xf>
    <xf numFmtId="191" fontId="91"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6"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86" fontId="69" fillId="0" borderId="13" xfId="0" applyNumberFormat="1" applyFont="1" applyFill="1" applyBorder="1" applyAlignment="1" applyProtection="1">
      <alignment horizontal="center" vertical="center" wrapText="1"/>
    </xf>
    <xf numFmtId="186"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6"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1" fillId="0" borderId="0" xfId="0" applyFont="1" applyAlignment="1">
      <alignment vertical="center" wrapText="1"/>
    </xf>
    <xf numFmtId="0" fontId="142"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3" fillId="0" borderId="0" xfId="0" applyFont="1" applyAlignment="1">
      <alignment horizontal="left" vertical="center"/>
    </xf>
    <xf numFmtId="183" fontId="91" fillId="0" borderId="0" xfId="0" applyNumberFormat="1" applyFont="1" applyAlignment="1">
      <alignment horizontal="left" vertical="center"/>
    </xf>
    <xf numFmtId="183" fontId="91"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0" applyFont="1" applyBorder="1" applyProtection="1">
      <alignment vertical="center"/>
    </xf>
    <xf numFmtId="0" fontId="118" fillId="0" borderId="0" xfId="20" applyFont="1" applyBorder="1" applyProtection="1">
      <alignment vertical="center"/>
    </xf>
    <xf numFmtId="0" fontId="118" fillId="0" borderId="0" xfId="20" applyFont="1" applyBorder="1" applyAlignment="1" applyProtection="1">
      <alignment vertical="center" wrapText="1"/>
    </xf>
    <xf numFmtId="0" fontId="89" fillId="0" borderId="0" xfId="20" applyFont="1" applyAlignment="1" applyProtection="1">
      <alignment horizontal="left" vertical="center"/>
    </xf>
    <xf numFmtId="0" fontId="118"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89"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89"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89" fillId="0" borderId="52" xfId="20" applyFont="1" applyBorder="1" applyAlignment="1" applyProtection="1">
      <alignment horizontal="left" vertical="center"/>
    </xf>
    <xf numFmtId="0" fontId="89" fillId="0" borderId="7" xfId="20" applyFont="1" applyBorder="1" applyAlignment="1" applyProtection="1">
      <alignment horizontal="left" vertical="center"/>
    </xf>
    <xf numFmtId="0" fontId="89" fillId="0" borderId="2" xfId="20" applyFont="1" applyBorder="1" applyAlignment="1" applyProtection="1">
      <alignment horizontal="left" vertical="center"/>
    </xf>
    <xf numFmtId="0" fontId="89" fillId="0" borderId="105" xfId="20" applyFont="1" applyBorder="1" applyAlignment="1" applyProtection="1">
      <alignment horizontal="left" vertical="center"/>
    </xf>
    <xf numFmtId="0" fontId="89" fillId="0" borderId="106" xfId="20" applyFont="1" applyBorder="1" applyAlignment="1" applyProtection="1">
      <alignment horizontal="left" vertical="center"/>
    </xf>
    <xf numFmtId="191" fontId="117" fillId="0" borderId="2" xfId="20" applyNumberFormat="1" applyFont="1" applyBorder="1" applyAlignment="1" applyProtection="1">
      <alignment horizontal="left" vertical="center"/>
    </xf>
    <xf numFmtId="14" fontId="89" fillId="0" borderId="16" xfId="20" applyNumberFormat="1" applyFont="1" applyBorder="1" applyAlignment="1" applyProtection="1">
      <alignment horizontal="left" vertical="center"/>
    </xf>
    <xf numFmtId="14" fontId="89" fillId="0" borderId="7" xfId="20" applyNumberFormat="1" applyFont="1" applyBorder="1" applyAlignment="1" applyProtection="1">
      <alignment horizontal="left" vertical="center"/>
    </xf>
    <xf numFmtId="0" fontId="118" fillId="0" borderId="7" xfId="20" applyFont="1" applyBorder="1" applyAlignment="1" applyProtection="1">
      <alignment vertical="center" wrapText="1"/>
    </xf>
    <xf numFmtId="0" fontId="118" fillId="0" borderId="2" xfId="20" applyFont="1" applyBorder="1" applyAlignment="1" applyProtection="1">
      <alignment vertical="center" wrapText="1"/>
    </xf>
    <xf numFmtId="0" fontId="11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1</xdr:row>
      <xdr:rowOff>0</xdr:rowOff>
    </xdr:from>
    <xdr:to>
      <xdr:col>21</xdr:col>
      <xdr:colOff>123825</xdr:colOff>
      <xdr:row>40</xdr:row>
      <xdr:rowOff>9525</xdr:rowOff>
    </xdr:to>
    <xdr:pic>
      <xdr:nvPicPr>
        <xdr:cNvPr id="2" name="图片 1"/>
        <xdr:cNvPicPr>
          <a:picLocks noChangeAspect="1"/>
        </xdr:cNvPicPr>
      </xdr:nvPicPr>
      <xdr:blipFill>
        <a:blip r:embed="rId1"/>
        <a:stretch>
          <a:fillRect/>
        </a:stretch>
      </xdr:blipFill>
      <xdr:spPr>
        <a:xfrm>
          <a:off x="3457575" y="171450"/>
          <a:ext cx="9563100" cy="6696075"/>
        </a:xfrm>
        <a:prstGeom prst="rect">
          <a:avLst/>
        </a:prstGeom>
        <a:noFill/>
        <a:ln w="9525">
          <a:noFill/>
        </a:ln>
      </xdr:spPr>
    </xdr:pic>
    <xdr:clientData/>
  </xdr:twoCellAnchor>
  <xdr:twoCellAnchor editAs="oneCell">
    <xdr:from>
      <xdr:col>9</xdr:col>
      <xdr:colOff>609600</xdr:colOff>
      <xdr:row>42</xdr:row>
      <xdr:rowOff>76200</xdr:rowOff>
    </xdr:from>
    <xdr:to>
      <xdr:col>19</xdr:col>
      <xdr:colOff>733425</xdr:colOff>
      <xdr:row>59</xdr:row>
      <xdr:rowOff>19050</xdr:rowOff>
    </xdr:to>
    <xdr:pic>
      <xdr:nvPicPr>
        <xdr:cNvPr id="3" name="图片 2"/>
        <xdr:cNvPicPr>
          <a:picLocks noChangeAspect="1"/>
        </xdr:cNvPicPr>
      </xdr:nvPicPr>
      <xdr:blipFill>
        <a:blip r:embed="rId2"/>
        <a:stretch>
          <a:fillRect/>
        </a:stretch>
      </xdr:blipFill>
      <xdr:spPr>
        <a:xfrm>
          <a:off x="4067175" y="7277100"/>
          <a:ext cx="8048625" cy="2857500"/>
        </a:xfrm>
        <a:prstGeom prst="rect">
          <a:avLst/>
        </a:prstGeom>
        <a:noFill/>
        <a:ln w="9525">
          <a:noFill/>
        </a:ln>
      </xdr:spPr>
    </xdr:pic>
    <xdr:clientData/>
  </xdr:twoCellAnchor>
  <xdr:twoCellAnchor editAs="oneCell">
    <xdr:from>
      <xdr:col>9</xdr:col>
      <xdr:colOff>657225</xdr:colOff>
      <xdr:row>59</xdr:row>
      <xdr:rowOff>76200</xdr:rowOff>
    </xdr:from>
    <xdr:to>
      <xdr:col>18</xdr:col>
      <xdr:colOff>114300</xdr:colOff>
      <xdr:row>76</xdr:row>
      <xdr:rowOff>0</xdr:rowOff>
    </xdr:to>
    <xdr:pic>
      <xdr:nvPicPr>
        <xdr:cNvPr id="4" name="图片 3"/>
        <xdr:cNvPicPr>
          <a:picLocks noChangeAspect="1"/>
        </xdr:cNvPicPr>
      </xdr:nvPicPr>
      <xdr:blipFill>
        <a:blip r:embed="rId3"/>
        <a:stretch>
          <a:fillRect/>
        </a:stretch>
      </xdr:blipFill>
      <xdr:spPr>
        <a:xfrm>
          <a:off x="4114800" y="10191750"/>
          <a:ext cx="6696075" cy="2838450"/>
        </a:xfrm>
        <a:prstGeom prst="rect">
          <a:avLst/>
        </a:prstGeom>
        <a:noFill/>
        <a:ln w="9525">
          <a:noFill/>
        </a:ln>
      </xdr:spPr>
    </xdr:pic>
    <xdr:clientData/>
  </xdr:twoCellAnchor>
  <xdr:twoCellAnchor editAs="oneCell">
    <xdr:from>
      <xdr:col>9</xdr:col>
      <xdr:colOff>666750</xdr:colOff>
      <xdr:row>76</xdr:row>
      <xdr:rowOff>152400</xdr:rowOff>
    </xdr:from>
    <xdr:to>
      <xdr:col>17</xdr:col>
      <xdr:colOff>542925</xdr:colOff>
      <xdr:row>93</xdr:row>
      <xdr:rowOff>38100</xdr:rowOff>
    </xdr:to>
    <xdr:pic>
      <xdr:nvPicPr>
        <xdr:cNvPr id="5" name="图片 4"/>
        <xdr:cNvPicPr>
          <a:picLocks noChangeAspect="1"/>
        </xdr:cNvPicPr>
      </xdr:nvPicPr>
      <xdr:blipFill>
        <a:blip r:embed="rId4"/>
        <a:stretch>
          <a:fillRect/>
        </a:stretch>
      </xdr:blipFill>
      <xdr:spPr>
        <a:xfrm>
          <a:off x="4124325" y="13182600"/>
          <a:ext cx="6429375" cy="2800350"/>
        </a:xfrm>
        <a:prstGeom prst="rect">
          <a:avLst/>
        </a:prstGeom>
        <a:noFill/>
        <a:ln w="9525">
          <a:noFill/>
        </a:ln>
      </xdr:spPr>
    </xdr:pic>
    <xdr:clientData/>
  </xdr:twoCellAnchor>
  <xdr:twoCellAnchor editAs="oneCell">
    <xdr:from>
      <xdr:col>9</xdr:col>
      <xdr:colOff>514350</xdr:colOff>
      <xdr:row>96</xdr:row>
      <xdr:rowOff>161925</xdr:rowOff>
    </xdr:from>
    <xdr:to>
      <xdr:col>17</xdr:col>
      <xdr:colOff>428625</xdr:colOff>
      <xdr:row>107</xdr:row>
      <xdr:rowOff>114300</xdr:rowOff>
    </xdr:to>
    <xdr:pic>
      <xdr:nvPicPr>
        <xdr:cNvPr id="6" name="图片 5"/>
        <xdr:cNvPicPr>
          <a:picLocks noChangeAspect="1"/>
        </xdr:cNvPicPr>
      </xdr:nvPicPr>
      <xdr:blipFill>
        <a:blip r:embed="rId5"/>
        <a:stretch>
          <a:fillRect/>
        </a:stretch>
      </xdr:blipFill>
      <xdr:spPr>
        <a:xfrm>
          <a:off x="3971925" y="16621125"/>
          <a:ext cx="6467475" cy="18383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271;&#31481;&#26438;&#32993;&#21516;-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8">
          <cell r="E18">
            <v>355328</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423" customWidth="1"/>
    <col min="2" max="2" width="94.875" style="3424" customWidth="1"/>
    <col min="3" max="16384" width="9" style="3425"/>
  </cols>
  <sheetData>
    <row r="1" s="3421" customFormat="1" ht="16.5" spans="1:2">
      <c r="A1" s="3426" t="s">
        <v>0</v>
      </c>
      <c r="B1" s="3427" t="s">
        <v>1</v>
      </c>
    </row>
    <row r="2" s="3422" customFormat="1" ht="15.75" spans="1:2">
      <c r="A2" s="3428" t="s">
        <v>2</v>
      </c>
      <c r="B2" s="3429" t="str">
        <f>'预评函-封皮'!B9</f>
        <v>北京市预评估</v>
      </c>
    </row>
    <row r="3" s="3422" customFormat="1" spans="1:2">
      <c r="A3" s="3430" t="s">
        <v>3</v>
      </c>
      <c r="B3" s="3431" t="str">
        <f>'预评函-封皮'!B12</f>
        <v>xx</v>
      </c>
    </row>
    <row r="4" s="3422" customFormat="1" spans="1:2">
      <c r="A4" s="3430" t="s">
        <v>4</v>
      </c>
      <c r="B4" s="3431" t="str">
        <f ca="1">'预评函-封皮'!B18</f>
        <v>陈颖（注册号:1120060040）、（注册号:0)</v>
      </c>
    </row>
    <row r="5" s="3421" customFormat="1" ht="15.75" spans="1:2">
      <c r="A5" s="3432" t="s">
        <v>5</v>
      </c>
      <c r="B5" s="3433" t="str">
        <f>'预评函-封皮'!B21</f>
        <v>康正预评字号</v>
      </c>
    </row>
    <row r="6" s="3422" customFormat="1" ht="15.75" spans="1:2">
      <c r="A6" s="3430" t="s">
        <v>6</v>
      </c>
      <c r="B6" s="3429" t="str">
        <f>'预评函-1'!A4</f>
        <v>受您的委托，我公司对北京市房地产进行了预评估。</v>
      </c>
    </row>
    <row r="7" spans="1:2">
      <c r="A7" s="3430" t="s">
        <v>7</v>
      </c>
      <c r="B7" s="3434" t="str">
        <f>'预评函-1'!A6</f>
        <v>估价对象为北京市房地产，为XX所有。根据《房屋所有权证》[]，估价对象建筑面积为164.75平方米。根据《》[]，估价对象（分摊）出让国有建设用地使用权面积为平方米。估价对象用途为。</v>
      </c>
    </row>
    <row r="8" spans="1:2">
      <c r="A8" s="3430" t="s">
        <v>8</v>
      </c>
      <c r="B8" s="3434" t="str">
        <f>'预评函-1'!A8</f>
        <v>为估价委托人了解估价对象房地产市场价值提供参考依据。</v>
      </c>
    </row>
    <row r="9" spans="1:2">
      <c r="A9" s="3430" t="s">
        <v>9</v>
      </c>
      <c r="B9" s="3434" t="str">
        <f>'预评函-1'!A10</f>
        <v>2021年10月21日</v>
      </c>
    </row>
    <row r="10" spans="1:2">
      <c r="A10" s="3430" t="s">
        <v>10</v>
      </c>
      <c r="B10" s="3434" t="str">
        <f>'预评函-1'!A13</f>
        <v>本次估价的“房地产价值”是指在正常市场情况下，在价值时点2021年10月21日，估价对象规划用途为，假定未设立法定优先受偿款下的房地产市场价值。</v>
      </c>
    </row>
    <row r="11" spans="1:2">
      <c r="A11" s="3430" t="s">
        <v>11</v>
      </c>
      <c r="B11" s="3434"/>
    </row>
    <row r="12" spans="1:2">
      <c r="A12" s="3430" t="s">
        <v>12</v>
      </c>
      <c r="B12" s="3434"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30" t="s">
        <v>13</v>
      </c>
      <c r="B13" s="343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30" t="s">
        <v>14</v>
      </c>
      <c r="B14" s="3434" t="str">
        <f>'预评函-1'!A16</f>
        <v>本次估价的“抵押净值”是指估价对象“房地产抵押价值”减去估价对象在价值时点以“房地产销售收入”为基数计算的预计抵押权实现进行处置时需缴纳的各项费用、税金等相关费用后的价值。</v>
      </c>
    </row>
    <row r="15" s="3421" customFormat="1" ht="15.75" spans="1:2">
      <c r="A15" s="3432" t="s">
        <v>15</v>
      </c>
      <c r="B15" s="3435" t="str">
        <f>'预评函-1'!A18</f>
        <v>本次评估采用的主估价方法为收益法和比较法。</v>
      </c>
    </row>
    <row r="16" ht="15.75" spans="1:2">
      <c r="A16" s="3428" t="s">
        <v>16</v>
      </c>
      <c r="B16" s="343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30" t="s">
        <v>17</v>
      </c>
      <c r="B17" s="3434" t="str">
        <f>'预评函-2（1）'!B6</f>
        <v>北京市房地产</v>
      </c>
    </row>
    <row r="18" spans="1:2">
      <c r="A18" s="3430" t="s">
        <v>18</v>
      </c>
      <c r="B18" s="3434">
        <f>'预评函-2（1）'!C6</f>
        <v>164.75</v>
      </c>
    </row>
    <row r="19" spans="1:2">
      <c r="A19" s="3430" t="s">
        <v>19</v>
      </c>
      <c r="B19" s="3434">
        <f ca="1">'预评函-2（1）'!D7</f>
        <v>10966254</v>
      </c>
    </row>
    <row r="20" spans="1:2">
      <c r="A20" s="3430" t="s">
        <v>20</v>
      </c>
      <c r="B20" s="3434" t="str">
        <f>'预评函-2（1）'!C7</f>
        <v>总价（元）</v>
      </c>
    </row>
    <row r="21" spans="1:2">
      <c r="A21" s="3430" t="s">
        <v>21</v>
      </c>
      <c r="B21" s="3434">
        <f ca="1">'预评函-2（1）'!D9</f>
        <v>66563</v>
      </c>
    </row>
    <row r="22" spans="1:2">
      <c r="A22" s="3430" t="s">
        <v>22</v>
      </c>
      <c r="B22" s="3434" t="str">
        <f ca="1">'预评函-2（1）'!D8</f>
        <v>壹仟零玖拾陆万陆仟贰佰伍拾肆元整</v>
      </c>
    </row>
    <row r="23" spans="1:2">
      <c r="A23" s="3430" t="s">
        <v>23</v>
      </c>
      <c r="B23" s="3434">
        <f>'预评函-2（1）'!D10</f>
        <v>0</v>
      </c>
    </row>
    <row r="24" spans="1:2">
      <c r="A24" s="3430" t="s">
        <v>24</v>
      </c>
      <c r="B24" s="3434" t="str">
        <f>'预评函-2（1）'!C10</f>
        <v>总额（元）</v>
      </c>
    </row>
    <row r="25" spans="1:2">
      <c r="A25" s="3430" t="s">
        <v>25</v>
      </c>
      <c r="B25" s="3434" t="str">
        <f>'预评函-2（1）'!D11</f>
        <v>零元整</v>
      </c>
    </row>
    <row r="26" spans="1:2">
      <c r="A26" s="3430" t="s">
        <v>26</v>
      </c>
      <c r="B26" s="3434">
        <f>'预评函-2（1）'!D12</f>
        <v>0</v>
      </c>
    </row>
    <row r="27" spans="1:2">
      <c r="A27" s="3430" t="s">
        <v>27</v>
      </c>
      <c r="B27" s="3434">
        <f>'预评函-2（1）'!D13</f>
        <v>0</v>
      </c>
    </row>
    <row r="28" spans="1:2">
      <c r="A28" s="3430" t="s">
        <v>28</v>
      </c>
      <c r="B28" s="3434">
        <f>'预评函-2（1）'!D14</f>
        <v>0</v>
      </c>
    </row>
    <row r="29" spans="1:2">
      <c r="A29" s="3430" t="s">
        <v>29</v>
      </c>
      <c r="B29" s="3434">
        <f ca="1">'预评函-2（1）'!D15</f>
        <v>10966254</v>
      </c>
    </row>
    <row r="30" spans="1:2">
      <c r="A30" s="3430" t="s">
        <v>30</v>
      </c>
      <c r="B30" s="3434" t="str">
        <f ca="1">'预评函-2（1）'!D16</f>
        <v>壹仟零玖拾陆万陆仟贰佰伍拾肆元整</v>
      </c>
    </row>
    <row r="31" spans="1:2">
      <c r="A31" s="3430" t="s">
        <v>31</v>
      </c>
      <c r="B31" s="3434" t="str">
        <f ca="1">'预评函-2（1）'!D18</f>
        <v>——</v>
      </c>
    </row>
    <row r="32" spans="1:2">
      <c r="A32" s="3430" t="s">
        <v>32</v>
      </c>
      <c r="B32" s="3434" t="e">
        <f ca="1">'预评函-2（1）'!D19</f>
        <v>#VALUE!</v>
      </c>
    </row>
    <row r="33" spans="1:2">
      <c r="A33" s="3430" t="s">
        <v>33</v>
      </c>
      <c r="B33" s="3434" t="str">
        <f ca="1">'预评函-2（1）'!D21</f>
        <v>——</v>
      </c>
    </row>
    <row r="34" spans="1:2">
      <c r="A34" s="3430" t="s">
        <v>34</v>
      </c>
      <c r="B34" s="3434" t="str">
        <f ca="1">'预评函-2（1）'!D23</f>
        <v>——</v>
      </c>
    </row>
    <row r="35" spans="1:2">
      <c r="A35" s="3430" t="s">
        <v>35</v>
      </c>
      <c r="B35" s="3434" t="e">
        <f ca="1">'预评函-2（1）'!D22</f>
        <v>#VALUE!</v>
      </c>
    </row>
    <row r="36" spans="1:2">
      <c r="A36" s="3430" t="s">
        <v>36</v>
      </c>
      <c r="B36" s="3434">
        <f>'预评函-2（2）'!C4</f>
        <v>0</v>
      </c>
    </row>
    <row r="37" spans="1:2">
      <c r="A37" s="3430" t="s">
        <v>37</v>
      </c>
      <c r="B37" s="3434">
        <f ca="1">'预评函-2（2）'!D4</f>
        <v>9869678</v>
      </c>
    </row>
    <row r="38" spans="1:2">
      <c r="A38" s="3430" t="s">
        <v>38</v>
      </c>
      <c r="B38" s="3434">
        <f ca="1">'预评函-2（2）'!E4</f>
        <v>59907</v>
      </c>
    </row>
    <row r="39" spans="1:2">
      <c r="A39" s="3430" t="s">
        <v>39</v>
      </c>
      <c r="B39" s="3434" t="str">
        <f ca="1">'预评函-2（2）'!D5</f>
        <v>玖佰捌拾陆万玖仟陆佰柒拾捌元整</v>
      </c>
    </row>
    <row r="40" spans="1:2">
      <c r="A40" s="3430" t="s">
        <v>40</v>
      </c>
      <c r="B40" s="3434">
        <f ca="1">'预评函-2（2）'!F4</f>
        <v>1096576</v>
      </c>
    </row>
    <row r="41" spans="1:2">
      <c r="A41" s="3430" t="s">
        <v>41</v>
      </c>
      <c r="B41" s="3434">
        <f ca="1">'预评函-2（2）'!G4</f>
        <v>6656</v>
      </c>
    </row>
    <row r="42" s="3421" customFormat="1" ht="15.75" spans="1:2">
      <c r="A42" s="3432" t="s">
        <v>42</v>
      </c>
      <c r="B42" s="3436" t="str">
        <f ca="1">'预评函-2（2）'!F5</f>
        <v>壹佰零玖万陆仟伍佰柒拾陆元整</v>
      </c>
    </row>
    <row r="43" ht="15.75" spans="1:2">
      <c r="A43" s="3428" t="s">
        <v>43</v>
      </c>
      <c r="B43" s="3437" t="str">
        <f>'预评函-3'!A13</f>
        <v>2.本次评估设定估价对象房地产权属无争议，未被查封或者以其他形式限制其房地产权利，未设定抵押权等他项权利，不涉及第三方权利义务。</v>
      </c>
    </row>
    <row r="44" spans="1:2">
      <c r="A44" s="3430" t="s">
        <v>44</v>
      </c>
      <c r="B44" s="3434" t="str">
        <f>'预评函-3'!A14</f>
        <v>——</v>
      </c>
    </row>
    <row r="45" spans="1:2">
      <c r="A45" s="3430" t="s">
        <v>45</v>
      </c>
      <c r="B45" s="3434" t="str">
        <f>'预评函-3'!A15</f>
        <v>——</v>
      </c>
    </row>
    <row r="46" spans="1:2">
      <c r="A46" s="3430" t="s">
        <v>46</v>
      </c>
      <c r="B46" s="3434" t="str">
        <f>'预评函-3'!A16</f>
        <v>——</v>
      </c>
    </row>
    <row r="47" spans="1:2">
      <c r="A47" s="3430" t="s">
        <v>47</v>
      </c>
      <c r="B47" s="343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30" t="s">
        <v>48</v>
      </c>
      <c r="B48" s="3434" t="str">
        <f>'预评函-3'!A18</f>
        <v>——</v>
      </c>
    </row>
    <row r="49" spans="1:2">
      <c r="A49" s="3430" t="s">
        <v>49</v>
      </c>
      <c r="B49" s="343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30" t="s">
        <v>50</v>
      </c>
      <c r="B50" s="3434" t="str">
        <f>'预评函-3'!A20</f>
        <v>6.其他需特殊说明事项：（没有时删除此项；注意修改序号）</v>
      </c>
    </row>
    <row r="51" s="3421" customFormat="1" spans="1:2">
      <c r="A51" s="3432" t="s">
        <v>51</v>
      </c>
      <c r="B51" s="3438">
        <f>'预评函-3'!D29</f>
        <v>42551</v>
      </c>
    </row>
    <row r="52" ht="15.75" spans="1:2">
      <c r="A52" s="3428" t="s">
        <v>52</v>
      </c>
      <c r="B52" s="3439" t="str">
        <f>'预评函-3'!A4</f>
        <v>陈颖</v>
      </c>
    </row>
    <row r="53" spans="1:2">
      <c r="A53" s="3430" t="s">
        <v>53</v>
      </c>
      <c r="B53" s="3434">
        <f ca="1">'预评函-3'!B4</f>
        <v>1120060040</v>
      </c>
    </row>
    <row r="54" spans="1:2">
      <c r="A54" s="3430" t="s">
        <v>54</v>
      </c>
      <c r="B54" s="3440">
        <f>'预评函-3'!A5</f>
        <v>0</v>
      </c>
    </row>
    <row r="55" s="3421" customFormat="1" ht="15.75" spans="1:2">
      <c r="A55" s="3432" t="s">
        <v>55</v>
      </c>
      <c r="B55" s="3436">
        <f ca="1">'预评函-3'!B5</f>
        <v>0</v>
      </c>
    </row>
    <row r="56" ht="15.75" spans="1:2">
      <c r="A56" s="3441" t="s">
        <v>56</v>
      </c>
      <c r="B56" s="3434" t="str">
        <f>'预评函-2（1）'!B15</f>
        <v>3.房地产抵押价值</v>
      </c>
    </row>
    <row r="57" spans="1:2">
      <c r="A57" s="3441" t="s">
        <v>57</v>
      </c>
      <c r="B57" s="3434" t="str">
        <f>'预评函-2（1）'!B18</f>
        <v>——</v>
      </c>
    </row>
    <row r="58" s="3421" customFormat="1" ht="15.75" spans="1:2">
      <c r="A58" s="3442" t="s">
        <v>58</v>
      </c>
      <c r="B58" s="3435" t="str">
        <f>'预评函-2（1）'!B21</f>
        <v>——</v>
      </c>
    </row>
    <row r="59" ht="15.75" spans="1:2">
      <c r="A59" s="3443" t="s">
        <v>59</v>
      </c>
      <c r="B59" s="3431" t="str">
        <f>'预评函-2（1）'!B45</f>
        <v>单位：元、元/平方米（单位：人民币）</v>
      </c>
    </row>
    <row r="60" spans="1:2">
      <c r="A60" s="3441" t="s">
        <v>60</v>
      </c>
      <c r="B60" s="3434" t="str">
        <f>'预评函-2（2）'!D2</f>
        <v>出让国有建设用地使用权价值</v>
      </c>
    </row>
    <row r="61" s="3422" customFormat="1" spans="1:2">
      <c r="A61" s="3441" t="s">
        <v>61</v>
      </c>
      <c r="B61" s="3434" t="str">
        <f>'预评函-2（2）'!A14</f>
        <v>单位：平方米、元、元/平方米（币种：人民币）</v>
      </c>
    </row>
    <row r="62" ht="28.5" spans="1:2">
      <c r="A62" s="3441" t="s">
        <v>62</v>
      </c>
      <c r="B62" s="3434">
        <f ca="1">'预评函-2（1）'!D38</f>
        <v>66563</v>
      </c>
    </row>
    <row r="63" s="3422" customFormat="1" ht="28.5" spans="1:2">
      <c r="A63" s="3441" t="s">
        <v>63</v>
      </c>
      <c r="B63" s="3434" t="str">
        <f ca="1">'预评函-2（1）'!D41</f>
        <v>——</v>
      </c>
    </row>
    <row r="64" spans="1:2">
      <c r="A64" s="3441" t="s">
        <v>64</v>
      </c>
      <c r="B64" s="3434" t="str">
        <f>'预评函-2（2）'!A6</f>
        <v>估价师所知悉的法定优先受偿款</v>
      </c>
    </row>
    <row r="65" spans="1:2">
      <c r="A65" s="3441" t="s">
        <v>65</v>
      </c>
      <c r="B65" s="3434" t="str">
        <f>'预评函-2（2）'!A8</f>
        <v>房地产抵押价值</v>
      </c>
    </row>
    <row r="66" spans="1:2">
      <c r="A66" s="3441" t="s">
        <v>66</v>
      </c>
      <c r="B66" s="3434" t="str">
        <f>'预评函-2（2）'!A10</f>
        <v/>
      </c>
    </row>
    <row r="67" s="3421" customFormat="1" ht="15.75" spans="1:2">
      <c r="A67" s="3442" t="s">
        <v>67</v>
      </c>
      <c r="B67" s="3435" t="str">
        <f>'预评函-2（2）'!A12</f>
        <v/>
      </c>
    </row>
    <row r="68" ht="15.75" spans="1:2">
      <c r="A68" s="3423" t="s">
        <v>68</v>
      </c>
      <c r="B68" s="3424" t="str">
        <f>'预评函-3'!A9</f>
        <v>XX</v>
      </c>
    </row>
    <row r="69" spans="1:1">
      <c r="A69" s="3430" t="s">
        <v>69</v>
      </c>
    </row>
    <row r="70" spans="1:1">
      <c r="A70" s="3430"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3" sqref="C13"/>
    </sheetView>
  </sheetViews>
  <sheetFormatPr defaultColWidth="10" defaultRowHeight="12.75"/>
  <cols>
    <col min="1" max="1" width="18.625" style="3094" customWidth="1"/>
    <col min="2" max="2" width="15" style="3094" customWidth="1"/>
    <col min="3" max="3" width="14.125" style="3094" customWidth="1"/>
    <col min="4" max="4" width="12.5" style="3094" customWidth="1"/>
    <col min="5" max="5" width="13.875" style="3094" customWidth="1"/>
    <col min="6" max="6" width="15" style="3094" customWidth="1"/>
    <col min="7" max="7" width="14.875" style="3094" customWidth="1"/>
    <col min="8" max="8" width="4.25" style="3095" customWidth="1"/>
    <col min="9" max="10" width="10" style="3095" customWidth="1"/>
    <col min="11" max="13" width="10" style="3096" customWidth="1"/>
    <col min="14" max="15" width="10" style="3095" customWidth="1"/>
    <col min="16" max="17" width="10" style="3095"/>
    <col min="18" max="18" width="10" style="3095" customWidth="1"/>
    <col min="19" max="66" width="10" style="3095"/>
    <col min="67" max="16384" width="10" style="3094"/>
  </cols>
  <sheetData>
    <row r="1" ht="13.5" spans="1:17">
      <c r="A1" s="3097" t="s">
        <v>330</v>
      </c>
      <c r="B1" s="3098" t="str">
        <f>IF(B6="北京市","北京市",C6)&amp;IF(E12="房屋所有权证",B29,E29)&amp;D5&amp;"预评估"</f>
        <v>北京市预评估</v>
      </c>
      <c r="C1" s="3099"/>
      <c r="D1" s="3099"/>
      <c r="E1" s="3099"/>
      <c r="F1" s="3100" t="s">
        <v>331</v>
      </c>
      <c r="G1" s="3101"/>
      <c r="I1" s="3233" t="str">
        <f>IF(B6="北京市","北京市",C6)&amp;IF(E12="房屋所有权证",B29,E29)&amp;"房地产"</f>
        <v>北京市房地产</v>
      </c>
      <c r="J1" s="3234"/>
      <c r="K1" s="3235"/>
      <c r="L1" s="3235"/>
      <c r="M1" s="3235"/>
      <c r="N1" s="3234"/>
      <c r="O1" s="3234"/>
      <c r="P1" s="3234"/>
      <c r="Q1" s="3234"/>
    </row>
    <row r="2" ht="13.5" spans="1:8">
      <c r="A2" s="3102" t="s">
        <v>332</v>
      </c>
      <c r="B2" s="3103"/>
      <c r="C2" s="3104" t="s">
        <v>333</v>
      </c>
      <c r="D2" s="3103">
        <v>44490</v>
      </c>
      <c r="E2" s="3105"/>
      <c r="F2" s="3105"/>
      <c r="G2" s="3106"/>
      <c r="H2" s="3107"/>
    </row>
    <row r="3" ht="13.5" spans="1:8">
      <c r="A3" s="3108" t="s">
        <v>334</v>
      </c>
      <c r="B3" s="3109" t="s">
        <v>176</v>
      </c>
      <c r="C3" s="3110">
        <f ca="1">SUMIF(注册房地产估价师,B3,估价师及机构信息!B3:B16)</f>
        <v>1120060040</v>
      </c>
      <c r="D3" s="3109"/>
      <c r="E3" s="3111">
        <f ca="1">SUMIF(注册房地产估价师,D3,估价师及机构信息!B3:B16)</f>
        <v>0</v>
      </c>
      <c r="F3" s="3112"/>
      <c r="G3" s="3113"/>
      <c r="H3" s="3107"/>
    </row>
    <row r="4" ht="13.5" customHeight="1" spans="1:7">
      <c r="A4" s="3102" t="s">
        <v>335</v>
      </c>
      <c r="B4" s="3114" t="s">
        <v>336</v>
      </c>
      <c r="C4" s="3115" t="s">
        <v>337</v>
      </c>
      <c r="D4" s="3116"/>
      <c r="E4" s="3105"/>
      <c r="F4" s="3105"/>
      <c r="G4" s="3106"/>
    </row>
    <row r="5" spans="1:17">
      <c r="A5" s="3117" t="s">
        <v>338</v>
      </c>
      <c r="B5" s="3118" t="s">
        <v>120</v>
      </c>
      <c r="C5" s="3119" t="s">
        <v>339</v>
      </c>
      <c r="D5" s="3120"/>
      <c r="E5" s="3121" t="s">
        <v>340</v>
      </c>
      <c r="F5" s="3120"/>
      <c r="G5" s="3122"/>
      <c r="I5" s="3233" t="str">
        <f>IF(C16="否","截至估价时点，估价对象抵押权未见登记。","截至价值时点，估价对象已设定抵押。")</f>
        <v>截至价值时点，估价对象已设定抵押。</v>
      </c>
      <c r="J5" s="3234"/>
      <c r="K5" s="3235"/>
      <c r="L5" s="3235"/>
      <c r="M5" s="3235"/>
      <c r="N5" s="3234"/>
      <c r="O5" s="3234"/>
      <c r="P5" s="3234"/>
      <c r="Q5" s="3234"/>
    </row>
    <row r="6" spans="1:17">
      <c r="A6" s="3123" t="s">
        <v>341</v>
      </c>
      <c r="B6" s="3124" t="s">
        <v>342</v>
      </c>
      <c r="C6" s="3125" t="s">
        <v>120</v>
      </c>
      <c r="D6" s="3126" t="s">
        <v>343</v>
      </c>
      <c r="E6" s="3127"/>
      <c r="F6" s="3127"/>
      <c r="G6" s="3128"/>
      <c r="I6" s="3234" t="str">
        <f>IF(COUNTIF(B5,"*上海银行*"),"上海银行","")</f>
        <v/>
      </c>
      <c r="J6" s="3234"/>
      <c r="K6" s="3235"/>
      <c r="L6" s="3235"/>
      <c r="M6" s="3235"/>
      <c r="N6" s="3234"/>
      <c r="O6" s="3234"/>
      <c r="P6" s="3234"/>
      <c r="Q6" s="3234"/>
    </row>
    <row r="7" ht="13.5" spans="1:7">
      <c r="A7" s="3129" t="s">
        <v>344</v>
      </c>
      <c r="B7" s="3130" t="s">
        <v>345</v>
      </c>
      <c r="C7" s="2137" t="str">
        <f>IF(B7="自然人","姓名","名称")</f>
        <v>姓名</v>
      </c>
      <c r="D7" s="3131" t="s">
        <v>120</v>
      </c>
      <c r="E7" s="3112"/>
      <c r="F7" s="3112"/>
      <c r="G7" s="3113"/>
    </row>
    <row r="8" ht="13.5" spans="1:7">
      <c r="A8" s="3132" t="s">
        <v>346</v>
      </c>
      <c r="B8" s="3133" t="s">
        <v>347</v>
      </c>
      <c r="C8" s="3134"/>
      <c r="D8" s="3135"/>
      <c r="E8" s="3136" t="s">
        <v>348</v>
      </c>
      <c r="F8" s="3137" t="s">
        <v>349</v>
      </c>
      <c r="G8" s="3138" t="str">
        <f>C6</f>
        <v>XX</v>
      </c>
    </row>
    <row r="9" spans="1:7">
      <c r="A9" s="3132"/>
      <c r="B9" s="2158" t="s">
        <v>350</v>
      </c>
      <c r="C9" s="3118"/>
      <c r="D9" s="3139"/>
      <c r="E9" s="3140" t="s">
        <v>351</v>
      </c>
      <c r="F9" s="3141"/>
      <c r="G9" s="3142"/>
    </row>
    <row r="10" ht="13.5" spans="1:7">
      <c r="A10" s="3132"/>
      <c r="B10" s="2158" t="s">
        <v>352</v>
      </c>
      <c r="C10" s="3143"/>
      <c r="D10" s="3144"/>
      <c r="E10" s="3145" t="s">
        <v>353</v>
      </c>
      <c r="F10" s="3146"/>
      <c r="G10" s="3147"/>
    </row>
    <row r="11" ht="13.5" spans="1:7">
      <c r="A11" s="3132"/>
      <c r="B11" s="2114" t="s">
        <v>354</v>
      </c>
      <c r="C11" s="3148"/>
      <c r="D11" s="3149"/>
      <c r="E11" s="3127"/>
      <c r="F11" s="3127"/>
      <c r="G11" s="3128"/>
    </row>
    <row r="12" ht="13.5" spans="1:7">
      <c r="A12" s="3150" t="s">
        <v>355</v>
      </c>
      <c r="B12" s="3151" t="s">
        <v>356</v>
      </c>
      <c r="C12" s="3152">
        <v>164.75</v>
      </c>
      <c r="D12" s="3153" t="s">
        <v>357</v>
      </c>
      <c r="E12" s="3154" t="s">
        <v>358</v>
      </c>
      <c r="F12" s="3155"/>
      <c r="G12" s="3128"/>
    </row>
    <row r="13" ht="21" customHeight="1" spans="1:17">
      <c r="A13" s="3156"/>
      <c r="B13" s="3157" t="s">
        <v>359</v>
      </c>
      <c r="C13" s="3158"/>
      <c r="D13" s="3159" t="s">
        <v>357</v>
      </c>
      <c r="E13" s="3160"/>
      <c r="F13" s="3127"/>
      <c r="G13" s="3128"/>
      <c r="I13" s="3127" t="s">
        <v>360</v>
      </c>
      <c r="J13" s="3236" t="str">
        <f>"根据估价对象"&amp;IF(B19="——",B18&amp;C18,B18&amp;C18&amp;"、"&amp;B19&amp;C19)&amp;"，"&amp;IF(C16="是","截至价值时点，估价对象已设定抵押。","截至价值时点，估价对象抵押权未见登记。")</f>
        <v>根据估价对象、，截至价值时点，估价对象抵押权未见登记。</v>
      </c>
      <c r="K13" s="3235"/>
      <c r="L13" s="3235"/>
      <c r="M13" s="3235"/>
      <c r="N13" s="3234"/>
      <c r="O13" s="3234"/>
      <c r="P13" s="3234"/>
      <c r="Q13" s="3234"/>
    </row>
    <row r="14" ht="13.5" spans="1:17">
      <c r="A14" s="3161"/>
      <c r="B14" s="3153" t="s">
        <v>361</v>
      </c>
      <c r="C14" s="3162"/>
      <c r="D14" s="3127"/>
      <c r="E14" s="3127"/>
      <c r="F14" s="3127"/>
      <c r="G14" s="3128"/>
      <c r="I14" s="3127"/>
      <c r="J14" s="32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35"/>
      <c r="L14" s="3235"/>
      <c r="M14" s="3235"/>
      <c r="N14" s="3234"/>
      <c r="O14" s="3234"/>
      <c r="P14" s="3234"/>
      <c r="Q14" s="3234"/>
    </row>
    <row r="15" ht="13.5" spans="1:17">
      <c r="A15" s="3163"/>
      <c r="B15" s="3164" t="s">
        <v>362</v>
      </c>
      <c r="C15" s="3165">
        <v>1</v>
      </c>
      <c r="D15" s="3112"/>
      <c r="E15" s="3112"/>
      <c r="F15" s="3112"/>
      <c r="G15" s="3113"/>
      <c r="I15" s="3127"/>
      <c r="J15" s="32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35"/>
      <c r="L15" s="3235"/>
      <c r="M15" s="3235"/>
      <c r="N15" s="3234"/>
      <c r="O15" s="3234"/>
      <c r="P15" s="3234"/>
      <c r="Q15" s="3234"/>
    </row>
    <row r="16" ht="25.5" spans="1:10">
      <c r="A16" s="3161" t="s">
        <v>363</v>
      </c>
      <c r="B16" s="3166" t="s">
        <v>364</v>
      </c>
      <c r="C16" s="3167"/>
      <c r="D16" s="3156" t="s">
        <v>365</v>
      </c>
      <c r="E16" s="3168"/>
      <c r="F16" s="3169" t="str">
        <f>IF(AND(C16="是",E16="否"),"是否提供他项权证或相关说明","")</f>
        <v/>
      </c>
      <c r="G16" s="3168"/>
      <c r="J16" s="3107"/>
    </row>
    <row r="17" ht="13.5" customHeight="1" spans="1:10">
      <c r="A17" s="3170" t="s">
        <v>366</v>
      </c>
      <c r="B17" s="3171" t="s">
        <v>367</v>
      </c>
      <c r="C17" s="3172"/>
      <c r="D17" s="3173" t="s">
        <v>368</v>
      </c>
      <c r="E17" s="3174"/>
      <c r="F17" s="3175" t="s">
        <v>369</v>
      </c>
      <c r="G17" s="3176"/>
      <c r="J17" s="3107"/>
    </row>
    <row r="18" ht="24" spans="1:10">
      <c r="A18" s="3170"/>
      <c r="B18" s="3177"/>
      <c r="C18" s="3122"/>
      <c r="D18" s="3178" t="s">
        <v>370</v>
      </c>
      <c r="E18" s="3179"/>
      <c r="F18" s="3180"/>
      <c r="G18" s="3181"/>
      <c r="H18" s="3107"/>
      <c r="J18" s="3107"/>
    </row>
    <row r="19" ht="21.75" customHeight="1" spans="1:7">
      <c r="A19" s="3170"/>
      <c r="B19" s="3182"/>
      <c r="C19" s="3160"/>
      <c r="D19" s="3170"/>
      <c r="E19" s="3127"/>
      <c r="F19" s="3127"/>
      <c r="G19" s="3181"/>
    </row>
    <row r="20" spans="1:7">
      <c r="A20" s="3176" t="s">
        <v>371</v>
      </c>
      <c r="B20" s="3183" t="s">
        <v>372</v>
      </c>
      <c r="C20" s="3184"/>
      <c r="D20" s="3185" t="s">
        <v>372</v>
      </c>
      <c r="E20" s="3184"/>
      <c r="F20" s="3127"/>
      <c r="G20" s="3181"/>
    </row>
    <row r="21" spans="1:7">
      <c r="A21" s="3181"/>
      <c r="B21" s="3186" t="s">
        <v>373</v>
      </c>
      <c r="C21" s="3144"/>
      <c r="D21" s="3170" t="s">
        <v>373</v>
      </c>
      <c r="E21" s="3187"/>
      <c r="F21" s="3127"/>
      <c r="G21" s="3181"/>
    </row>
    <row r="22" spans="1:7">
      <c r="A22" s="3181"/>
      <c r="B22" s="3127" t="s">
        <v>374</v>
      </c>
      <c r="C22" s="3188"/>
      <c r="D22" s="3127" t="s">
        <v>374</v>
      </c>
      <c r="E22" s="3187"/>
      <c r="F22" s="3127"/>
      <c r="G22" s="3181"/>
    </row>
    <row r="23" s="3090" customFormat="1" ht="16.5" spans="1:66">
      <c r="A23" s="3189"/>
      <c r="B23" s="3190" t="s">
        <v>375</v>
      </c>
      <c r="C23" s="3158"/>
      <c r="D23" s="3190" t="s">
        <v>375</v>
      </c>
      <c r="E23" s="3191"/>
      <c r="F23" s="3190"/>
      <c r="G23" s="3189"/>
      <c r="H23" s="3192"/>
      <c r="I23" s="3192"/>
      <c r="J23" s="3192"/>
      <c r="K23" s="3237"/>
      <c r="L23" s="3237"/>
      <c r="M23" s="3237"/>
      <c r="N23" s="3237"/>
      <c r="O23" s="3237"/>
      <c r="P23" s="3237"/>
      <c r="Q23" s="3192"/>
      <c r="R23" s="3192"/>
      <c r="S23" s="3192"/>
      <c r="T23" s="3192"/>
      <c r="U23" s="3192"/>
      <c r="V23" s="3192"/>
      <c r="W23" s="3192"/>
      <c r="X23" s="3192"/>
      <c r="Y23" s="3192"/>
      <c r="Z23" s="3192"/>
      <c r="AA23" s="3192"/>
      <c r="AB23" s="3192"/>
      <c r="AC23" s="3192"/>
      <c r="AD23" s="3192"/>
      <c r="AE23" s="3192"/>
      <c r="AF23" s="3192"/>
      <c r="AG23" s="3192"/>
      <c r="AH23" s="3192"/>
      <c r="AI23" s="3192"/>
      <c r="AJ23" s="3192"/>
      <c r="AK23" s="3192"/>
      <c r="AL23" s="3192"/>
      <c r="AM23" s="3192"/>
      <c r="AN23" s="3192"/>
      <c r="AO23" s="3192"/>
      <c r="AP23" s="3192"/>
      <c r="AQ23" s="3192"/>
      <c r="AR23" s="3192"/>
      <c r="AS23" s="3192"/>
      <c r="AT23" s="3192"/>
      <c r="AU23" s="3192"/>
      <c r="AV23" s="3192"/>
      <c r="AW23" s="3192"/>
      <c r="AX23" s="3192"/>
      <c r="AY23" s="3192"/>
      <c r="AZ23" s="3192"/>
      <c r="BA23" s="3192"/>
      <c r="BB23" s="3192"/>
      <c r="BC23" s="3192"/>
      <c r="BD23" s="3192"/>
      <c r="BE23" s="3192"/>
      <c r="BF23" s="3192"/>
      <c r="BG23" s="3192"/>
      <c r="BH23" s="3192"/>
      <c r="BI23" s="3192"/>
      <c r="BJ23" s="3192"/>
      <c r="BK23" s="3192"/>
      <c r="BL23" s="3192"/>
      <c r="BM23" s="3192"/>
      <c r="BN23" s="3192"/>
    </row>
    <row r="24" s="3091" customFormat="1" ht="18" customHeight="1" spans="1:66">
      <c r="A24" s="3193" t="s">
        <v>376</v>
      </c>
      <c r="B24" s="3193"/>
      <c r="C24" s="3193"/>
      <c r="D24" s="3193"/>
      <c r="E24" s="3193"/>
      <c r="F24" s="3193"/>
      <c r="G24" s="3193"/>
      <c r="H24" s="3194"/>
      <c r="I24" s="3194"/>
      <c r="J24" s="3194"/>
      <c r="K24" s="3238"/>
      <c r="L24" s="3238"/>
      <c r="M24" s="3238"/>
      <c r="N24" s="3238"/>
      <c r="O24" s="3238"/>
      <c r="P24" s="3238"/>
      <c r="Q24" s="3241"/>
      <c r="R24" s="3241"/>
      <c r="S24" s="3241"/>
      <c r="T24" s="3241"/>
      <c r="U24" s="3241"/>
      <c r="V24" s="3241"/>
      <c r="W24" s="3241"/>
      <c r="X24" s="3241"/>
      <c r="Y24" s="3241"/>
      <c r="Z24" s="3241"/>
      <c r="AA24" s="3241"/>
      <c r="AB24" s="3241"/>
      <c r="AC24" s="3241"/>
      <c r="AD24" s="3241"/>
      <c r="AE24" s="3241"/>
      <c r="AF24" s="3241"/>
      <c r="AG24" s="3241"/>
      <c r="AH24" s="3241"/>
      <c r="AI24" s="3241"/>
      <c r="AJ24" s="3241"/>
      <c r="AK24" s="3241"/>
      <c r="AL24" s="3241"/>
      <c r="AM24" s="3241"/>
      <c r="AN24" s="3241"/>
      <c r="AO24" s="3241"/>
      <c r="AP24" s="3241"/>
      <c r="AQ24" s="3241"/>
      <c r="AR24" s="3241"/>
      <c r="AS24" s="3241"/>
      <c r="AT24" s="3241"/>
      <c r="AU24" s="3241"/>
      <c r="AV24" s="3241"/>
      <c r="AW24" s="3241"/>
      <c r="AX24" s="3241"/>
      <c r="AY24" s="3241"/>
      <c r="AZ24" s="3241"/>
      <c r="BA24" s="3241"/>
      <c r="BB24" s="3241"/>
      <c r="BC24" s="3241"/>
      <c r="BD24" s="3241"/>
      <c r="BE24" s="3241"/>
      <c r="BF24" s="3241"/>
      <c r="BG24" s="3241"/>
      <c r="BH24" s="3241"/>
      <c r="BI24" s="3241"/>
      <c r="BJ24" s="3241"/>
      <c r="BK24" s="3241"/>
      <c r="BL24" s="3241"/>
      <c r="BM24" s="3241"/>
      <c r="BN24" s="3241"/>
    </row>
    <row r="25" ht="14.25" spans="1:11">
      <c r="A25" s="3195" t="s">
        <v>377</v>
      </c>
      <c r="B25" s="3127"/>
      <c r="C25" s="3127"/>
      <c r="D25" s="3127"/>
      <c r="E25" s="3127"/>
      <c r="F25" s="3127"/>
      <c r="G25" s="3189"/>
      <c r="K25" s="3095"/>
    </row>
    <row r="26" s="3092" customFormat="1" ht="13.5" spans="1:66">
      <c r="A26" s="3196"/>
      <c r="B26" s="3197" t="s">
        <v>378</v>
      </c>
      <c r="C26" s="3196"/>
      <c r="D26" s="3197"/>
      <c r="E26" s="3198" t="s">
        <v>379</v>
      </c>
      <c r="F26" s="3196"/>
      <c r="G26" s="3199" t="s">
        <v>380</v>
      </c>
      <c r="H26" s="3200"/>
      <c r="I26" s="3200"/>
      <c r="J26" s="3200"/>
      <c r="K26" s="3200"/>
      <c r="L26" s="3239"/>
      <c r="M26" s="3239"/>
      <c r="N26" s="3200"/>
      <c r="O26" s="3200"/>
      <c r="P26" s="3200"/>
      <c r="Q26" s="3200"/>
      <c r="R26" s="3200"/>
      <c r="S26" s="3200"/>
      <c r="T26" s="3200"/>
      <c r="U26" s="3200"/>
      <c r="V26" s="3200"/>
      <c r="W26" s="3200"/>
      <c r="X26" s="3200"/>
      <c r="Y26" s="3200"/>
      <c r="Z26" s="3200"/>
      <c r="AA26" s="3200"/>
      <c r="AB26" s="3200"/>
      <c r="AC26" s="3200"/>
      <c r="AD26" s="3200"/>
      <c r="AE26" s="3200"/>
      <c r="AF26" s="3200"/>
      <c r="AG26" s="3200"/>
      <c r="AH26" s="3200"/>
      <c r="AI26" s="3200"/>
      <c r="AJ26" s="3200"/>
      <c r="AK26" s="3200"/>
      <c r="AL26" s="3200"/>
      <c r="AM26" s="3200"/>
      <c r="AN26" s="3200"/>
      <c r="AO26" s="3200"/>
      <c r="AP26" s="3200"/>
      <c r="AQ26" s="3200"/>
      <c r="AR26" s="3200"/>
      <c r="AS26" s="3200"/>
      <c r="AT26" s="3200"/>
      <c r="AU26" s="3200"/>
      <c r="AV26" s="3200"/>
      <c r="AW26" s="3200"/>
      <c r="AX26" s="3200"/>
      <c r="AY26" s="3200"/>
      <c r="AZ26" s="3200"/>
      <c r="BA26" s="3200"/>
      <c r="BB26" s="3200"/>
      <c r="BC26" s="3200"/>
      <c r="BD26" s="3200"/>
      <c r="BE26" s="3200"/>
      <c r="BF26" s="3200"/>
      <c r="BG26" s="3200"/>
      <c r="BH26" s="3200"/>
      <c r="BI26" s="3200"/>
      <c r="BJ26" s="3200"/>
      <c r="BK26" s="3200"/>
      <c r="BL26" s="3200"/>
      <c r="BM26" s="3200"/>
      <c r="BN26" s="3200"/>
    </row>
    <row r="27" s="3092" customFormat="1" ht="13.5" spans="1:66">
      <c r="A27" s="3196"/>
      <c r="B27" s="3201"/>
      <c r="C27" s="3196"/>
      <c r="D27" s="3197"/>
      <c r="E27" s="3201"/>
      <c r="F27" s="3196"/>
      <c r="G27" s="3202"/>
      <c r="H27" s="3200"/>
      <c r="I27" s="3200"/>
      <c r="J27" s="3200"/>
      <c r="K27" s="3200"/>
      <c r="L27" s="3239"/>
      <c r="M27" s="3239"/>
      <c r="N27" s="3200"/>
      <c r="O27" s="3200"/>
      <c r="P27" s="3200"/>
      <c r="Q27" s="3200"/>
      <c r="R27" s="3200"/>
      <c r="S27" s="3200"/>
      <c r="T27" s="3200"/>
      <c r="U27" s="3200"/>
      <c r="V27" s="3200"/>
      <c r="W27" s="3200"/>
      <c r="X27" s="3200"/>
      <c r="Y27" s="3200"/>
      <c r="Z27" s="3200"/>
      <c r="AA27" s="3200"/>
      <c r="AB27" s="3200"/>
      <c r="AC27" s="3200"/>
      <c r="AD27" s="3200"/>
      <c r="AE27" s="3200"/>
      <c r="AF27" s="3200"/>
      <c r="AG27" s="3200"/>
      <c r="AH27" s="3200"/>
      <c r="AI27" s="3200"/>
      <c r="AJ27" s="3200"/>
      <c r="AK27" s="3200"/>
      <c r="AL27" s="3200"/>
      <c r="AM27" s="3200"/>
      <c r="AN27" s="3200"/>
      <c r="AO27" s="3200"/>
      <c r="AP27" s="3200"/>
      <c r="AQ27" s="3200"/>
      <c r="AR27" s="3200"/>
      <c r="AS27" s="3200"/>
      <c r="AT27" s="3200"/>
      <c r="AU27" s="3200"/>
      <c r="AV27" s="3200"/>
      <c r="AW27" s="3200"/>
      <c r="AX27" s="3200"/>
      <c r="AY27" s="3200"/>
      <c r="AZ27" s="3200"/>
      <c r="BA27" s="3200"/>
      <c r="BB27" s="3200"/>
      <c r="BC27" s="3200"/>
      <c r="BD27" s="3200"/>
      <c r="BE27" s="3200"/>
      <c r="BF27" s="3200"/>
      <c r="BG27" s="3200"/>
      <c r="BH27" s="3200"/>
      <c r="BI27" s="3200"/>
      <c r="BJ27" s="3200"/>
      <c r="BK27" s="3200"/>
      <c r="BL27" s="3200"/>
      <c r="BM27" s="3200"/>
      <c r="BN27" s="3200"/>
    </row>
    <row r="28" spans="1:11">
      <c r="A28" s="3203" t="s">
        <v>381</v>
      </c>
      <c r="B28" s="3204"/>
      <c r="C28" s="3205" t="s">
        <v>381</v>
      </c>
      <c r="D28" s="3206"/>
      <c r="E28" s="3204"/>
      <c r="F28" s="3203" t="s">
        <v>381</v>
      </c>
      <c r="G28" s="3204"/>
      <c r="K28" s="3095"/>
    </row>
    <row r="29" spans="1:11">
      <c r="A29" s="3207" t="s">
        <v>382</v>
      </c>
      <c r="B29" s="3208"/>
      <c r="C29" s="3209" t="s">
        <v>383</v>
      </c>
      <c r="D29" s="3210"/>
      <c r="E29" s="3208"/>
      <c r="F29" s="3207" t="s">
        <v>383</v>
      </c>
      <c r="G29" s="3208"/>
      <c r="K29" s="3095"/>
    </row>
    <row r="30" spans="1:11">
      <c r="A30" s="3207" t="s">
        <v>384</v>
      </c>
      <c r="B30" s="3208"/>
      <c r="C30" s="3209" t="s">
        <v>384</v>
      </c>
      <c r="D30" s="3210"/>
      <c r="E30" s="3208"/>
      <c r="F30" s="3207" t="s">
        <v>385</v>
      </c>
      <c r="G30" s="3208"/>
      <c r="K30" s="3095"/>
    </row>
    <row r="31" spans="1:7">
      <c r="A31" s="3207" t="s">
        <v>386</v>
      </c>
      <c r="B31" s="3208"/>
      <c r="C31" s="3211" t="s">
        <v>387</v>
      </c>
      <c r="D31" s="3127"/>
      <c r="E31" s="3212" t="str">
        <f>E32&amp;" "&amp;E33&amp;" "&amp;E34&amp;" "&amp;E35</f>
        <v>   </v>
      </c>
      <c r="F31" s="3207" t="s">
        <v>388</v>
      </c>
      <c r="G31" s="3208"/>
    </row>
    <row r="32" spans="1:7">
      <c r="A32" s="3207" t="s">
        <v>389</v>
      </c>
      <c r="B32" s="3208"/>
      <c r="C32" s="3213"/>
      <c r="D32" s="2158" t="s">
        <v>390</v>
      </c>
      <c r="E32" s="3208"/>
      <c r="F32" s="3207" t="s">
        <v>391</v>
      </c>
      <c r="G32" s="3208"/>
    </row>
    <row r="33" ht="24.75" spans="1:7">
      <c r="A33" s="3214" t="s">
        <v>392</v>
      </c>
      <c r="B33" s="3215"/>
      <c r="C33" s="3213"/>
      <c r="D33" s="2158" t="s">
        <v>393</v>
      </c>
      <c r="E33" s="3208"/>
      <c r="F33" s="3207" t="s">
        <v>394</v>
      </c>
      <c r="G33" s="3208"/>
    </row>
    <row r="34" spans="1:7">
      <c r="A34" s="3203" t="s">
        <v>395</v>
      </c>
      <c r="B34" s="3204"/>
      <c r="C34" s="3213"/>
      <c r="D34" s="2158" t="s">
        <v>396</v>
      </c>
      <c r="E34" s="3208"/>
      <c r="F34" s="3207" t="s">
        <v>397</v>
      </c>
      <c r="G34" s="3208"/>
    </row>
    <row r="35" ht="13.5" spans="1:7">
      <c r="A35" s="3207" t="s">
        <v>398</v>
      </c>
      <c r="B35" s="3208"/>
      <c r="C35" s="3216"/>
      <c r="D35" s="2158" t="s">
        <v>399</v>
      </c>
      <c r="E35" s="3208"/>
      <c r="F35" s="3214" t="s">
        <v>400</v>
      </c>
      <c r="G35" s="3217"/>
    </row>
    <row r="36" spans="1:7">
      <c r="A36" s="3207" t="s">
        <v>356</v>
      </c>
      <c r="B36" s="3208"/>
      <c r="C36" s="3209" t="s">
        <v>401</v>
      </c>
      <c r="D36" s="3210"/>
      <c r="E36" s="3208"/>
      <c r="F36" s="3206" t="s">
        <v>402</v>
      </c>
      <c r="G36" s="3204"/>
    </row>
    <row r="37" ht="13.5" spans="1:7">
      <c r="A37" s="3207" t="s">
        <v>403</v>
      </c>
      <c r="B37" s="3208"/>
      <c r="C37" s="3218" t="s">
        <v>404</v>
      </c>
      <c r="D37" s="3219"/>
      <c r="E37" s="3215"/>
      <c r="F37" s="3210" t="s">
        <v>405</v>
      </c>
      <c r="G37" s="3208"/>
    </row>
    <row r="38" ht="13.5" spans="1:7">
      <c r="A38" s="3207" t="s">
        <v>406</v>
      </c>
      <c r="B38" s="3208"/>
      <c r="C38" s="3203" t="s">
        <v>407</v>
      </c>
      <c r="D38" s="3153" t="s">
        <v>391</v>
      </c>
      <c r="E38" s="3204"/>
      <c r="F38" s="3214" t="s">
        <v>408</v>
      </c>
      <c r="G38" s="3215"/>
    </row>
    <row r="39" spans="1:7">
      <c r="A39" s="3207" t="s">
        <v>409</v>
      </c>
      <c r="B39" s="3208"/>
      <c r="C39" s="3207"/>
      <c r="D39" s="2158" t="s">
        <v>398</v>
      </c>
      <c r="E39" s="3208"/>
      <c r="F39" s="3203" t="s">
        <v>410</v>
      </c>
      <c r="G39" s="3204"/>
    </row>
    <row r="40" spans="1:7">
      <c r="A40" s="3207" t="s">
        <v>411</v>
      </c>
      <c r="B40" s="3208"/>
      <c r="C40" s="3207" t="s">
        <v>412</v>
      </c>
      <c r="D40" s="2158" t="s">
        <v>356</v>
      </c>
      <c r="E40" s="3208"/>
      <c r="F40" s="3207" t="s">
        <v>413</v>
      </c>
      <c r="G40" s="3208"/>
    </row>
    <row r="41" ht="24.75" customHeight="1" spans="1:7">
      <c r="A41" s="3214" t="s">
        <v>414</v>
      </c>
      <c r="B41" s="3215"/>
      <c r="C41" s="3214"/>
      <c r="D41" s="3159" t="s">
        <v>359</v>
      </c>
      <c r="E41" s="3215"/>
      <c r="F41" s="3214" t="s">
        <v>415</v>
      </c>
      <c r="G41" s="3215"/>
    </row>
    <row r="42" spans="1:7">
      <c r="A42" s="3220" t="s">
        <v>416</v>
      </c>
      <c r="B42" s="3221"/>
      <c r="C42" s="3222" t="s">
        <v>416</v>
      </c>
      <c r="D42" s="3223"/>
      <c r="E42" s="3221"/>
      <c r="F42" s="3203" t="s">
        <v>417</v>
      </c>
      <c r="G42" s="3221"/>
    </row>
    <row r="43" spans="1:7">
      <c r="A43" s="3132" t="s">
        <v>418</v>
      </c>
      <c r="B43" s="3224"/>
      <c r="C43" s="3170"/>
      <c r="D43" s="3186"/>
      <c r="E43" s="3224"/>
      <c r="F43" s="3132"/>
      <c r="G43" s="3224"/>
    </row>
    <row r="44" spans="1:7">
      <c r="A44" s="3132" t="s">
        <v>372</v>
      </c>
      <c r="B44" s="3225"/>
      <c r="C44" s="3170"/>
      <c r="D44" s="2125" t="s">
        <v>372</v>
      </c>
      <c r="E44" s="3225"/>
      <c r="F44" s="3132" t="s">
        <v>372</v>
      </c>
      <c r="G44" s="3225"/>
    </row>
    <row r="45" spans="1:7">
      <c r="A45" s="3132" t="s">
        <v>373</v>
      </c>
      <c r="B45" s="3225"/>
      <c r="C45" s="3170"/>
      <c r="D45" s="3186" t="s">
        <v>373</v>
      </c>
      <c r="E45" s="3225"/>
      <c r="F45" s="3132" t="s">
        <v>373</v>
      </c>
      <c r="G45" s="3225"/>
    </row>
    <row r="46" spans="1:7">
      <c r="A46" s="3132" t="s">
        <v>374</v>
      </c>
      <c r="B46" s="3225"/>
      <c r="C46" s="3170"/>
      <c r="D46" s="3186" t="s">
        <v>374</v>
      </c>
      <c r="E46" s="3225"/>
      <c r="F46" s="3132" t="s">
        <v>374</v>
      </c>
      <c r="G46" s="3225"/>
    </row>
    <row r="47" spans="1:7">
      <c r="A47" s="3132" t="s">
        <v>375</v>
      </c>
      <c r="B47" s="3225"/>
      <c r="C47" s="3170"/>
      <c r="D47" s="3186" t="s">
        <v>375</v>
      </c>
      <c r="E47" s="3225"/>
      <c r="F47" s="3132" t="s">
        <v>375</v>
      </c>
      <c r="G47" s="3225"/>
    </row>
    <row r="48" spans="1:7">
      <c r="A48" s="3132"/>
      <c r="B48" s="3225"/>
      <c r="C48" s="3170"/>
      <c r="D48" s="3186"/>
      <c r="E48" s="3225"/>
      <c r="F48" s="3132"/>
      <c r="G48" s="3225"/>
    </row>
    <row r="49" ht="13.5" spans="1:7">
      <c r="A49" s="3214" t="s">
        <v>419</v>
      </c>
      <c r="B49" s="3215"/>
      <c r="C49" s="3226" t="s">
        <v>419</v>
      </c>
      <c r="D49" s="2125"/>
      <c r="E49" s="3227"/>
      <c r="F49" s="3214" t="s">
        <v>420</v>
      </c>
      <c r="G49" s="3215"/>
    </row>
    <row r="50" spans="1:7">
      <c r="A50" s="3207" t="s">
        <v>421</v>
      </c>
      <c r="B50" s="3228"/>
      <c r="C50" s="3203" t="s">
        <v>422</v>
      </c>
      <c r="D50" s="3153"/>
      <c r="E50" s="3229"/>
      <c r="F50" s="3230"/>
      <c r="G50" s="3231"/>
    </row>
    <row r="51" ht="13.5" spans="1:7">
      <c r="A51" s="3207" t="s">
        <v>423</v>
      </c>
      <c r="B51" s="3228"/>
      <c r="C51" s="3214" t="s">
        <v>424</v>
      </c>
      <c r="D51" s="3159"/>
      <c r="E51" s="3215"/>
      <c r="F51" s="3127"/>
      <c r="G51" s="3128"/>
    </row>
    <row r="52" spans="1:7">
      <c r="A52" s="3207" t="s">
        <v>402</v>
      </c>
      <c r="B52" s="3208"/>
      <c r="C52" s="3127"/>
      <c r="D52" s="3127"/>
      <c r="E52" s="3127"/>
      <c r="F52" s="3127"/>
      <c r="G52" s="3128"/>
    </row>
    <row r="53" ht="24.75" spans="1:7">
      <c r="A53" s="3214" t="s">
        <v>425</v>
      </c>
      <c r="B53" s="3217"/>
      <c r="C53" s="3190"/>
      <c r="D53" s="3190"/>
      <c r="E53" s="3190"/>
      <c r="F53" s="3190"/>
      <c r="G53" s="3232"/>
    </row>
    <row r="57" s="3093" customFormat="1" spans="8:66">
      <c r="H57" s="3107"/>
      <c r="I57" s="3107"/>
      <c r="J57" s="3107"/>
      <c r="K57" s="3240"/>
      <c r="L57" s="3240"/>
      <c r="M57" s="3240"/>
      <c r="N57" s="3107"/>
      <c r="O57" s="3107"/>
      <c r="P57" s="3107"/>
      <c r="Q57" s="3107"/>
      <c r="R57" s="3107"/>
      <c r="S57" s="3107"/>
      <c r="T57" s="3107"/>
      <c r="U57" s="3107"/>
      <c r="V57" s="3107"/>
      <c r="W57" s="3107"/>
      <c r="X57" s="3107"/>
      <c r="Y57" s="3107"/>
      <c r="Z57" s="3107"/>
      <c r="AA57" s="3107"/>
      <c r="AB57" s="3107"/>
      <c r="AC57" s="3107"/>
      <c r="AD57" s="3107"/>
      <c r="AE57" s="3107"/>
      <c r="AF57" s="3107"/>
      <c r="AG57" s="3107"/>
      <c r="AH57" s="3107"/>
      <c r="AI57" s="3107"/>
      <c r="AJ57" s="3107"/>
      <c r="AK57" s="3107"/>
      <c r="AL57" s="3107"/>
      <c r="AM57" s="3107"/>
      <c r="AN57" s="3107"/>
      <c r="AO57" s="3107"/>
      <c r="AP57" s="3107"/>
      <c r="AQ57" s="3107"/>
      <c r="AR57" s="3107"/>
      <c r="AS57" s="3107"/>
      <c r="AT57" s="3107"/>
      <c r="AU57" s="3107"/>
      <c r="AV57" s="3107"/>
      <c r="AW57" s="3107"/>
      <c r="AX57" s="3107"/>
      <c r="AY57" s="3107"/>
      <c r="AZ57" s="3107"/>
      <c r="BA57" s="3107"/>
      <c r="BB57" s="3107"/>
      <c r="BC57" s="3107"/>
      <c r="BD57" s="3107"/>
      <c r="BE57" s="3107"/>
      <c r="BF57" s="3107"/>
      <c r="BG57" s="3107"/>
      <c r="BH57" s="3107"/>
      <c r="BI57" s="3107"/>
      <c r="BJ57" s="3107"/>
      <c r="BK57" s="3107"/>
      <c r="BL57" s="3107"/>
      <c r="BM57" s="3107"/>
      <c r="BN57" s="3107"/>
    </row>
    <row r="58" s="3093" customFormat="1" spans="8:66">
      <c r="H58" s="3107"/>
      <c r="I58" s="3107"/>
      <c r="J58" s="3107"/>
      <c r="K58" s="3240"/>
      <c r="L58" s="3240"/>
      <c r="M58" s="3240"/>
      <c r="N58" s="3107"/>
      <c r="O58" s="3107"/>
      <c r="P58" s="3107"/>
      <c r="Q58" s="3107"/>
      <c r="R58" s="3107"/>
      <c r="S58" s="3107"/>
      <c r="T58" s="3107"/>
      <c r="U58" s="3107"/>
      <c r="V58" s="3107"/>
      <c r="W58" s="3107"/>
      <c r="X58" s="3107"/>
      <c r="Y58" s="3107"/>
      <c r="Z58" s="3107"/>
      <c r="AA58" s="3107"/>
      <c r="AB58" s="3107"/>
      <c r="AC58" s="3107"/>
      <c r="AD58" s="3107"/>
      <c r="AE58" s="3107"/>
      <c r="AF58" s="3107"/>
      <c r="AG58" s="3107"/>
      <c r="AH58" s="3107"/>
      <c r="AI58" s="3107"/>
      <c r="AJ58" s="3107"/>
      <c r="AK58" s="3107"/>
      <c r="AL58" s="3107"/>
      <c r="AM58" s="3107"/>
      <c r="AN58" s="3107"/>
      <c r="AO58" s="3107"/>
      <c r="AP58" s="3107"/>
      <c r="AQ58" s="3107"/>
      <c r="AR58" s="3107"/>
      <c r="AS58" s="3107"/>
      <c r="AT58" s="3107"/>
      <c r="AU58" s="3107"/>
      <c r="AV58" s="3107"/>
      <c r="AW58" s="3107"/>
      <c r="AX58" s="3107"/>
      <c r="AY58" s="3107"/>
      <c r="AZ58" s="3107"/>
      <c r="BA58" s="3107"/>
      <c r="BB58" s="3107"/>
      <c r="BC58" s="3107"/>
      <c r="BD58" s="3107"/>
      <c r="BE58" s="3107"/>
      <c r="BF58" s="3107"/>
      <c r="BG58" s="3107"/>
      <c r="BH58" s="3107"/>
      <c r="BI58" s="3107"/>
      <c r="BJ58" s="3107"/>
      <c r="BK58" s="3107"/>
      <c r="BL58" s="3107"/>
      <c r="BM58" s="3107"/>
      <c r="BN58" s="3107"/>
    </row>
    <row r="59" s="3093" customFormat="1" spans="8:66">
      <c r="H59" s="3107"/>
      <c r="I59" s="3107"/>
      <c r="J59" s="3107"/>
      <c r="K59" s="3240"/>
      <c r="L59" s="3240"/>
      <c r="M59" s="3240"/>
      <c r="N59" s="3107"/>
      <c r="O59" s="3107"/>
      <c r="P59" s="3107"/>
      <c r="Q59" s="3107"/>
      <c r="R59" s="3107"/>
      <c r="S59" s="3107"/>
      <c r="T59" s="3107"/>
      <c r="U59" s="3107"/>
      <c r="V59" s="3107"/>
      <c r="W59" s="3107"/>
      <c r="X59" s="3107"/>
      <c r="Y59" s="3107"/>
      <c r="Z59" s="3107"/>
      <c r="AA59" s="3107"/>
      <c r="AB59" s="3107"/>
      <c r="AC59" s="3107"/>
      <c r="AD59" s="3107"/>
      <c r="AE59" s="3107"/>
      <c r="AF59" s="3107"/>
      <c r="AG59" s="3107"/>
      <c r="AH59" s="3107"/>
      <c r="AI59" s="3107"/>
      <c r="AJ59" s="3107"/>
      <c r="AK59" s="3107"/>
      <c r="AL59" s="3107"/>
      <c r="AM59" s="3107"/>
      <c r="AN59" s="3107"/>
      <c r="AO59" s="3107"/>
      <c r="AP59" s="3107"/>
      <c r="AQ59" s="3107"/>
      <c r="AR59" s="3107"/>
      <c r="AS59" s="3107"/>
      <c r="AT59" s="3107"/>
      <c r="AU59" s="3107"/>
      <c r="AV59" s="3107"/>
      <c r="AW59" s="3107"/>
      <c r="AX59" s="3107"/>
      <c r="AY59" s="3107"/>
      <c r="AZ59" s="3107"/>
      <c r="BA59" s="3107"/>
      <c r="BB59" s="3107"/>
      <c r="BC59" s="3107"/>
      <c r="BD59" s="3107"/>
      <c r="BE59" s="3107"/>
      <c r="BF59" s="3107"/>
      <c r="BG59" s="3107"/>
      <c r="BH59" s="3107"/>
      <c r="BI59" s="3107"/>
      <c r="BJ59" s="3107"/>
      <c r="BK59" s="3107"/>
      <c r="BL59" s="3107"/>
      <c r="BM59" s="3107"/>
      <c r="BN59" s="3107"/>
    </row>
    <row r="60" s="3093" customFormat="1" spans="8:66">
      <c r="H60" s="3107"/>
      <c r="I60" s="3107"/>
      <c r="J60" s="3107"/>
      <c r="K60" s="3240"/>
      <c r="L60" s="3240"/>
      <c r="M60" s="3240"/>
      <c r="N60" s="3107"/>
      <c r="O60" s="3107"/>
      <c r="P60" s="3107"/>
      <c r="Q60" s="3107"/>
      <c r="R60" s="3107"/>
      <c r="S60" s="3107"/>
      <c r="T60" s="3107"/>
      <c r="U60" s="3107"/>
      <c r="V60" s="3107"/>
      <c r="W60" s="3107"/>
      <c r="X60" s="3107"/>
      <c r="Y60" s="3107"/>
      <c r="Z60" s="3107"/>
      <c r="AA60" s="3107"/>
      <c r="AB60" s="3107"/>
      <c r="AC60" s="3107"/>
      <c r="AD60" s="3107"/>
      <c r="AE60" s="3107"/>
      <c r="AF60" s="3107"/>
      <c r="AG60" s="3107"/>
      <c r="AH60" s="3107"/>
      <c r="AI60" s="3107"/>
      <c r="AJ60" s="3107"/>
      <c r="AK60" s="3107"/>
      <c r="AL60" s="3107"/>
      <c r="AM60" s="3107"/>
      <c r="AN60" s="3107"/>
      <c r="AO60" s="3107"/>
      <c r="AP60" s="3107"/>
      <c r="AQ60" s="3107"/>
      <c r="AR60" s="3107"/>
      <c r="AS60" s="3107"/>
      <c r="AT60" s="3107"/>
      <c r="AU60" s="3107"/>
      <c r="AV60" s="3107"/>
      <c r="AW60" s="3107"/>
      <c r="AX60" s="3107"/>
      <c r="AY60" s="3107"/>
      <c r="AZ60" s="3107"/>
      <c r="BA60" s="3107"/>
      <c r="BB60" s="3107"/>
      <c r="BC60" s="3107"/>
      <c r="BD60" s="3107"/>
      <c r="BE60" s="3107"/>
      <c r="BF60" s="3107"/>
      <c r="BG60" s="3107"/>
      <c r="BH60" s="3107"/>
      <c r="BI60" s="3107"/>
      <c r="BJ60" s="3107"/>
      <c r="BK60" s="3107"/>
      <c r="BL60" s="3107"/>
      <c r="BM60" s="3107"/>
      <c r="BN60" s="3107"/>
    </row>
    <row r="61" s="3093" customFormat="1" spans="8:66">
      <c r="H61" s="3107"/>
      <c r="I61" s="3107"/>
      <c r="J61" s="3107"/>
      <c r="K61" s="3240"/>
      <c r="L61" s="3240"/>
      <c r="M61" s="3240"/>
      <c r="N61" s="3107"/>
      <c r="O61" s="3107"/>
      <c r="P61" s="3107"/>
      <c r="Q61" s="3107"/>
      <c r="R61" s="3107"/>
      <c r="S61" s="3107"/>
      <c r="T61" s="3107"/>
      <c r="U61" s="3107"/>
      <c r="V61" s="3107"/>
      <c r="W61" s="3107"/>
      <c r="X61" s="3107"/>
      <c r="Y61" s="3107"/>
      <c r="Z61" s="3107"/>
      <c r="AA61" s="3107"/>
      <c r="AB61" s="3107"/>
      <c r="AC61" s="3107"/>
      <c r="AD61" s="3107"/>
      <c r="AE61" s="3107"/>
      <c r="AF61" s="3107"/>
      <c r="AG61" s="3107"/>
      <c r="AH61" s="3107"/>
      <c r="AI61" s="3107"/>
      <c r="AJ61" s="3107"/>
      <c r="AK61" s="3107"/>
      <c r="AL61" s="3107"/>
      <c r="AM61" s="3107"/>
      <c r="AN61" s="3107"/>
      <c r="AO61" s="3107"/>
      <c r="AP61" s="3107"/>
      <c r="AQ61" s="3107"/>
      <c r="AR61" s="3107"/>
      <c r="AS61" s="3107"/>
      <c r="AT61" s="3107"/>
      <c r="AU61" s="3107"/>
      <c r="AV61" s="3107"/>
      <c r="AW61" s="3107"/>
      <c r="AX61" s="3107"/>
      <c r="AY61" s="3107"/>
      <c r="AZ61" s="3107"/>
      <c r="BA61" s="3107"/>
      <c r="BB61" s="3107"/>
      <c r="BC61" s="3107"/>
      <c r="BD61" s="3107"/>
      <c r="BE61" s="3107"/>
      <c r="BF61" s="3107"/>
      <c r="BG61" s="3107"/>
      <c r="BH61" s="3107"/>
      <c r="BI61" s="3107"/>
      <c r="BJ61" s="3107"/>
      <c r="BK61" s="3107"/>
      <c r="BL61" s="3107"/>
      <c r="BM61" s="3107"/>
      <c r="BN61" s="3107"/>
    </row>
    <row r="62" s="3093" customFormat="1" spans="8:66">
      <c r="H62" s="3107"/>
      <c r="I62" s="3107"/>
      <c r="J62" s="3107"/>
      <c r="K62" s="3240"/>
      <c r="L62" s="3240"/>
      <c r="M62" s="3240"/>
      <c r="N62" s="3107"/>
      <c r="O62" s="3107"/>
      <c r="P62" s="3107"/>
      <c r="Q62" s="3107"/>
      <c r="R62" s="3107"/>
      <c r="S62" s="3107"/>
      <c r="T62" s="3107"/>
      <c r="U62" s="3107"/>
      <c r="V62" s="3107"/>
      <c r="W62" s="3107"/>
      <c r="X62" s="3107"/>
      <c r="Y62" s="3107"/>
      <c r="Z62" s="3107"/>
      <c r="AA62" s="3107"/>
      <c r="AB62" s="3107"/>
      <c r="AC62" s="3107"/>
      <c r="AD62" s="3107"/>
      <c r="AE62" s="3107"/>
      <c r="AF62" s="3107"/>
      <c r="AG62" s="3107"/>
      <c r="AH62" s="3107"/>
      <c r="AI62" s="3107"/>
      <c r="AJ62" s="3107"/>
      <c r="AK62" s="3107"/>
      <c r="AL62" s="3107"/>
      <c r="AM62" s="3107"/>
      <c r="AN62" s="3107"/>
      <c r="AO62" s="3107"/>
      <c r="AP62" s="3107"/>
      <c r="AQ62" s="3107"/>
      <c r="AR62" s="3107"/>
      <c r="AS62" s="3107"/>
      <c r="AT62" s="3107"/>
      <c r="AU62" s="3107"/>
      <c r="AV62" s="3107"/>
      <c r="AW62" s="3107"/>
      <c r="AX62" s="3107"/>
      <c r="AY62" s="3107"/>
      <c r="AZ62" s="3107"/>
      <c r="BA62" s="3107"/>
      <c r="BB62" s="3107"/>
      <c r="BC62" s="3107"/>
      <c r="BD62" s="3107"/>
      <c r="BE62" s="3107"/>
      <c r="BF62" s="3107"/>
      <c r="BG62" s="3107"/>
      <c r="BH62" s="3107"/>
      <c r="BI62" s="3107"/>
      <c r="BJ62" s="3107"/>
      <c r="BK62" s="3107"/>
      <c r="BL62" s="3107"/>
      <c r="BM62" s="3107"/>
      <c r="BN62" s="3107"/>
    </row>
    <row r="63" s="3093" customFormat="1" spans="8:66">
      <c r="H63" s="3107"/>
      <c r="I63" s="3107"/>
      <c r="J63" s="3107"/>
      <c r="K63" s="3240"/>
      <c r="L63" s="3240"/>
      <c r="M63" s="3240"/>
      <c r="N63" s="3107"/>
      <c r="O63" s="3107"/>
      <c r="P63" s="3107"/>
      <c r="Q63" s="3107"/>
      <c r="R63" s="3107"/>
      <c r="S63" s="3107"/>
      <c r="T63" s="3107"/>
      <c r="U63" s="3107"/>
      <c r="V63" s="3107"/>
      <c r="W63" s="3107"/>
      <c r="X63" s="3107"/>
      <c r="Y63" s="3107"/>
      <c r="Z63" s="3107"/>
      <c r="AA63" s="3107"/>
      <c r="AB63" s="3107"/>
      <c r="AC63" s="3107"/>
      <c r="AD63" s="3107"/>
      <c r="AE63" s="3107"/>
      <c r="AF63" s="3107"/>
      <c r="AG63" s="3107"/>
      <c r="AH63" s="3107"/>
      <c r="AI63" s="3107"/>
      <c r="AJ63" s="3107"/>
      <c r="AK63" s="3107"/>
      <c r="AL63" s="3107"/>
      <c r="AM63" s="3107"/>
      <c r="AN63" s="3107"/>
      <c r="AO63" s="3107"/>
      <c r="AP63" s="3107"/>
      <c r="AQ63" s="3107"/>
      <c r="AR63" s="3107"/>
      <c r="AS63" s="3107"/>
      <c r="AT63" s="3107"/>
      <c r="AU63" s="3107"/>
      <c r="AV63" s="3107"/>
      <c r="AW63" s="3107"/>
      <c r="AX63" s="3107"/>
      <c r="AY63" s="3107"/>
      <c r="AZ63" s="3107"/>
      <c r="BA63" s="3107"/>
      <c r="BB63" s="3107"/>
      <c r="BC63" s="3107"/>
      <c r="BD63" s="3107"/>
      <c r="BE63" s="3107"/>
      <c r="BF63" s="3107"/>
      <c r="BG63" s="3107"/>
      <c r="BH63" s="3107"/>
      <c r="BI63" s="3107"/>
      <c r="BJ63" s="3107"/>
      <c r="BK63" s="3107"/>
      <c r="BL63" s="3107"/>
      <c r="BM63" s="3107"/>
      <c r="BN63" s="310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E13">
      <formula1>"国有土地使用证,不动产权证书,无"</formula1>
    </dataValidation>
    <dataValidation type="list" showInputMessage="1" showErrorMessage="1" sqref="D9">
      <formula1>"与房产证证载一致,与房产证证载不一致"</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allowBlank="1" showInputMessage="1" showErrorMessage="1" sqref="E18 C18:C19">
      <formula1>"原件,复印件,——"</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B27 E27 G27">
      <formula1>"已核对原件,未核对原件,——"</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086" customWidth="1"/>
    <col min="2" max="2" width="10.625" style="3086" customWidth="1"/>
    <col min="3" max="3" width="15.75" style="3086" customWidth="1"/>
    <col min="4" max="7" width="9.5" style="3086" customWidth="1"/>
    <col min="8" max="13" width="9.125" style="3086" customWidth="1"/>
    <col min="14" max="16384" width="9" style="3086"/>
  </cols>
  <sheetData>
    <row r="1" ht="14.25" spans="1:13">
      <c r="A1" s="3087" t="s">
        <v>426</v>
      </c>
      <c r="B1" s="3087" t="s">
        <v>427</v>
      </c>
      <c r="C1" s="3087" t="s">
        <v>428</v>
      </c>
      <c r="D1" s="3088" t="s">
        <v>429</v>
      </c>
      <c r="E1" s="3088" t="s">
        <v>430</v>
      </c>
      <c r="F1" s="3088"/>
      <c r="G1" s="3088"/>
      <c r="H1" s="3088"/>
      <c r="I1" s="3088"/>
      <c r="J1" s="3088"/>
      <c r="K1" s="3088"/>
      <c r="L1" s="3088"/>
      <c r="M1" s="3088"/>
    </row>
    <row r="2" ht="27" customHeight="1" spans="1:13">
      <c r="A2" s="3087"/>
      <c r="B2" s="3087"/>
      <c r="C2" s="3087"/>
      <c r="D2" s="3088"/>
      <c r="E2" s="3088" t="s">
        <v>431</v>
      </c>
      <c r="F2" s="3088" t="s">
        <v>432</v>
      </c>
      <c r="G2" s="3088"/>
      <c r="H2" s="3088"/>
      <c r="I2" s="3088"/>
      <c r="J2" s="3088" t="s">
        <v>433</v>
      </c>
      <c r="K2" s="3088"/>
      <c r="L2" s="3088"/>
      <c r="M2" s="3088"/>
    </row>
    <row r="3" ht="28.5" spans="1:13">
      <c r="A3" s="3087"/>
      <c r="B3" s="3087"/>
      <c r="C3" s="3087"/>
      <c r="D3" s="3088"/>
      <c r="E3" s="3088"/>
      <c r="F3" s="3089" t="s">
        <v>434</v>
      </c>
      <c r="G3" s="3089" t="s">
        <v>435</v>
      </c>
      <c r="H3" s="3089" t="s">
        <v>436</v>
      </c>
      <c r="I3" s="3089" t="s">
        <v>437</v>
      </c>
      <c r="J3" s="3089" t="s">
        <v>434</v>
      </c>
      <c r="K3" s="3089" t="s">
        <v>438</v>
      </c>
      <c r="L3" s="3089" t="s">
        <v>439</v>
      </c>
      <c r="M3" s="3089" t="s">
        <v>440</v>
      </c>
    </row>
    <row r="4" ht="42.75" spans="1:13">
      <c r="A4" s="3089" t="s">
        <v>441</v>
      </c>
      <c r="B4" s="3089" t="s">
        <v>442</v>
      </c>
      <c r="C4" s="3089" t="s">
        <v>443</v>
      </c>
      <c r="D4" s="3088">
        <v>3807.94</v>
      </c>
      <c r="E4" s="3088">
        <v>20666.91</v>
      </c>
      <c r="F4" s="3088">
        <v>19673</v>
      </c>
      <c r="G4" s="3088">
        <v>0</v>
      </c>
      <c r="H4" s="3088">
        <v>19673</v>
      </c>
      <c r="I4" s="3088">
        <v>0</v>
      </c>
      <c r="J4" s="3088">
        <v>993.91</v>
      </c>
      <c r="K4" s="3088">
        <v>0</v>
      </c>
      <c r="L4" s="3088">
        <v>0</v>
      </c>
      <c r="M4" s="3088">
        <v>993.91</v>
      </c>
    </row>
    <row r="5" ht="42.75" spans="1:13">
      <c r="A5" s="3089" t="s">
        <v>441</v>
      </c>
      <c r="B5" s="3089" t="s">
        <v>444</v>
      </c>
      <c r="C5" s="3089" t="s">
        <v>445</v>
      </c>
      <c r="D5" s="3088">
        <v>3667.86</v>
      </c>
      <c r="E5" s="3088">
        <v>19906.61</v>
      </c>
      <c r="F5" s="3088">
        <v>18792.87</v>
      </c>
      <c r="G5" s="3088">
        <v>18792.87</v>
      </c>
      <c r="H5" s="3088">
        <v>0</v>
      </c>
      <c r="I5" s="3088">
        <v>0</v>
      </c>
      <c r="J5" s="3088">
        <v>1113.74</v>
      </c>
      <c r="K5" s="3088">
        <v>55.59</v>
      </c>
      <c r="L5" s="3088">
        <v>0</v>
      </c>
      <c r="M5" s="3088">
        <v>1058.15</v>
      </c>
    </row>
    <row r="6" ht="42.75" spans="1:13">
      <c r="A6" s="3089" t="s">
        <v>441</v>
      </c>
      <c r="B6" s="3089" t="s">
        <v>444</v>
      </c>
      <c r="C6" s="3089" t="s">
        <v>446</v>
      </c>
      <c r="D6" s="3088">
        <v>2067.52</v>
      </c>
      <c r="E6" s="3088">
        <v>11221.06</v>
      </c>
      <c r="F6" s="3088">
        <v>9934.13</v>
      </c>
      <c r="G6" s="3088">
        <v>9934.13</v>
      </c>
      <c r="H6" s="3088">
        <v>0</v>
      </c>
      <c r="I6" s="3088">
        <v>0</v>
      </c>
      <c r="J6" s="3088">
        <v>1286.93</v>
      </c>
      <c r="K6" s="3088">
        <v>0</v>
      </c>
      <c r="L6" s="3088">
        <v>0</v>
      </c>
      <c r="M6" s="3088">
        <v>1286.93</v>
      </c>
    </row>
    <row r="7" ht="42.75" spans="1:13">
      <c r="A7" s="3089" t="s">
        <v>441</v>
      </c>
      <c r="B7" s="3089" t="s">
        <v>444</v>
      </c>
      <c r="C7" s="3089" t="s">
        <v>447</v>
      </c>
      <c r="D7" s="3088">
        <v>8.18</v>
      </c>
      <c r="E7" s="3088">
        <v>44.41</v>
      </c>
      <c r="F7" s="3088">
        <v>0</v>
      </c>
      <c r="G7" s="3088">
        <v>0</v>
      </c>
      <c r="H7" s="3088">
        <v>0</v>
      </c>
      <c r="I7" s="3088">
        <v>0</v>
      </c>
      <c r="J7" s="3088">
        <v>44.41</v>
      </c>
      <c r="K7" s="3088">
        <v>44.41</v>
      </c>
      <c r="L7" s="3088">
        <v>0</v>
      </c>
      <c r="M7" s="3088">
        <v>0</v>
      </c>
    </row>
    <row r="8" ht="42.75" spans="1:13">
      <c r="A8" s="3089" t="s">
        <v>441</v>
      </c>
      <c r="B8" s="3089" t="s">
        <v>444</v>
      </c>
      <c r="C8" s="3089" t="s">
        <v>437</v>
      </c>
      <c r="D8" s="3088">
        <v>2455.53</v>
      </c>
      <c r="E8" s="3088">
        <v>13326.96</v>
      </c>
      <c r="F8" s="3088">
        <v>9231.05</v>
      </c>
      <c r="G8" s="3088">
        <v>0</v>
      </c>
      <c r="H8" s="3088">
        <v>0</v>
      </c>
      <c r="I8" s="3088">
        <v>9231.05</v>
      </c>
      <c r="J8" s="3088">
        <v>4095.91</v>
      </c>
      <c r="K8" s="3088">
        <v>0</v>
      </c>
      <c r="L8" s="3088">
        <v>3320.79</v>
      </c>
      <c r="M8" s="3088">
        <v>775.12</v>
      </c>
    </row>
    <row r="9" ht="27" customHeight="1" spans="1:13">
      <c r="A9" s="3088" t="s">
        <v>448</v>
      </c>
      <c r="B9" s="3088"/>
      <c r="C9" s="3088"/>
      <c r="D9" s="3088">
        <v>12007.03</v>
      </c>
      <c r="E9" s="3088">
        <v>65165.95</v>
      </c>
      <c r="F9" s="3088">
        <v>57631.05</v>
      </c>
      <c r="G9" s="3088">
        <v>28727</v>
      </c>
      <c r="H9" s="3088">
        <v>19673</v>
      </c>
      <c r="I9" s="3088">
        <v>9231.05</v>
      </c>
      <c r="J9" s="3088">
        <v>7534.9</v>
      </c>
      <c r="K9" s="3088">
        <v>100</v>
      </c>
      <c r="L9" s="3088">
        <v>3320.79</v>
      </c>
      <c r="M9" s="308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90" zoomScaleNormal="90" workbookViewId="0">
      <pane xSplit="3" ySplit="11" topLeftCell="D12" activePane="bottomRight" state="frozen"/>
      <selection/>
      <selection pane="topRight"/>
      <selection pane="bottomLeft"/>
      <selection pane="bottomRight" activeCell="C30" sqref="C30"/>
    </sheetView>
  </sheetViews>
  <sheetFormatPr defaultColWidth="13.75" defaultRowHeight="12.75"/>
  <cols>
    <col min="1" max="1" width="20.875" style="2975" customWidth="1"/>
    <col min="2" max="2" width="16.75" style="2898" customWidth="1"/>
    <col min="3" max="3" width="18.25" style="2899" customWidth="1"/>
    <col min="4" max="4" width="34.125" style="2976" customWidth="1"/>
    <col min="5" max="5" width="17.625" style="2976" customWidth="1"/>
    <col min="6" max="6" width="15.5" style="2977" customWidth="1"/>
    <col min="7" max="8" width="9.125" style="2978" customWidth="1"/>
    <col min="9" max="9" width="15" style="2899" customWidth="1"/>
    <col min="10" max="14" width="8.875" style="2899" customWidth="1"/>
    <col min="15" max="16" width="12.375" style="2899" customWidth="1"/>
    <col min="17" max="17" width="8.625" style="2899" customWidth="1"/>
    <col min="18" max="18" width="12.5" style="2899" customWidth="1"/>
    <col min="19" max="19" width="8.5" style="2899" customWidth="1"/>
    <col min="20" max="21" width="10.875" style="2899" customWidth="1"/>
    <col min="22" max="23" width="12.5" style="2899" customWidth="1"/>
    <col min="24" max="24" width="12.125" style="2899" customWidth="1"/>
    <col min="25" max="25" width="7.5" style="2899" customWidth="1"/>
    <col min="26" max="26" width="6.375" style="2899" customWidth="1"/>
    <col min="27" max="32" width="6.75" style="2899" customWidth="1"/>
    <col min="33" max="33" width="6.5" style="2899" customWidth="1"/>
    <col min="34" max="36" width="7.25" style="2899" customWidth="1"/>
    <col min="37" max="41" width="8" style="2899" customWidth="1"/>
    <col min="42" max="16384" width="13.75" style="2898"/>
  </cols>
  <sheetData>
    <row r="1" ht="19.5" spans="1:5">
      <c r="A1" s="2979" t="s">
        <v>449</v>
      </c>
      <c r="B1" s="2266"/>
      <c r="D1" s="2977"/>
      <c r="E1" s="2977"/>
    </row>
    <row r="2" s="2902" customFormat="1" ht="15.75" spans="1:41">
      <c r="A2" s="2980" t="s">
        <v>450</v>
      </c>
      <c r="B2" s="2981">
        <f>项目基本情况!D2</f>
        <v>44490</v>
      </c>
      <c r="C2" s="1080"/>
      <c r="D2" s="2982" t="s">
        <v>451</v>
      </c>
      <c r="E2" s="2983"/>
      <c r="F2" s="2984"/>
      <c r="G2" s="2985"/>
      <c r="H2" s="2985"/>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902" customFormat="1" ht="15" customHeight="1" spans="1:41">
      <c r="A3" s="2986" t="s">
        <v>452</v>
      </c>
      <c r="B3" s="2987" t="s">
        <v>453</v>
      </c>
      <c r="C3" s="1080"/>
      <c r="D3" s="2988"/>
      <c r="E3" s="2989" t="s">
        <v>454</v>
      </c>
      <c r="F3" s="2984"/>
      <c r="G3" s="2985"/>
      <c r="H3" s="2985"/>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902" customFormat="1" ht="15" spans="1:41">
      <c r="A4" s="2990" t="s">
        <v>455</v>
      </c>
      <c r="B4" s="2987" t="s">
        <v>456</v>
      </c>
      <c r="C4" s="1080"/>
      <c r="D4" s="2988"/>
      <c r="E4" s="2989"/>
      <c r="F4" s="2984"/>
      <c r="G4" s="2985"/>
      <c r="H4" s="2985"/>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902" customFormat="1" ht="15" spans="1:41">
      <c r="A5" s="2986" t="s">
        <v>457</v>
      </c>
      <c r="B5" s="2991">
        <f>项目基本情况!C12</f>
        <v>164.75</v>
      </c>
      <c r="C5" s="1080"/>
      <c r="D5" s="2992" t="s">
        <v>458</v>
      </c>
      <c r="E5" s="2993"/>
      <c r="F5" s="2984"/>
      <c r="G5" s="2985"/>
      <c r="H5" s="2985"/>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902" customFormat="1" ht="15" spans="1:41">
      <c r="A6" s="2990" t="s">
        <v>459</v>
      </c>
      <c r="B6" s="2994">
        <f>项目基本情况!C13</f>
        <v>0</v>
      </c>
      <c r="C6" s="1080"/>
      <c r="D6" s="2992" t="s">
        <v>460</v>
      </c>
      <c r="E6" s="2993"/>
      <c r="F6" s="2984"/>
      <c r="G6" s="2985"/>
      <c r="H6" s="2985"/>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5"/>
      <c r="D7" s="2996"/>
      <c r="E7" s="2996"/>
      <c r="F7" s="2985"/>
      <c r="G7" s="2985"/>
      <c r="H7" s="2985"/>
    </row>
    <row r="8" s="1080" customFormat="1" ht="15" hidden="1" spans="1:8">
      <c r="A8" s="2995"/>
      <c r="D8" s="2996"/>
      <c r="E8" s="2996"/>
      <c r="F8" s="2985"/>
      <c r="G8" s="2985"/>
      <c r="H8" s="2985"/>
    </row>
    <row r="9" s="1080" customFormat="1" ht="15" hidden="1" spans="3:8">
      <c r="C9" s="2997"/>
      <c r="D9" s="2985"/>
      <c r="E9" s="2985"/>
      <c r="F9" s="2985"/>
      <c r="G9" s="2985"/>
      <c r="H9" s="2985"/>
    </row>
    <row r="10" s="2902" customFormat="1" ht="15" spans="1:41">
      <c r="A10" s="2998" t="s">
        <v>202</v>
      </c>
      <c r="B10" s="2999" t="s">
        <v>461</v>
      </c>
      <c r="C10" s="1080"/>
      <c r="D10" s="2980" t="s">
        <v>462</v>
      </c>
      <c r="E10" s="3000" t="s">
        <v>463</v>
      </c>
      <c r="F10" s="3001"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3" customFormat="1" ht="14.25" spans="1:41">
      <c r="A11" s="3002" t="s">
        <v>465</v>
      </c>
      <c r="B11" s="3003">
        <v>70</v>
      </c>
      <c r="C11" s="1080"/>
      <c r="D11" s="3004" t="s">
        <v>466</v>
      </c>
      <c r="E11" s="3005"/>
      <c r="F11" s="3006" t="s">
        <v>467</v>
      </c>
      <c r="G11" s="1080"/>
      <c r="H11" s="1080"/>
      <c r="I11" s="1080"/>
      <c r="J11" s="1080"/>
      <c r="K11" s="1080"/>
      <c r="L11" s="2904"/>
      <c r="M11" s="2904"/>
      <c r="N11" s="2904"/>
      <c r="O11" s="2904"/>
      <c r="P11" s="2904"/>
      <c r="Q11" s="2904"/>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902" customFormat="1" ht="15" spans="1:41">
      <c r="A12" s="3007" t="s">
        <v>468</v>
      </c>
      <c r="B12" s="3008">
        <v>62767</v>
      </c>
      <c r="C12" s="1080"/>
      <c r="D12" s="3007" t="s">
        <v>469</v>
      </c>
      <c r="E12" s="3009"/>
      <c r="F12" s="2496"/>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902" customFormat="1" ht="15" spans="1:41">
      <c r="A13" s="3010" t="s">
        <v>470</v>
      </c>
      <c r="B13" s="3011">
        <f>IF(B12="",B11-(YEAR($B$2)-B27+B24),ROUNDDOWN(MIN((B12-$B$2)/365,B11),2))</f>
        <v>50.07</v>
      </c>
      <c r="C13" s="3012"/>
      <c r="D13" s="3013" t="s">
        <v>471</v>
      </c>
      <c r="E13" s="3014"/>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902" customFormat="1" ht="14.25" spans="1:41">
      <c r="A14" s="3007" t="s">
        <v>473</v>
      </c>
      <c r="B14" s="3015">
        <f>IF(ISERROR(ROUND(POWER(1+B15,B11-B13)*(POWER(1+B15,B13)-1)/(POWER(1+B15,B11)-1),3)),0,ROUND(POWER(1+B15,B11-B13)*(POWER(1+B15,B13)-1)/(POWER(1+B15,B11)-1),3))</f>
        <v>0.932</v>
      </c>
      <c r="C14" s="1080"/>
      <c r="D14" s="3016" t="s">
        <v>474</v>
      </c>
      <c r="E14" s="3017">
        <v>200</v>
      </c>
      <c r="F14" s="2496"/>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902" customFormat="1" ht="14.25" spans="1:41">
      <c r="A15" s="3007" t="s">
        <v>475</v>
      </c>
      <c r="B15" s="3018">
        <v>0.045</v>
      </c>
      <c r="C15" s="2440" t="s">
        <v>476</v>
      </c>
      <c r="D15" s="3007" t="s">
        <v>477</v>
      </c>
      <c r="E15" s="3019">
        <f>E14-E16</f>
        <v>200</v>
      </c>
      <c r="F15" s="2496"/>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902" customFormat="1" ht="15" spans="1:41">
      <c r="A16" s="3007" t="s">
        <v>478</v>
      </c>
      <c r="B16" s="3018">
        <v>0.05</v>
      </c>
      <c r="C16" s="2440" t="s">
        <v>479</v>
      </c>
      <c r="D16" s="3020" t="s">
        <v>480</v>
      </c>
      <c r="E16" s="3021">
        <v>0</v>
      </c>
      <c r="F16" s="923"/>
      <c r="G16" s="1080"/>
      <c r="H16" s="1080"/>
      <c r="I16" s="1080"/>
      <c r="J16" s="1080"/>
      <c r="K16" s="1080">
        <v>2003</v>
      </c>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902" customFormat="1" ht="15" spans="1:41">
      <c r="A17" s="3020" t="s">
        <v>481</v>
      </c>
      <c r="B17" s="3022">
        <v>0.07</v>
      </c>
      <c r="C17" s="2440" t="s">
        <v>482</v>
      </c>
      <c r="D17" s="2998" t="s">
        <v>483</v>
      </c>
      <c r="E17" s="3023">
        <v>3500</v>
      </c>
      <c r="F17" s="2266"/>
      <c r="G17" s="1080"/>
      <c r="H17" s="1080"/>
      <c r="I17" s="1080"/>
      <c r="J17" s="1080"/>
      <c r="K17" s="1080">
        <v>2021</v>
      </c>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902" customFormat="1" ht="15" spans="1:41">
      <c r="A18" s="3024" t="s">
        <v>484</v>
      </c>
      <c r="B18" s="3025"/>
      <c r="C18" s="1080"/>
      <c r="D18" s="3026" t="str">
        <f>IF(B26=0,"建安总额","在建建安")</f>
        <v>建安总额</v>
      </c>
      <c r="E18" s="3027">
        <f>ROUND(B5*E17*IF(B26=0,1,E20),0)</f>
        <v>576625</v>
      </c>
      <c r="F18" s="3028">
        <f>ROUND(E5*E17*IF(B26=0,1,E20),0)</f>
        <v>0</v>
      </c>
      <c r="G18" s="1080"/>
      <c r="H18" s="1080"/>
      <c r="I18" s="1080"/>
      <c r="J18" s="1080"/>
      <c r="K18" s="1080">
        <f>K17-K16</f>
        <v>18</v>
      </c>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902" customFormat="1" ht="15" spans="1:41">
      <c r="A19" s="2496"/>
      <c r="B19" s="2496"/>
      <c r="C19" s="1080"/>
      <c r="D19" s="3026" t="str">
        <f>IF(B26=0,"——","续建建安")</f>
        <v>——</v>
      </c>
      <c r="E19" s="3027" t="str">
        <f>IF(B26=0,"——",ROUND(B5*E17*(1-E20),0))</f>
        <v>——</v>
      </c>
      <c r="F19" s="3028" t="str">
        <f>IF(B26=0,"——",ROUND(E5*E17*(1-E20),0))</f>
        <v>——</v>
      </c>
      <c r="G19" s="1080"/>
      <c r="H19" s="1080"/>
      <c r="I19" s="1080"/>
      <c r="J19" s="1080"/>
      <c r="K19" s="1080">
        <v>60</v>
      </c>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902" customFormat="1" ht="15" spans="1:41">
      <c r="A20" s="3029" t="s">
        <v>485</v>
      </c>
      <c r="B20" s="2496"/>
      <c r="C20" s="1080"/>
      <c r="D20" s="3030" t="str">
        <f>IF(B26=0,"成新率","工程进度")</f>
        <v>成新率</v>
      </c>
      <c r="E20" s="3031">
        <v>0.7</v>
      </c>
      <c r="F20" s="2266"/>
      <c r="G20" s="1080"/>
      <c r="H20" s="1080"/>
      <c r="I20" s="1080"/>
      <c r="J20" s="1080"/>
      <c r="K20" s="1080">
        <f>K19-K18</f>
        <v>42</v>
      </c>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902" customFormat="1" ht="14.25" spans="1:41">
      <c r="A21" s="3032" t="s">
        <v>486</v>
      </c>
      <c r="B21" s="3033">
        <v>0</v>
      </c>
      <c r="C21" s="1080"/>
      <c r="D21" s="3007" t="s">
        <v>487</v>
      </c>
      <c r="E21" s="3034">
        <v>0.04</v>
      </c>
      <c r="F21" s="3035" t="s">
        <v>488</v>
      </c>
      <c r="G21" s="1080"/>
      <c r="H21" s="1080"/>
      <c r="I21" s="1080"/>
      <c r="J21" s="1080"/>
      <c r="K21" s="1080">
        <f>K20/K19</f>
        <v>0.7</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902" customFormat="1" ht="14.25" spans="1:41">
      <c r="A22" s="3036" t="s">
        <v>489</v>
      </c>
      <c r="B22" s="3037">
        <v>2</v>
      </c>
      <c r="C22" s="1080"/>
      <c r="D22" s="3007" t="s">
        <v>490</v>
      </c>
      <c r="E22" s="3038">
        <v>0.05</v>
      </c>
      <c r="F22" s="3035" t="s">
        <v>491</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902" customFormat="1" ht="14.25" spans="1:41">
      <c r="A23" s="3039" t="s">
        <v>492</v>
      </c>
      <c r="B23" s="3040">
        <v>2</v>
      </c>
      <c r="C23" s="1080"/>
      <c r="D23" s="3007" t="s">
        <v>493</v>
      </c>
      <c r="E23" s="3009">
        <v>200</v>
      </c>
      <c r="F23" s="3035"/>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902" customFormat="1" ht="15" spans="1:41">
      <c r="A24" s="3041" t="s">
        <v>494</v>
      </c>
      <c r="B24" s="3042">
        <f>B21+B22</f>
        <v>2</v>
      </c>
      <c r="C24" s="1080"/>
      <c r="D24" s="3020" t="s">
        <v>495</v>
      </c>
      <c r="E24" s="3043">
        <v>0.015</v>
      </c>
      <c r="F24" s="3035"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4" t="s">
        <v>497</v>
      </c>
      <c r="B25" s="3045">
        <f>B21+B23</f>
        <v>2</v>
      </c>
      <c r="C25" s="1080"/>
      <c r="D25" s="3004" t="s">
        <v>498</v>
      </c>
      <c r="E25" s="3034">
        <v>0.01</v>
      </c>
      <c r="F25" s="3035" t="s">
        <v>499</v>
      </c>
      <c r="I25" s="2978"/>
    </row>
    <row r="26" ht="15" spans="1:14">
      <c r="A26" s="3041" t="s">
        <v>500</v>
      </c>
      <c r="B26" s="3046">
        <f>B22-B23</f>
        <v>0</v>
      </c>
      <c r="D26" s="3007" t="s">
        <v>501</v>
      </c>
      <c r="E26" s="3038">
        <v>0.01</v>
      </c>
      <c r="F26" s="3035" t="s">
        <v>499</v>
      </c>
      <c r="G26" s="2985"/>
      <c r="H26" s="2985"/>
      <c r="I26" s="1080"/>
      <c r="J26" s="1080"/>
      <c r="K26" s="1080"/>
      <c r="L26" s="1080"/>
      <c r="M26" s="1080"/>
      <c r="N26" s="1080"/>
    </row>
    <row r="27" ht="15" spans="1:14">
      <c r="A27" s="3047" t="s">
        <v>502</v>
      </c>
      <c r="B27" s="3048">
        <v>2003</v>
      </c>
      <c r="C27" s="1080"/>
      <c r="D27" s="3049" t="s">
        <v>503</v>
      </c>
      <c r="E27" s="3050">
        <f ca="1">IF(D27="利息：取LPR",存贷款利率!G1,存贷款利率!G1+F27)</f>
        <v>0.0435</v>
      </c>
      <c r="F27" s="3051">
        <v>0.005</v>
      </c>
      <c r="G27" s="2985"/>
      <c r="H27" s="2985"/>
      <c r="K27" s="1080"/>
      <c r="N27" s="1080"/>
    </row>
    <row r="28" ht="15" spans="1:14">
      <c r="A28" s="2266"/>
      <c r="B28" s="2266"/>
      <c r="D28" s="3013" t="s">
        <v>504</v>
      </c>
      <c r="E28" s="3052">
        <v>0.15</v>
      </c>
      <c r="G28" s="2985"/>
      <c r="H28" s="2985"/>
      <c r="K28" s="1080"/>
      <c r="N28" s="1080"/>
    </row>
    <row r="29" ht="14.25" spans="1:14">
      <c r="A29" s="3053" t="s">
        <v>505</v>
      </c>
      <c r="B29" s="3054" t="s">
        <v>506</v>
      </c>
      <c r="D29" s="3016" t="s">
        <v>507</v>
      </c>
      <c r="E29" s="3055">
        <f>E30+E31</f>
        <v>0.056</v>
      </c>
      <c r="F29" s="923"/>
      <c r="G29" s="2985"/>
      <c r="H29" s="2985"/>
      <c r="K29" s="1080"/>
      <c r="N29" s="1080"/>
    </row>
    <row r="30" ht="14.25" spans="1:14">
      <c r="A30" s="3007" t="str">
        <f>IF(B29="租赁期内按合同租金","合同租金","市场租金")</f>
        <v>市场租金</v>
      </c>
      <c r="B30" s="3056">
        <v>143</v>
      </c>
      <c r="D30" s="3020" t="s">
        <v>508</v>
      </c>
      <c r="E30" s="3057">
        <v>0.05</v>
      </c>
      <c r="F30" s="3058">
        <f>IF(B2&lt;DATE(2016,5,1),0,E30)</f>
        <v>0.05</v>
      </c>
      <c r="G30" s="2985"/>
      <c r="H30" s="2985"/>
      <c r="K30" s="1080"/>
      <c r="N30" s="1080"/>
    </row>
    <row r="31" ht="14.25" spans="1:14">
      <c r="A31" s="3007" t="s">
        <v>509</v>
      </c>
      <c r="B31" s="3059">
        <f ca="1">存贷款利率!I1</f>
        <v>0.015</v>
      </c>
      <c r="D31" s="3020" t="s">
        <v>510</v>
      </c>
      <c r="E31" s="3060">
        <f>E30*(E32+E33+E34)+E35</f>
        <v>0.006</v>
      </c>
      <c r="F31" s="923"/>
      <c r="G31" s="2985"/>
      <c r="H31" s="2985"/>
      <c r="K31" s="1080"/>
      <c r="N31" s="1080"/>
    </row>
    <row r="32" ht="14.25" spans="1:14">
      <c r="A32" s="3007" t="s">
        <v>511</v>
      </c>
      <c r="B32" s="3018">
        <v>0.02</v>
      </c>
      <c r="D32" s="3020" t="s">
        <v>512</v>
      </c>
      <c r="E32" s="3061">
        <v>0.07</v>
      </c>
      <c r="F32" s="3035" t="s">
        <v>513</v>
      </c>
      <c r="G32" s="2985"/>
      <c r="H32" s="2985"/>
      <c r="K32" s="1080"/>
      <c r="L32" s="1080"/>
      <c r="M32" s="1080"/>
      <c r="N32" s="1080"/>
    </row>
    <row r="33" ht="14.25" spans="1:14">
      <c r="A33" s="3007" t="s">
        <v>514</v>
      </c>
      <c r="B33" s="3018">
        <v>0.1</v>
      </c>
      <c r="D33" s="3020" t="s">
        <v>515</v>
      </c>
      <c r="E33" s="3057">
        <v>0.03</v>
      </c>
      <c r="F33" s="3062" t="s">
        <v>516</v>
      </c>
      <c r="G33" s="2985"/>
      <c r="H33" s="2985"/>
      <c r="K33" s="1080"/>
      <c r="L33" s="1080"/>
      <c r="M33" s="1080"/>
      <c r="N33" s="1080"/>
    </row>
    <row r="34" s="2899" customFormat="1" ht="14.25" spans="1:14">
      <c r="A34" s="3007" t="s">
        <v>517</v>
      </c>
      <c r="B34" s="3063">
        <f>收益法!J54</f>
        <v>50.07</v>
      </c>
      <c r="D34" s="3020" t="s">
        <v>518</v>
      </c>
      <c r="E34" s="3057">
        <v>0.02</v>
      </c>
      <c r="F34" s="3062" t="s">
        <v>519</v>
      </c>
      <c r="G34" s="2985"/>
      <c r="H34" s="2985"/>
      <c r="I34" s="1080"/>
      <c r="J34" s="1080"/>
      <c r="K34" s="1080"/>
      <c r="L34" s="1080"/>
      <c r="M34" s="1080"/>
      <c r="N34" s="1080"/>
    </row>
    <row r="35" s="2899" customFormat="1" ht="15" spans="1:14">
      <c r="A35" s="3020" t="str">
        <f>IF(B29="租赁期内按合同租金","剩余租赁期","——")</f>
        <v>——</v>
      </c>
      <c r="B35" s="3064"/>
      <c r="D35" s="3013" t="s">
        <v>520</v>
      </c>
      <c r="E35" s="3065"/>
      <c r="F35" s="3006" t="s">
        <v>467</v>
      </c>
      <c r="G35" s="2985"/>
      <c r="H35" s="2985"/>
      <c r="I35" s="1080"/>
      <c r="J35" s="1080"/>
      <c r="K35" s="1080"/>
      <c r="L35" s="1080"/>
      <c r="M35" s="1080"/>
      <c r="N35" s="1080"/>
    </row>
    <row r="36" s="2899" customFormat="1" ht="14.25" spans="1:14">
      <c r="A36" s="3066" t="s">
        <v>521</v>
      </c>
      <c r="B36" s="3067"/>
      <c r="D36" s="3068" t="s">
        <v>522</v>
      </c>
      <c r="E36" s="3069">
        <v>0.03</v>
      </c>
      <c r="F36" s="2496" t="s">
        <v>523</v>
      </c>
      <c r="G36" s="2985"/>
      <c r="H36" s="2985"/>
      <c r="I36" s="1080"/>
      <c r="J36" s="1080"/>
      <c r="K36" s="1080"/>
      <c r="L36" s="1080"/>
      <c r="M36" s="1080"/>
      <c r="N36" s="1080"/>
    </row>
    <row r="37" s="2899" customFormat="1" ht="15" spans="1:14">
      <c r="A37" s="3016" t="str">
        <f>IF(B29="租赁期内按合同租金","租金","——")</f>
        <v>——</v>
      </c>
      <c r="B37" s="3070"/>
      <c r="D37" s="3020" t="s">
        <v>524</v>
      </c>
      <c r="E37" s="3057">
        <v>0.0005</v>
      </c>
      <c r="F37" s="2496" t="s">
        <v>525</v>
      </c>
      <c r="G37" s="2985"/>
      <c r="H37" s="2985"/>
      <c r="I37" s="1080"/>
      <c r="J37" s="1080"/>
      <c r="K37" s="1080"/>
      <c r="L37" s="1080"/>
      <c r="M37" s="1080"/>
      <c r="N37" s="1080"/>
    </row>
    <row r="38" s="2899" customFormat="1" ht="14.25" spans="1:14">
      <c r="A38" s="3007" t="str">
        <f>IF(B29="租赁期内按合同租金","年租金增长率","——")</f>
        <v>——</v>
      </c>
      <c r="B38" s="3018"/>
      <c r="D38" s="3071" t="s">
        <v>526</v>
      </c>
      <c r="E38" s="3072">
        <v>0.012</v>
      </c>
      <c r="F38" s="2496"/>
      <c r="G38" s="2978"/>
      <c r="H38" s="2978"/>
      <c r="I38" s="2985"/>
      <c r="J38" s="1080"/>
      <c r="K38" s="1080"/>
      <c r="L38" s="1080"/>
      <c r="M38" s="1080"/>
      <c r="N38" s="1080"/>
    </row>
    <row r="39" s="2899" customFormat="1" ht="15" spans="1:14">
      <c r="A39" s="3007" t="str">
        <f>IF(B29="租赁期内按合同租金","空置率","——")</f>
        <v>——</v>
      </c>
      <c r="B39" s="3018"/>
      <c r="D39" s="3013" t="s">
        <v>527</v>
      </c>
      <c r="E39" s="3073">
        <v>0.12</v>
      </c>
      <c r="F39" s="2496"/>
      <c r="G39" s="2985"/>
      <c r="H39" s="2985"/>
      <c r="I39" s="1080"/>
      <c r="J39" s="1080"/>
      <c r="K39" s="1080"/>
      <c r="L39" s="1080"/>
      <c r="M39" s="1080"/>
      <c r="N39" s="1080"/>
    </row>
    <row r="40" ht="14.25" spans="1:14">
      <c r="A40" s="3007" t="str">
        <f>IF(B29="租赁期内按合同租金","成新率","——")</f>
        <v>——</v>
      </c>
      <c r="B40" s="3018"/>
      <c r="D40" s="3071" t="s">
        <v>528</v>
      </c>
      <c r="E40" s="3074">
        <f>SUMIF(D42:D51,E41,E42:E51)</f>
        <v>0</v>
      </c>
      <c r="F40" s="2496"/>
      <c r="G40" s="2985"/>
      <c r="H40" s="2985"/>
      <c r="I40" s="1080"/>
      <c r="J40" s="1080"/>
      <c r="K40" s="1080"/>
      <c r="L40" s="1080"/>
      <c r="M40" s="1080"/>
      <c r="N40" s="1080"/>
    </row>
    <row r="41" ht="15" spans="1:14">
      <c r="A41" s="3020" t="str">
        <f>IF(B29="租赁期内按合同租金","租赁期外收益期","——")</f>
        <v>——</v>
      </c>
      <c r="B41" s="3075" t="str">
        <f>IF(B29="租赁期内按合同租金",B34-B35,"——")</f>
        <v>——</v>
      </c>
      <c r="D41" s="3007" t="s">
        <v>529</v>
      </c>
      <c r="E41" s="3076"/>
      <c r="F41" s="2496" t="s">
        <v>530</v>
      </c>
      <c r="G41" s="1082" t="s">
        <v>531</v>
      </c>
      <c r="H41" s="2985"/>
      <c r="I41" s="1080"/>
      <c r="J41" s="1080"/>
      <c r="K41" s="1080"/>
      <c r="L41" s="1080"/>
      <c r="M41" s="1080"/>
      <c r="N41" s="1080"/>
    </row>
    <row r="42" ht="14.25" spans="1:14">
      <c r="A42" s="3004" t="s">
        <v>532</v>
      </c>
      <c r="B42" s="3077"/>
      <c r="D42" s="3078" t="s">
        <v>533</v>
      </c>
      <c r="E42" s="3056"/>
      <c r="F42" s="2496">
        <v>30</v>
      </c>
      <c r="G42" s="2985"/>
      <c r="H42" s="2985"/>
      <c r="I42" s="1080"/>
      <c r="J42" s="1080"/>
      <c r="K42" s="1080"/>
      <c r="L42" s="1080"/>
      <c r="M42" s="1080"/>
      <c r="N42" s="1080"/>
    </row>
    <row r="43" ht="14.25" spans="1:14">
      <c r="A43" s="3007" t="s">
        <v>534</v>
      </c>
      <c r="B43" s="3079">
        <v>12</v>
      </c>
      <c r="D43" s="3078" t="s">
        <v>535</v>
      </c>
      <c r="E43" s="3056"/>
      <c r="F43" s="2496">
        <v>24</v>
      </c>
      <c r="G43" s="2985"/>
      <c r="H43" s="2985"/>
      <c r="I43" s="1080"/>
      <c r="J43" s="1080"/>
      <c r="K43" s="1080"/>
      <c r="L43" s="1080"/>
      <c r="M43" s="1080"/>
      <c r="N43" s="1080"/>
    </row>
    <row r="44" ht="14.25" spans="1:14">
      <c r="A44" s="3007" t="s">
        <v>536</v>
      </c>
      <c r="B44" s="3056"/>
      <c r="D44" s="3078" t="s">
        <v>537</v>
      </c>
      <c r="E44" s="3056"/>
      <c r="F44" s="2496">
        <v>18</v>
      </c>
      <c r="G44" s="2899"/>
      <c r="H44" s="2899"/>
      <c r="I44" s="2985"/>
      <c r="J44" s="1080"/>
      <c r="K44" s="1080"/>
      <c r="L44" s="1080"/>
      <c r="M44" s="1080"/>
      <c r="N44" s="1080"/>
    </row>
    <row r="45" ht="14.25" spans="1:14">
      <c r="A45" s="3007" t="s">
        <v>538</v>
      </c>
      <c r="B45" s="3080">
        <v>0.01</v>
      </c>
      <c r="C45" s="2440" t="s">
        <v>539</v>
      </c>
      <c r="D45" s="3078" t="s">
        <v>540</v>
      </c>
      <c r="E45" s="3056"/>
      <c r="F45" s="2496">
        <v>12</v>
      </c>
      <c r="G45" s="2899"/>
      <c r="H45" s="2899"/>
      <c r="M45" s="1080"/>
      <c r="N45" s="1080"/>
    </row>
    <row r="46" ht="14.25" spans="1:14">
      <c r="A46" s="3007" t="s">
        <v>541</v>
      </c>
      <c r="B46" s="3081">
        <v>0.001</v>
      </c>
      <c r="C46" s="2440" t="s">
        <v>542</v>
      </c>
      <c r="D46" s="3078" t="s">
        <v>264</v>
      </c>
      <c r="E46" s="3056"/>
      <c r="F46" s="2496">
        <v>3</v>
      </c>
      <c r="G46" s="2899"/>
      <c r="H46" s="2899"/>
      <c r="M46" s="1080"/>
      <c r="N46" s="1080"/>
    </row>
    <row r="47" ht="15" spans="1:14">
      <c r="A47" s="3013" t="s">
        <v>543</v>
      </c>
      <c r="B47" s="3082">
        <v>0.01</v>
      </c>
      <c r="C47" s="2440" t="s">
        <v>544</v>
      </c>
      <c r="D47" s="3078" t="s">
        <v>545</v>
      </c>
      <c r="E47" s="3056"/>
      <c r="F47" s="2496">
        <v>1.5</v>
      </c>
      <c r="G47" s="2899"/>
      <c r="H47" s="2899"/>
      <c r="M47" s="1080"/>
      <c r="N47" s="1080"/>
    </row>
    <row r="48" ht="14.25" spans="1:14">
      <c r="A48" s="2899"/>
      <c r="B48" s="2899"/>
      <c r="D48" s="3078" t="s">
        <v>546</v>
      </c>
      <c r="E48" s="3056"/>
      <c r="F48" s="2496"/>
      <c r="G48" s="2899"/>
      <c r="H48" s="2899"/>
      <c r="M48" s="1080"/>
      <c r="N48" s="1080"/>
    </row>
    <row r="49" ht="14.25" spans="1:14">
      <c r="A49" s="2899"/>
      <c r="B49" s="2899"/>
      <c r="D49" s="3078" t="s">
        <v>547</v>
      </c>
      <c r="E49" s="3056"/>
      <c r="F49" s="2496"/>
      <c r="G49" s="2899"/>
      <c r="H49" s="2899"/>
      <c r="M49" s="1080"/>
      <c r="N49" s="1080"/>
    </row>
    <row r="50" ht="14.25" spans="1:14">
      <c r="A50" s="2899"/>
      <c r="B50" s="2899"/>
      <c r="D50" s="3078" t="s">
        <v>548</v>
      </c>
      <c r="E50" s="3056"/>
      <c r="F50" s="2496"/>
      <c r="G50" s="2899"/>
      <c r="H50" s="2899"/>
      <c r="M50" s="1080"/>
      <c r="N50" s="1080"/>
    </row>
    <row r="51" s="2266" customFormat="1" ht="15" spans="1:41">
      <c r="A51" s="2899"/>
      <c r="B51" s="2899"/>
      <c r="C51" s="2899"/>
      <c r="D51" s="3083" t="s">
        <v>549</v>
      </c>
      <c r="E51" s="3084"/>
      <c r="F51" s="2496"/>
      <c r="G51" s="2899"/>
      <c r="H51" s="2899"/>
      <c r="I51" s="2899"/>
      <c r="J51" s="2899"/>
      <c r="K51" s="2899"/>
      <c r="L51" s="2899"/>
      <c r="M51" s="1080"/>
      <c r="N51" s="1080"/>
      <c r="O51" s="2899"/>
      <c r="P51" s="2899"/>
      <c r="Q51" s="2899"/>
      <c r="R51" s="2899"/>
      <c r="S51" s="2899"/>
      <c r="T51" s="2899"/>
      <c r="U51" s="2899"/>
      <c r="V51" s="2899"/>
      <c r="W51" s="2899"/>
      <c r="X51" s="2899"/>
      <c r="Y51" s="2899"/>
      <c r="Z51" s="2899"/>
      <c r="AA51" s="2899"/>
      <c r="AB51" s="2899"/>
      <c r="AC51" s="2899"/>
      <c r="AD51" s="2899"/>
      <c r="AE51" s="2899"/>
      <c r="AF51" s="2899"/>
      <c r="AG51" s="2899"/>
      <c r="AH51" s="2899"/>
      <c r="AI51" s="2899"/>
      <c r="AJ51" s="2899"/>
      <c r="AK51" s="2899"/>
      <c r="AL51" s="2899"/>
      <c r="AM51" s="2899"/>
      <c r="AN51" s="2899"/>
      <c r="AO51" s="2899"/>
    </row>
    <row r="52" s="2899" customFormat="1" ht="14.25" spans="4:14">
      <c r="D52" s="2985"/>
      <c r="E52" s="2985"/>
      <c r="F52" s="2985"/>
      <c r="G52" s="2985"/>
      <c r="H52" s="2985"/>
      <c r="I52" s="1080"/>
      <c r="J52" s="1080"/>
      <c r="K52" s="1080"/>
      <c r="L52" s="1080"/>
      <c r="M52" s="1080"/>
      <c r="N52" s="1080"/>
    </row>
    <row r="53" s="2899" customFormat="1" ht="14.25" spans="4:14">
      <c r="D53" s="2985"/>
      <c r="E53" s="2985"/>
      <c r="F53" s="2985"/>
      <c r="G53" s="2985"/>
      <c r="H53" s="2985"/>
      <c r="I53" s="1080"/>
      <c r="J53" s="1080"/>
      <c r="K53" s="1080"/>
      <c r="L53" s="1080"/>
      <c r="M53" s="1080"/>
      <c r="N53" s="1080"/>
    </row>
    <row r="54" s="2899" customFormat="1" ht="14.25" spans="4:14">
      <c r="D54" s="2985"/>
      <c r="E54" s="2985"/>
      <c r="F54" s="2985"/>
      <c r="G54" s="2985"/>
      <c r="H54" s="2985"/>
      <c r="I54" s="1080"/>
      <c r="J54" s="1080"/>
      <c r="K54" s="1080"/>
      <c r="L54" s="1080"/>
      <c r="M54" s="1080"/>
      <c r="N54" s="1080"/>
    </row>
    <row r="55" s="2899" customFormat="1" ht="14.25" spans="4:14">
      <c r="D55" s="2985"/>
      <c r="E55" s="2985"/>
      <c r="F55" s="2985"/>
      <c r="G55" s="2985"/>
      <c r="H55" s="2985"/>
      <c r="I55" s="1080"/>
      <c r="J55" s="1080"/>
      <c r="K55" s="1080"/>
      <c r="L55" s="1080"/>
      <c r="M55" s="1080"/>
      <c r="N55" s="1080"/>
    </row>
    <row r="56" s="2899" customFormat="1" ht="14.25" spans="4:14">
      <c r="D56" s="2985"/>
      <c r="E56" s="2985"/>
      <c r="F56" s="2985"/>
      <c r="G56" s="2985"/>
      <c r="H56" s="2985"/>
      <c r="I56" s="1080"/>
      <c r="J56" s="1080"/>
      <c r="K56" s="1080"/>
      <c r="L56" s="1080"/>
      <c r="M56" s="1080"/>
      <c r="N56" s="1080"/>
    </row>
    <row r="57" s="2899" customFormat="1" ht="14.25" spans="4:14">
      <c r="D57" s="2985"/>
      <c r="E57" s="2985"/>
      <c r="F57" s="2985"/>
      <c r="G57" s="2985"/>
      <c r="H57" s="2985"/>
      <c r="I57" s="1080"/>
      <c r="J57" s="1080"/>
      <c r="K57" s="1080"/>
      <c r="L57" s="1080"/>
      <c r="M57" s="1080"/>
      <c r="N57" s="1080"/>
    </row>
    <row r="58" s="2899" customFormat="1" ht="14.25" spans="4:14">
      <c r="D58" s="2985"/>
      <c r="E58" s="2985"/>
      <c r="F58" s="2985"/>
      <c r="G58" s="2985"/>
      <c r="H58" s="2985"/>
      <c r="I58" s="1080"/>
      <c r="J58" s="1080"/>
      <c r="K58" s="1080"/>
      <c r="L58" s="1080"/>
      <c r="M58" s="1080"/>
      <c r="N58" s="1080"/>
    </row>
    <row r="59" s="2899" customFormat="1" ht="14.25" spans="4:14">
      <c r="D59" s="2985"/>
      <c r="E59" s="2985"/>
      <c r="F59" s="2985"/>
      <c r="G59" s="2985"/>
      <c r="H59" s="2985"/>
      <c r="I59" s="1080"/>
      <c r="J59" s="1080"/>
      <c r="K59" s="1080"/>
      <c r="L59" s="1080"/>
      <c r="M59" s="1241"/>
      <c r="N59" s="1080"/>
    </row>
    <row r="60" s="2899" customFormat="1" ht="14.25" spans="4:14">
      <c r="D60" s="2985"/>
      <c r="E60" s="2985"/>
      <c r="F60" s="2985"/>
      <c r="G60" s="2985"/>
      <c r="H60" s="2985"/>
      <c r="I60" s="1080"/>
      <c r="J60" s="1080"/>
      <c r="K60" s="1080"/>
      <c r="L60" s="1080"/>
      <c r="M60" s="1080"/>
      <c r="N60" s="1080"/>
    </row>
    <row r="61" s="2899" customFormat="1" ht="14.25" spans="4:14">
      <c r="D61" s="2985"/>
      <c r="E61" s="2985"/>
      <c r="F61" s="2985"/>
      <c r="G61" s="2985"/>
      <c r="H61" s="2985"/>
      <c r="I61" s="1080"/>
      <c r="J61" s="1080"/>
      <c r="K61" s="1080"/>
      <c r="L61" s="1080"/>
      <c r="M61" s="1080"/>
      <c r="N61" s="1080"/>
    </row>
    <row r="62" s="2899" customFormat="1" ht="14.25" spans="4:14">
      <c r="D62" s="2985"/>
      <c r="E62" s="2985"/>
      <c r="F62" s="2985"/>
      <c r="G62" s="2985"/>
      <c r="H62" s="2985"/>
      <c r="I62" s="1080"/>
      <c r="J62" s="1080"/>
      <c r="K62" s="1080"/>
      <c r="L62" s="1080"/>
      <c r="M62" s="1080"/>
      <c r="N62" s="1080"/>
    </row>
    <row r="63" s="2899" customFormat="1" ht="14.25" spans="4:14">
      <c r="D63" s="2985"/>
      <c r="E63" s="2985"/>
      <c r="F63" s="2985"/>
      <c r="G63" s="2985"/>
      <c r="H63" s="2985"/>
      <c r="I63" s="1080"/>
      <c r="J63" s="1080"/>
      <c r="K63" s="1080"/>
      <c r="L63" s="1080"/>
      <c r="M63" s="1080"/>
      <c r="N63" s="1080"/>
    </row>
    <row r="64" s="2899" customFormat="1" ht="14.25" spans="4:14">
      <c r="D64" s="2985"/>
      <c r="E64" s="2985"/>
      <c r="F64" s="2985"/>
      <c r="G64" s="2985"/>
      <c r="H64" s="2985"/>
      <c r="I64" s="1080"/>
      <c r="J64" s="1080"/>
      <c r="K64" s="1080"/>
      <c r="L64" s="1080"/>
      <c r="M64" s="1080"/>
      <c r="N64" s="1080"/>
    </row>
    <row r="65" s="2899" customFormat="1" ht="14.25" spans="4:14">
      <c r="D65" s="2985"/>
      <c r="E65" s="2985"/>
      <c r="F65" s="2985"/>
      <c r="G65" s="2985"/>
      <c r="H65" s="2985"/>
      <c r="I65" s="1080"/>
      <c r="J65" s="1080"/>
      <c r="K65" s="1080"/>
      <c r="L65" s="1080"/>
      <c r="M65" s="1080"/>
      <c r="N65" s="1080"/>
    </row>
    <row r="66" s="2899" customFormat="1" ht="14.25" spans="4:14">
      <c r="D66" s="2985"/>
      <c r="E66" s="2985"/>
      <c r="F66" s="2985"/>
      <c r="G66" s="2985"/>
      <c r="H66" s="2985"/>
      <c r="I66" s="1080"/>
      <c r="J66" s="1080"/>
      <c r="K66" s="1080"/>
      <c r="L66" s="1080"/>
      <c r="M66" s="1080"/>
      <c r="N66" s="1080"/>
    </row>
    <row r="67" s="2899" customFormat="1" ht="14.25" spans="1:14">
      <c r="A67" s="3085"/>
      <c r="D67" s="2985"/>
      <c r="E67" s="2985"/>
      <c r="F67" s="2985"/>
      <c r="G67" s="2985"/>
      <c r="H67" s="2985"/>
      <c r="I67" s="1080"/>
      <c r="J67" s="1080"/>
      <c r="K67" s="1080"/>
      <c r="L67" s="1080"/>
      <c r="M67" s="1080"/>
      <c r="N67" s="1080"/>
    </row>
    <row r="68" s="2899" customFormat="1" ht="14.25" spans="1:8">
      <c r="A68" s="3085"/>
      <c r="D68" s="2985"/>
      <c r="E68" s="2985"/>
      <c r="F68" s="2985"/>
      <c r="G68" s="2978"/>
      <c r="H68" s="2978"/>
    </row>
    <row r="69" s="2899" customFormat="1" spans="1:8">
      <c r="A69" s="3085"/>
      <c r="D69" s="2978"/>
      <c r="E69" s="2978"/>
      <c r="F69" s="2978"/>
      <c r="G69" s="2978"/>
      <c r="H69" s="2978"/>
    </row>
    <row r="70" s="2899" customFormat="1" spans="1:8">
      <c r="A70" s="3085"/>
      <c r="D70" s="2978"/>
      <c r="E70" s="2978"/>
      <c r="F70" s="2978"/>
      <c r="G70" s="2978"/>
      <c r="H70" s="2978"/>
    </row>
    <row r="71" s="2899" customFormat="1" spans="1:8">
      <c r="A71" s="3085"/>
      <c r="D71" s="2978"/>
      <c r="E71" s="2978"/>
      <c r="F71" s="2978"/>
      <c r="G71" s="2978"/>
      <c r="H71" s="2978"/>
    </row>
    <row r="72" s="2899" customFormat="1" spans="1:8">
      <c r="A72" s="3085"/>
      <c r="D72" s="2978"/>
      <c r="E72" s="2978"/>
      <c r="F72" s="2978"/>
      <c r="G72" s="2978"/>
      <c r="H72" s="2978"/>
    </row>
    <row r="73" s="2899" customFormat="1" spans="1:8">
      <c r="A73" s="3085"/>
      <c r="D73" s="2978"/>
      <c r="E73" s="2978"/>
      <c r="F73" s="2978"/>
      <c r="G73" s="2978"/>
      <c r="H73" s="2978"/>
    </row>
    <row r="74" s="2899" customFormat="1" spans="1:8">
      <c r="A74" s="3085"/>
      <c r="D74" s="2978"/>
      <c r="E74" s="2978"/>
      <c r="F74" s="2978"/>
      <c r="G74" s="2978"/>
      <c r="H74" s="2978"/>
    </row>
    <row r="75" s="2899" customFormat="1" spans="1:8">
      <c r="A75" s="3085"/>
      <c r="D75" s="2978"/>
      <c r="E75" s="2978"/>
      <c r="F75" s="2978"/>
      <c r="G75" s="2978"/>
      <c r="H75" s="2978"/>
    </row>
    <row r="76" s="2899" customFormat="1" spans="1:8">
      <c r="A76" s="3085"/>
      <c r="D76" s="2978"/>
      <c r="E76" s="2978"/>
      <c r="F76" s="2978"/>
      <c r="G76" s="2978"/>
      <c r="H76" s="2978"/>
    </row>
    <row r="77" s="2899" customFormat="1" spans="1:8">
      <c r="A77" s="3085"/>
      <c r="D77" s="2978"/>
      <c r="E77" s="2978"/>
      <c r="F77" s="2978"/>
      <c r="G77" s="2978"/>
      <c r="H77" s="2978"/>
    </row>
    <row r="78" s="2899" customFormat="1" spans="1:8">
      <c r="A78" s="3085"/>
      <c r="D78" s="2978"/>
      <c r="E78" s="2978"/>
      <c r="F78" s="2978"/>
      <c r="G78" s="2978"/>
      <c r="H78" s="2978"/>
    </row>
    <row r="79" s="2899" customFormat="1" spans="1:8">
      <c r="A79" s="3085"/>
      <c r="D79" s="2978"/>
      <c r="E79" s="2978"/>
      <c r="F79" s="2978"/>
      <c r="G79" s="2978"/>
      <c r="H79" s="2978"/>
    </row>
    <row r="80" s="2899" customFormat="1" spans="1:8">
      <c r="A80" s="3085"/>
      <c r="D80" s="2978"/>
      <c r="E80" s="2978"/>
      <c r="F80" s="2978"/>
      <c r="G80" s="2978"/>
      <c r="H80" s="2978"/>
    </row>
    <row r="81" s="2899" customFormat="1" spans="1:8">
      <c r="A81" s="3085"/>
      <c r="D81" s="2978"/>
      <c r="E81" s="2978"/>
      <c r="F81" s="2978"/>
      <c r="G81" s="2978"/>
      <c r="H81" s="2978"/>
    </row>
    <row r="82" s="2899" customFormat="1" spans="1:8">
      <c r="A82" s="3085"/>
      <c r="D82" s="2978"/>
      <c r="E82" s="2978"/>
      <c r="F82" s="2978"/>
      <c r="G82" s="2978"/>
      <c r="H82" s="2978"/>
    </row>
    <row r="83" s="2899" customFormat="1" spans="1:8">
      <c r="A83" s="3085"/>
      <c r="D83" s="2978"/>
      <c r="E83" s="2978"/>
      <c r="F83" s="2978"/>
      <c r="G83" s="2978"/>
      <c r="H83" s="2978"/>
    </row>
    <row r="84" s="2899" customFormat="1" spans="1:8">
      <c r="A84" s="3085"/>
      <c r="D84" s="2978"/>
      <c r="E84" s="2978"/>
      <c r="F84" s="2978"/>
      <c r="G84" s="2978"/>
      <c r="H84" s="2978"/>
    </row>
    <row r="85" s="2899" customFormat="1" spans="1:8">
      <c r="A85" s="3085"/>
      <c r="D85" s="2978"/>
      <c r="E85" s="2978"/>
      <c r="F85" s="2978"/>
      <c r="G85" s="2978"/>
      <c r="H85" s="2978"/>
    </row>
    <row r="86" s="2899" customFormat="1" spans="1:8">
      <c r="A86" s="3085"/>
      <c r="D86" s="2978"/>
      <c r="E86" s="2978"/>
      <c r="F86" s="2978"/>
      <c r="G86" s="2978"/>
      <c r="H86" s="2978"/>
    </row>
    <row r="87" s="2899" customFormat="1" spans="1:8">
      <c r="A87" s="3085"/>
      <c r="D87" s="2978"/>
      <c r="E87" s="2978"/>
      <c r="F87" s="2978"/>
      <c r="G87" s="2978"/>
      <c r="H87" s="2978"/>
    </row>
    <row r="88" s="2899" customFormat="1" spans="1:8">
      <c r="A88" s="3085"/>
      <c r="D88" s="2978"/>
      <c r="E88" s="2978"/>
      <c r="F88" s="2978"/>
      <c r="G88" s="2978"/>
      <c r="H88" s="2978"/>
    </row>
    <row r="89" s="2899" customFormat="1" spans="1:8">
      <c r="A89" s="3085"/>
      <c r="D89" s="2978"/>
      <c r="E89" s="2978"/>
      <c r="F89" s="2978"/>
      <c r="G89" s="2978"/>
      <c r="H89" s="2978"/>
    </row>
    <row r="90" s="2899" customFormat="1" spans="1:8">
      <c r="A90" s="3085"/>
      <c r="D90" s="2978"/>
      <c r="E90" s="2978"/>
      <c r="F90" s="2978"/>
      <c r="G90" s="2978"/>
      <c r="H90" s="2978"/>
    </row>
    <row r="91" s="2899" customFormat="1" spans="1:8">
      <c r="A91" s="3085"/>
      <c r="D91" s="2978"/>
      <c r="E91" s="2978"/>
      <c r="F91" s="2978"/>
      <c r="G91" s="2978"/>
      <c r="H91" s="2978"/>
    </row>
    <row r="92" s="2899" customFormat="1" spans="1:8">
      <c r="A92" s="3085"/>
      <c r="D92" s="2978"/>
      <c r="E92" s="2978"/>
      <c r="F92" s="2978"/>
      <c r="G92" s="2978"/>
      <c r="H92" s="2978"/>
    </row>
    <row r="93" s="2899" customFormat="1" spans="1:8">
      <c r="A93" s="3085"/>
      <c r="D93" s="2978"/>
      <c r="E93" s="2978"/>
      <c r="F93" s="2978"/>
      <c r="G93" s="2978"/>
      <c r="H93" s="2978"/>
    </row>
    <row r="94" s="2899" customFormat="1" spans="1:8">
      <c r="A94" s="3085"/>
      <c r="D94" s="2978"/>
      <c r="E94" s="2978"/>
      <c r="F94" s="2978"/>
      <c r="G94" s="2978"/>
      <c r="H94" s="2978"/>
    </row>
    <row r="95" s="2899" customFormat="1" spans="1:8">
      <c r="A95" s="3085"/>
      <c r="D95" s="2978"/>
      <c r="E95" s="2978"/>
      <c r="F95" s="2978"/>
      <c r="G95" s="2978"/>
      <c r="H95" s="2978"/>
    </row>
    <row r="96" s="2899" customFormat="1" spans="1:8">
      <c r="A96" s="3085"/>
      <c r="D96" s="2978"/>
      <c r="E96" s="2978"/>
      <c r="F96" s="2978"/>
      <c r="G96" s="2978"/>
      <c r="H96" s="2978"/>
    </row>
    <row r="97" s="2899" customFormat="1" spans="1:8">
      <c r="A97" s="3085"/>
      <c r="D97" s="2978"/>
      <c r="E97" s="2978"/>
      <c r="F97" s="2978"/>
      <c r="G97" s="2978"/>
      <c r="H97" s="2978"/>
    </row>
    <row r="98" s="2899" customFormat="1" spans="1:8">
      <c r="A98" s="3085"/>
      <c r="D98" s="2978"/>
      <c r="E98" s="2978"/>
      <c r="F98" s="2978"/>
      <c r="G98" s="2978"/>
      <c r="H98" s="2978"/>
    </row>
    <row r="99" s="2899" customFormat="1" spans="1:8">
      <c r="A99" s="3085"/>
      <c r="D99" s="2978"/>
      <c r="E99" s="2978"/>
      <c r="F99" s="2978"/>
      <c r="G99" s="2978"/>
      <c r="H99" s="2978"/>
    </row>
    <row r="100" s="2899" customFormat="1" spans="1:8">
      <c r="A100" s="3085"/>
      <c r="D100" s="2978"/>
      <c r="E100" s="2978"/>
      <c r="F100" s="2978"/>
      <c r="G100" s="2978"/>
      <c r="H100" s="2978"/>
    </row>
    <row r="101" s="2899" customFormat="1" spans="1:8">
      <c r="A101" s="3085"/>
      <c r="D101" s="2978"/>
      <c r="E101" s="2978"/>
      <c r="F101" s="2978"/>
      <c r="G101" s="2978"/>
      <c r="H101" s="2978"/>
    </row>
    <row r="102" s="2899" customFormat="1" spans="1:8">
      <c r="A102" s="3085"/>
      <c r="D102" s="2978"/>
      <c r="E102" s="2978"/>
      <c r="F102" s="2978"/>
      <c r="G102" s="2978"/>
      <c r="H102" s="2978"/>
    </row>
    <row r="103" s="2899" customFormat="1" spans="1:8">
      <c r="A103" s="3085"/>
      <c r="D103" s="2978"/>
      <c r="E103" s="2978"/>
      <c r="F103" s="2978"/>
      <c r="G103" s="2978"/>
      <c r="H103" s="2978"/>
    </row>
    <row r="104" s="2899" customFormat="1" spans="1:8">
      <c r="A104" s="3085"/>
      <c r="D104" s="2978"/>
      <c r="E104" s="2978"/>
      <c r="F104" s="2978"/>
      <c r="G104" s="2978"/>
      <c r="H104" s="2978"/>
    </row>
    <row r="105" s="2899" customFormat="1" spans="1:8">
      <c r="A105" s="3085"/>
      <c r="D105" s="2978"/>
      <c r="E105" s="2978"/>
      <c r="F105" s="2978"/>
      <c r="G105" s="2978"/>
      <c r="H105" s="2978"/>
    </row>
    <row r="106" s="2899" customFormat="1" spans="1:8">
      <c r="A106" s="3085"/>
      <c r="D106" s="2978"/>
      <c r="E106" s="2978"/>
      <c r="F106" s="2978"/>
      <c r="G106" s="2978"/>
      <c r="H106" s="2978"/>
    </row>
    <row r="107" s="2899" customFormat="1" spans="1:8">
      <c r="A107" s="3085"/>
      <c r="D107" s="2978"/>
      <c r="E107" s="2978"/>
      <c r="F107" s="2978"/>
      <c r="G107" s="2978"/>
      <c r="H107" s="2978"/>
    </row>
    <row r="108" s="2899" customFormat="1" spans="1:8">
      <c r="A108" s="3085"/>
      <c r="D108" s="2978"/>
      <c r="E108" s="2978"/>
      <c r="F108" s="2978"/>
      <c r="G108" s="2978"/>
      <c r="H108" s="2978"/>
    </row>
    <row r="109" s="2899" customFormat="1" spans="1:8">
      <c r="A109" s="3085"/>
      <c r="D109" s="2978"/>
      <c r="E109" s="2978"/>
      <c r="F109" s="2978"/>
      <c r="G109" s="2978"/>
      <c r="H109" s="2978"/>
    </row>
    <row r="110" s="2899" customFormat="1" spans="1:8">
      <c r="A110" s="3085"/>
      <c r="D110" s="2978"/>
      <c r="E110" s="2978"/>
      <c r="F110" s="2978"/>
      <c r="G110" s="2978"/>
      <c r="H110" s="2978"/>
    </row>
    <row r="111" s="2899" customFormat="1" spans="1:8">
      <c r="A111" s="3085"/>
      <c r="D111" s="2978"/>
      <c r="E111" s="2978"/>
      <c r="F111" s="2978"/>
      <c r="G111" s="2978"/>
      <c r="H111" s="2978"/>
    </row>
    <row r="112" s="2899" customFormat="1" spans="1:8">
      <c r="A112" s="3085"/>
      <c r="D112" s="2978"/>
      <c r="E112" s="2978"/>
      <c r="F112" s="2978"/>
      <c r="G112" s="2978"/>
      <c r="H112" s="2978"/>
    </row>
    <row r="113" s="2899" customFormat="1" spans="1:8">
      <c r="A113" s="3085"/>
      <c r="D113" s="2978"/>
      <c r="E113" s="2978"/>
      <c r="F113" s="2978"/>
      <c r="G113" s="2978"/>
      <c r="H113" s="2978"/>
    </row>
    <row r="114" s="2899" customFormat="1" spans="1:8">
      <c r="A114" s="3085"/>
      <c r="D114" s="2978"/>
      <c r="E114" s="2978"/>
      <c r="F114" s="2978"/>
      <c r="G114" s="2978"/>
      <c r="H114" s="2978"/>
    </row>
    <row r="115" s="2899" customFormat="1" spans="1:8">
      <c r="A115" s="3085"/>
      <c r="D115" s="2978"/>
      <c r="E115" s="2978"/>
      <c r="F115" s="2978"/>
      <c r="G115" s="2978"/>
      <c r="H115" s="2978"/>
    </row>
    <row r="116" s="2899" customFormat="1" spans="1:8">
      <c r="A116" s="3085"/>
      <c r="D116" s="2978"/>
      <c r="E116" s="2978"/>
      <c r="F116" s="2978"/>
      <c r="G116" s="2978"/>
      <c r="H116" s="2978"/>
    </row>
    <row r="117" s="2899" customFormat="1" spans="1:8">
      <c r="A117" s="3085"/>
      <c r="D117" s="2978"/>
      <c r="E117" s="2978"/>
      <c r="F117" s="2978"/>
      <c r="G117" s="2978"/>
      <c r="H117" s="2978"/>
    </row>
    <row r="118" s="2899" customFormat="1" spans="1:8">
      <c r="A118" s="3085"/>
      <c r="D118" s="2978"/>
      <c r="E118" s="2978"/>
      <c r="F118" s="2978"/>
      <c r="G118" s="2978"/>
      <c r="H118" s="2978"/>
    </row>
    <row r="119" s="2899" customFormat="1" spans="1:8">
      <c r="A119" s="3085"/>
      <c r="D119" s="2978"/>
      <c r="E119" s="2978"/>
      <c r="F119" s="2978"/>
      <c r="G119" s="2978"/>
      <c r="H119" s="2978"/>
    </row>
    <row r="120" s="2899" customFormat="1" spans="1:8">
      <c r="A120" s="3085"/>
      <c r="D120" s="2978"/>
      <c r="E120" s="2978"/>
      <c r="F120" s="2978"/>
      <c r="G120" s="2978"/>
      <c r="H120" s="2978"/>
    </row>
    <row r="121" s="2899" customFormat="1" spans="1:8">
      <c r="A121" s="3085"/>
      <c r="D121" s="2978"/>
      <c r="E121" s="2978"/>
      <c r="F121" s="2978"/>
      <c r="G121" s="2978"/>
      <c r="H121" s="2978"/>
    </row>
    <row r="122" s="2899" customFormat="1" spans="1:8">
      <c r="A122" s="3085"/>
      <c r="D122" s="2978"/>
      <c r="E122" s="2978"/>
      <c r="F122" s="2978"/>
      <c r="G122" s="2978"/>
      <c r="H122" s="2978"/>
    </row>
    <row r="123" s="2899" customFormat="1" spans="1:8">
      <c r="A123" s="3085"/>
      <c r="D123" s="2978"/>
      <c r="E123" s="2978"/>
      <c r="F123" s="2978"/>
      <c r="G123" s="2978"/>
      <c r="H123" s="2978"/>
    </row>
    <row r="124" s="2899" customFormat="1" spans="1:8">
      <c r="A124" s="3085"/>
      <c r="D124" s="2978"/>
      <c r="E124" s="2978"/>
      <c r="F124" s="2978"/>
      <c r="G124" s="2978"/>
      <c r="H124" s="2978"/>
    </row>
    <row r="125" s="2899" customFormat="1" spans="1:8">
      <c r="A125" s="3085"/>
      <c r="D125" s="2978"/>
      <c r="E125" s="2978"/>
      <c r="F125" s="2978"/>
      <c r="G125" s="2978"/>
      <c r="H125" s="2978"/>
    </row>
    <row r="126" s="2899" customFormat="1" spans="1:8">
      <c r="A126" s="3085"/>
      <c r="D126" s="2978"/>
      <c r="E126" s="2978"/>
      <c r="F126" s="2978"/>
      <c r="G126" s="2978"/>
      <c r="H126" s="2978"/>
    </row>
    <row r="127" s="2899" customFormat="1" spans="1:8">
      <c r="A127" s="3085"/>
      <c r="D127" s="2978"/>
      <c r="E127" s="2978"/>
      <c r="F127" s="2978"/>
      <c r="G127" s="2978"/>
      <c r="H127" s="2978"/>
    </row>
    <row r="128" s="2899" customFormat="1" spans="1:8">
      <c r="A128" s="3085"/>
      <c r="D128" s="2978"/>
      <c r="E128" s="2978"/>
      <c r="F128" s="2978"/>
      <c r="G128" s="2978"/>
      <c r="H128" s="2978"/>
    </row>
    <row r="129" s="2899" customFormat="1" spans="1:8">
      <c r="A129" s="3085"/>
      <c r="D129" s="2978"/>
      <c r="E129" s="2978"/>
      <c r="F129" s="2978"/>
      <c r="G129" s="2978"/>
      <c r="H129" s="2978"/>
    </row>
    <row r="130" s="2899" customFormat="1" spans="1:8">
      <c r="A130" s="3085"/>
      <c r="D130" s="2978"/>
      <c r="E130" s="2978"/>
      <c r="F130" s="2978"/>
      <c r="G130" s="2978"/>
      <c r="H130" s="2978"/>
    </row>
    <row r="131" s="2899" customFormat="1" spans="1:8">
      <c r="A131" s="3085"/>
      <c r="D131" s="2978"/>
      <c r="E131" s="2978"/>
      <c r="F131" s="2978"/>
      <c r="G131" s="2978"/>
      <c r="H131" s="2978"/>
    </row>
    <row r="132" s="2899" customFormat="1" spans="1:8">
      <c r="A132" s="3085"/>
      <c r="D132" s="2978"/>
      <c r="E132" s="2978"/>
      <c r="F132" s="2978"/>
      <c r="G132" s="2978"/>
      <c r="H132" s="2978"/>
    </row>
    <row r="133" s="2899" customFormat="1" spans="1:8">
      <c r="A133" s="3085"/>
      <c r="D133" s="2978"/>
      <c r="E133" s="2978"/>
      <c r="F133" s="2978"/>
      <c r="G133" s="2978"/>
      <c r="H133" s="2978"/>
    </row>
    <row r="134" s="2899" customFormat="1" spans="1:8">
      <c r="A134" s="3085"/>
      <c r="D134" s="2978"/>
      <c r="E134" s="2978"/>
      <c r="F134" s="2978"/>
      <c r="G134" s="2978"/>
      <c r="H134" s="2978"/>
    </row>
    <row r="135" s="2899" customFormat="1" spans="1:8">
      <c r="A135" s="3085"/>
      <c r="D135" s="2978"/>
      <c r="E135" s="2978"/>
      <c r="F135" s="2978"/>
      <c r="G135" s="2978"/>
      <c r="H135" s="2978"/>
    </row>
    <row r="136" s="2899" customFormat="1" spans="1:8">
      <c r="A136" s="3085"/>
      <c r="D136" s="2978"/>
      <c r="E136" s="2978"/>
      <c r="F136" s="2978"/>
      <c r="G136" s="2978"/>
      <c r="H136" s="2978"/>
    </row>
    <row r="137" s="2899" customFormat="1" spans="1:8">
      <c r="A137" s="3085"/>
      <c r="D137" s="2978"/>
      <c r="E137" s="2978"/>
      <c r="F137" s="2978"/>
      <c r="G137" s="2978"/>
      <c r="H137" s="2978"/>
    </row>
    <row r="138" s="2899" customFormat="1" spans="1:8">
      <c r="A138" s="3085"/>
      <c r="D138" s="2978"/>
      <c r="E138" s="2978"/>
      <c r="F138" s="2978"/>
      <c r="G138" s="2978"/>
      <c r="H138" s="2978"/>
    </row>
    <row r="139" s="2899" customFormat="1" spans="1:8">
      <c r="A139" s="3085"/>
      <c r="D139" s="2978"/>
      <c r="E139" s="2978"/>
      <c r="F139" s="2978"/>
      <c r="G139" s="2978"/>
      <c r="H139" s="2978"/>
    </row>
    <row r="140" s="2899" customFormat="1" spans="1:8">
      <c r="A140" s="3085"/>
      <c r="D140" s="2978"/>
      <c r="E140" s="2978"/>
      <c r="F140" s="2978"/>
      <c r="G140" s="2978"/>
      <c r="H140" s="2978"/>
    </row>
    <row r="141" s="2899" customFormat="1" spans="1:8">
      <c r="A141" s="3085"/>
      <c r="D141" s="2978"/>
      <c r="E141" s="2978"/>
      <c r="F141" s="2978"/>
      <c r="G141" s="2978"/>
      <c r="H141" s="2978"/>
    </row>
    <row r="142" s="2899" customFormat="1" spans="1:8">
      <c r="A142" s="3085"/>
      <c r="D142" s="2978"/>
      <c r="E142" s="2978"/>
      <c r="F142" s="2978"/>
      <c r="G142" s="2978"/>
      <c r="H142" s="2978"/>
    </row>
    <row r="143" s="2899" customFormat="1" spans="1:8">
      <c r="A143" s="3085"/>
      <c r="D143" s="2978"/>
      <c r="E143" s="2978"/>
      <c r="F143" s="2978"/>
      <c r="G143" s="2978"/>
      <c r="H143" s="2978"/>
    </row>
    <row r="144" s="2899" customFormat="1" spans="1:8">
      <c r="A144" s="3085"/>
      <c r="D144" s="2978"/>
      <c r="E144" s="2978"/>
      <c r="F144" s="2978"/>
      <c r="G144" s="2978"/>
      <c r="H144" s="2978"/>
    </row>
    <row r="145" s="2899" customFormat="1" spans="1:8">
      <c r="A145" s="3085"/>
      <c r="D145" s="2978"/>
      <c r="E145" s="2978"/>
      <c r="F145" s="2978"/>
      <c r="G145" s="2978"/>
      <c r="H145" s="2978"/>
    </row>
    <row r="146" s="2899" customFormat="1" spans="1:8">
      <c r="A146" s="3085"/>
      <c r="D146" s="2978"/>
      <c r="E146" s="2978"/>
      <c r="F146" s="2978"/>
      <c r="G146" s="2978"/>
      <c r="H146" s="2978"/>
    </row>
    <row r="147" s="2899" customFormat="1" spans="1:8">
      <c r="A147" s="3085"/>
      <c r="D147" s="2978"/>
      <c r="E147" s="2978"/>
      <c r="F147" s="2978"/>
      <c r="G147" s="2978"/>
      <c r="H147" s="2978"/>
    </row>
    <row r="148" s="2899" customFormat="1" spans="1:8">
      <c r="A148" s="3085"/>
      <c r="D148" s="2978"/>
      <c r="E148" s="2978"/>
      <c r="F148" s="2978"/>
      <c r="G148" s="2978"/>
      <c r="H148" s="2978"/>
    </row>
    <row r="149" s="2899" customFormat="1" spans="1:8">
      <c r="A149" s="3085"/>
      <c r="D149" s="2978"/>
      <c r="E149" s="2978"/>
      <c r="F149" s="2978"/>
      <c r="G149" s="2978"/>
      <c r="H149" s="2978"/>
    </row>
    <row r="150" s="2899" customFormat="1" spans="1:8">
      <c r="A150" s="3085"/>
      <c r="D150" s="2978"/>
      <c r="E150" s="2978"/>
      <c r="F150" s="2978"/>
      <c r="G150" s="2978"/>
      <c r="H150" s="2978"/>
    </row>
    <row r="151" s="2899" customFormat="1" spans="1:8">
      <c r="A151" s="3085"/>
      <c r="D151" s="2978"/>
      <c r="E151" s="2978"/>
      <c r="F151" s="2978"/>
      <c r="G151" s="2978"/>
      <c r="H151" s="2978"/>
    </row>
    <row r="152" s="2899" customFormat="1" spans="1:8">
      <c r="A152" s="3085"/>
      <c r="D152" s="2978"/>
      <c r="E152" s="2978"/>
      <c r="F152" s="2978"/>
      <c r="G152" s="2978"/>
      <c r="H152" s="2978"/>
    </row>
    <row r="153" s="2899" customFormat="1" spans="1:8">
      <c r="A153" s="3085"/>
      <c r="D153" s="2978"/>
      <c r="E153" s="2978"/>
      <c r="F153" s="2978"/>
      <c r="G153" s="2978"/>
      <c r="H153" s="2978"/>
    </row>
    <row r="154" s="2899" customFormat="1" spans="1:8">
      <c r="A154" s="3085"/>
      <c r="D154" s="2978"/>
      <c r="E154" s="2978"/>
      <c r="F154" s="2978"/>
      <c r="G154" s="2978"/>
      <c r="H154" s="2978"/>
    </row>
    <row r="155" s="2899" customFormat="1" spans="1:8">
      <c r="A155" s="3085"/>
      <c r="D155" s="2978"/>
      <c r="E155" s="2978"/>
      <c r="F155" s="2978"/>
      <c r="G155" s="2978"/>
      <c r="H155" s="2978"/>
    </row>
    <row r="156" s="2899" customFormat="1" spans="1:8">
      <c r="A156" s="3085"/>
      <c r="D156" s="2978"/>
      <c r="E156" s="2978"/>
      <c r="F156" s="2978"/>
      <c r="G156" s="2978"/>
      <c r="H156" s="2978"/>
    </row>
    <row r="157" s="2899" customFormat="1" spans="1:8">
      <c r="A157" s="3085"/>
      <c r="D157" s="2978"/>
      <c r="E157" s="2978"/>
      <c r="F157" s="2978"/>
      <c r="G157" s="2978"/>
      <c r="H157" s="2978"/>
    </row>
    <row r="158" spans="1:2">
      <c r="A158" s="3085"/>
      <c r="B158" s="2899"/>
    </row>
  </sheetData>
  <sheetProtection password="CEE9" sheet="1" formatCells="0" formatColumns="0" formatRows="0" objects="1" scenarios="1"/>
  <mergeCells count="1">
    <mergeCell ref="D2:D4"/>
  </mergeCells>
  <dataValidations count="10">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11">
      <formula1>法定最高年限</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2902" customWidth="1"/>
    <col min="2" max="2" width="24.5" style="2903" customWidth="1"/>
    <col min="3" max="3" width="28.375" style="2904" customWidth="1"/>
    <col min="4" max="4" width="2.625" style="2904" customWidth="1"/>
    <col min="5" max="5" width="5.875" style="2904" customWidth="1"/>
    <col min="6" max="6" width="27" style="2903" customWidth="1"/>
    <col min="7" max="7" width="32.375" style="2905" customWidth="1"/>
    <col min="8" max="8" width="11.875" style="2906" customWidth="1"/>
    <col min="9" max="9" width="16.75" style="2907" customWidth="1"/>
    <col min="10" max="10" width="2.625" style="2906" customWidth="1"/>
    <col min="11" max="11" width="11.875" style="2906" customWidth="1"/>
    <col min="12" max="12" width="16.75" style="2907" customWidth="1"/>
    <col min="13" max="13" width="2.625" style="2906" customWidth="1"/>
    <col min="14" max="14" width="11.875" style="2906" customWidth="1"/>
    <col min="15" max="15" width="16.75" style="2907" customWidth="1"/>
    <col min="16" max="16" width="2.625" style="2906" customWidth="1"/>
    <col min="17" max="17" width="11.875" style="2906" customWidth="1"/>
    <col min="18" max="18" width="16.75" style="2908" customWidth="1"/>
    <col min="19" max="29" width="9" style="2901"/>
    <col min="30" max="16384" width="9" style="2902"/>
  </cols>
  <sheetData>
    <row r="1" s="2897" customFormat="1" ht="19.5" spans="1:29">
      <c r="A1" s="2909" t="s">
        <v>550</v>
      </c>
      <c r="B1" s="2910"/>
      <c r="C1" s="2910"/>
      <c r="D1" s="2910"/>
      <c r="E1" s="2910"/>
      <c r="F1" s="2910"/>
      <c r="G1" s="2910"/>
      <c r="H1" s="2911"/>
      <c r="I1" s="2963"/>
      <c r="J1" s="2911"/>
      <c r="K1" s="2911"/>
      <c r="L1" s="2963"/>
      <c r="M1" s="2911"/>
      <c r="N1" s="2911"/>
      <c r="O1" s="2963"/>
      <c r="P1" s="2911"/>
      <c r="Q1" s="2971"/>
      <c r="R1" s="2972"/>
      <c r="S1" s="2973"/>
      <c r="T1" s="2973"/>
      <c r="U1" s="2973"/>
      <c r="V1" s="2973"/>
      <c r="W1" s="2973"/>
      <c r="X1" s="2973"/>
      <c r="Y1" s="2973"/>
      <c r="Z1" s="2973"/>
      <c r="AA1" s="2973"/>
      <c r="AB1" s="2973"/>
      <c r="AC1" s="2973"/>
    </row>
    <row r="2" s="2898" customFormat="1" ht="13.5" spans="1:29">
      <c r="A2" s="2912"/>
      <c r="B2" s="2913"/>
      <c r="C2" s="2914" t="s">
        <v>551</v>
      </c>
      <c r="D2" s="2915"/>
      <c r="E2" s="2912"/>
      <c r="F2" s="2916"/>
      <c r="G2" s="2914" t="s">
        <v>552</v>
      </c>
      <c r="H2" s="2900"/>
      <c r="I2" s="2900"/>
      <c r="J2" s="2900"/>
      <c r="K2" s="2900"/>
      <c r="L2" s="2900"/>
      <c r="M2" s="2900"/>
      <c r="N2" s="2900"/>
      <c r="O2" s="2900"/>
      <c r="P2" s="2900"/>
      <c r="Q2" s="2900"/>
      <c r="R2" s="2900"/>
      <c r="S2" s="2900"/>
      <c r="T2" s="2900"/>
      <c r="U2" s="2900"/>
      <c r="V2" s="2900"/>
      <c r="W2" s="2900"/>
      <c r="X2" s="2900"/>
      <c r="Y2" s="2900"/>
      <c r="Z2" s="2900"/>
      <c r="AA2" s="2900"/>
      <c r="AB2" s="2900"/>
      <c r="AC2" s="2900"/>
    </row>
    <row r="3" s="2898" customFormat="1" ht="36" spans="1:29">
      <c r="A3" s="2917" t="s">
        <v>553</v>
      </c>
      <c r="B3" s="2918" t="s">
        <v>554</v>
      </c>
      <c r="C3" s="2919" t="s">
        <v>555</v>
      </c>
      <c r="D3" s="2920"/>
      <c r="E3" s="2921" t="s">
        <v>553</v>
      </c>
      <c r="F3" s="2922" t="s">
        <v>556</v>
      </c>
      <c r="G3" s="2923" t="s">
        <v>557</v>
      </c>
      <c r="H3" s="2900"/>
      <c r="I3" s="2900"/>
      <c r="J3" s="2900"/>
      <c r="K3" s="2900"/>
      <c r="L3" s="2900"/>
      <c r="M3" s="2900"/>
      <c r="N3" s="2900"/>
      <c r="O3" s="2900"/>
      <c r="P3" s="2900"/>
      <c r="Q3" s="2900"/>
      <c r="R3" s="2900"/>
      <c r="S3" s="2900"/>
      <c r="T3" s="2900"/>
      <c r="U3" s="2900"/>
      <c r="V3" s="2900"/>
      <c r="W3" s="2900"/>
      <c r="X3" s="2900"/>
      <c r="Y3" s="2900"/>
      <c r="Z3" s="2900"/>
      <c r="AA3" s="2900"/>
      <c r="AB3" s="2900"/>
      <c r="AC3" s="2900"/>
    </row>
    <row r="4" s="2898" customFormat="1" ht="24.75" spans="1:29">
      <c r="A4" s="2921"/>
      <c r="B4" s="2171" t="s">
        <v>558</v>
      </c>
      <c r="C4" s="2924" t="s">
        <v>559</v>
      </c>
      <c r="D4" s="2920"/>
      <c r="E4" s="2925"/>
      <c r="F4" s="2546" t="s">
        <v>560</v>
      </c>
      <c r="G4" s="2926" t="s">
        <v>561</v>
      </c>
      <c r="H4" s="2900"/>
      <c r="I4" s="2900"/>
      <c r="J4" s="2900"/>
      <c r="K4" s="2900"/>
      <c r="L4" s="2900"/>
      <c r="M4" s="2900"/>
      <c r="N4" s="2900"/>
      <c r="O4" s="2900"/>
      <c r="P4" s="2900"/>
      <c r="Q4" s="2900"/>
      <c r="R4" s="2900"/>
      <c r="S4" s="2900"/>
      <c r="T4" s="2900"/>
      <c r="U4" s="2900"/>
      <c r="V4" s="2900"/>
      <c r="W4" s="2900"/>
      <c r="X4" s="2900"/>
      <c r="Y4" s="2900"/>
      <c r="Z4" s="2900"/>
      <c r="AA4" s="2900"/>
      <c r="AB4" s="2900"/>
      <c r="AC4" s="2900"/>
    </row>
    <row r="5" s="2898" customFormat="1" ht="24.75" spans="1:29">
      <c r="A5" s="2921"/>
      <c r="B5" s="2171" t="s">
        <v>562</v>
      </c>
      <c r="C5" s="2924" t="s">
        <v>563</v>
      </c>
      <c r="D5" s="2920"/>
      <c r="E5" s="2925"/>
      <c r="F5" s="2171" t="s">
        <v>564</v>
      </c>
      <c r="G5" s="2926" t="s">
        <v>565</v>
      </c>
      <c r="H5" s="2900"/>
      <c r="I5" s="2900"/>
      <c r="J5" s="2900"/>
      <c r="K5" s="2900"/>
      <c r="L5" s="2900"/>
      <c r="M5" s="2900"/>
      <c r="N5" s="2900"/>
      <c r="O5" s="2900"/>
      <c r="P5" s="2900"/>
      <c r="Q5" s="2900"/>
      <c r="R5" s="2900"/>
      <c r="S5" s="2900"/>
      <c r="T5" s="2900"/>
      <c r="U5" s="2900"/>
      <c r="V5" s="2900"/>
      <c r="W5" s="2900"/>
      <c r="X5" s="2900"/>
      <c r="Y5" s="2900"/>
      <c r="Z5" s="2900"/>
      <c r="AA5" s="2900"/>
      <c r="AB5" s="2900"/>
      <c r="AC5" s="2900"/>
    </row>
    <row r="6" s="2898" customFormat="1" ht="36" spans="1:29">
      <c r="A6" s="2921"/>
      <c r="B6" s="2171" t="s">
        <v>560</v>
      </c>
      <c r="C6" s="2926" t="s">
        <v>561</v>
      </c>
      <c r="D6" s="2920"/>
      <c r="E6" s="2925"/>
      <c r="F6" s="2171" t="s">
        <v>566</v>
      </c>
      <c r="G6" s="2926" t="s">
        <v>567</v>
      </c>
      <c r="H6" s="2900"/>
      <c r="I6" s="2900"/>
      <c r="J6" s="2900"/>
      <c r="K6" s="2900"/>
      <c r="L6" s="2900"/>
      <c r="M6" s="2900"/>
      <c r="N6" s="2900"/>
      <c r="O6" s="2900"/>
      <c r="P6" s="2900"/>
      <c r="Q6" s="2900"/>
      <c r="R6" s="2900"/>
      <c r="S6" s="2900"/>
      <c r="T6" s="2900"/>
      <c r="U6" s="2900"/>
      <c r="V6" s="2900"/>
      <c r="W6" s="2900"/>
      <c r="X6" s="2900"/>
      <c r="Y6" s="2900"/>
      <c r="Z6" s="2900"/>
      <c r="AA6" s="2900"/>
      <c r="AB6" s="2900"/>
      <c r="AC6" s="2900"/>
    </row>
    <row r="7" s="2898" customFormat="1" ht="24.75" spans="1:29">
      <c r="A7" s="2921"/>
      <c r="B7" s="2171" t="s">
        <v>564</v>
      </c>
      <c r="C7" s="2926" t="s">
        <v>565</v>
      </c>
      <c r="D7" s="2550"/>
      <c r="E7" s="2927"/>
      <c r="F7" s="2928" t="s">
        <v>568</v>
      </c>
      <c r="G7" s="2929" t="s">
        <v>569</v>
      </c>
      <c r="H7" s="2900"/>
      <c r="I7" s="2900"/>
      <c r="J7" s="2900"/>
      <c r="K7" s="2900"/>
      <c r="L7" s="2900"/>
      <c r="M7" s="2900"/>
      <c r="N7" s="2900"/>
      <c r="O7" s="2900"/>
      <c r="P7" s="2900"/>
      <c r="Q7" s="2900"/>
      <c r="R7" s="2900"/>
      <c r="S7" s="2900"/>
      <c r="T7" s="2900"/>
      <c r="U7" s="2900"/>
      <c r="V7" s="2900"/>
      <c r="W7" s="2900"/>
      <c r="X7" s="2900"/>
      <c r="Y7" s="2900"/>
      <c r="Z7" s="2900"/>
      <c r="AA7" s="2900"/>
      <c r="AB7" s="2900"/>
      <c r="AC7" s="2900"/>
    </row>
    <row r="8" s="2898" customFormat="1" ht="12.75" spans="1:29">
      <c r="A8" s="2921"/>
      <c r="B8" s="2171" t="s">
        <v>566</v>
      </c>
      <c r="C8" s="2926" t="s">
        <v>567</v>
      </c>
      <c r="D8" s="2550"/>
      <c r="E8" s="2550"/>
      <c r="F8" s="2558"/>
      <c r="G8" s="2558"/>
      <c r="H8" s="2900"/>
      <c r="I8" s="2900"/>
      <c r="J8" s="2900"/>
      <c r="K8" s="2900"/>
      <c r="L8" s="2900"/>
      <c r="M8" s="2900"/>
      <c r="N8" s="2900"/>
      <c r="O8" s="2900"/>
      <c r="P8" s="2900"/>
      <c r="Q8" s="2900"/>
      <c r="R8" s="2900"/>
      <c r="S8" s="2900"/>
      <c r="T8" s="2900"/>
      <c r="U8" s="2900"/>
      <c r="V8" s="2900"/>
      <c r="W8" s="2900"/>
      <c r="X8" s="2900"/>
      <c r="Y8" s="2900"/>
      <c r="Z8" s="2900"/>
      <c r="AA8" s="2900"/>
      <c r="AB8" s="2900"/>
      <c r="AC8" s="2900"/>
    </row>
    <row r="9" s="2898" customFormat="1" ht="24" spans="1:29">
      <c r="A9" s="2921"/>
      <c r="B9" s="2171" t="s">
        <v>570</v>
      </c>
      <c r="C9" s="2924" t="s">
        <v>571</v>
      </c>
      <c r="D9" s="2920"/>
      <c r="E9" s="2550"/>
      <c r="F9" s="2558"/>
      <c r="G9" s="2558"/>
      <c r="H9" s="2900"/>
      <c r="I9" s="2900"/>
      <c r="J9" s="2900"/>
      <c r="K9" s="2900"/>
      <c r="L9" s="2900"/>
      <c r="M9" s="2900"/>
      <c r="N9" s="2900"/>
      <c r="O9" s="2900"/>
      <c r="P9" s="2900"/>
      <c r="Q9" s="2900"/>
      <c r="R9" s="2900"/>
      <c r="S9" s="2900"/>
      <c r="T9" s="2900"/>
      <c r="U9" s="2900"/>
      <c r="V9" s="2900"/>
      <c r="W9" s="2900"/>
      <c r="X9" s="2900"/>
      <c r="Y9" s="2900"/>
      <c r="Z9" s="2900"/>
      <c r="AA9" s="2900"/>
      <c r="AB9" s="2900"/>
      <c r="AC9" s="2900"/>
    </row>
    <row r="10" s="2899" customFormat="1" ht="13.5" spans="1:29">
      <c r="A10" s="2930"/>
      <c r="B10" s="2552" t="s">
        <v>572</v>
      </c>
      <c r="C10" s="2931"/>
      <c r="D10" s="2920"/>
      <c r="E10" s="2920"/>
      <c r="F10" s="2558"/>
      <c r="G10" s="2558"/>
      <c r="H10" s="2773"/>
      <c r="I10" s="2964"/>
      <c r="J10" s="2965"/>
      <c r="K10" s="2773"/>
      <c r="L10" s="2964"/>
      <c r="M10" s="2965"/>
      <c r="N10" s="2773"/>
      <c r="O10" s="2964"/>
      <c r="P10" s="2965"/>
      <c r="Q10" s="2773"/>
      <c r="R10" s="2964"/>
      <c r="S10" s="2900"/>
      <c r="T10" s="2900"/>
      <c r="U10" s="2900"/>
      <c r="V10" s="2900"/>
      <c r="W10" s="2900"/>
      <c r="X10" s="2900"/>
      <c r="Y10" s="2900"/>
      <c r="Z10" s="2900"/>
      <c r="AA10" s="2900"/>
      <c r="AB10" s="2900"/>
      <c r="AC10" s="2900"/>
    </row>
    <row r="11" s="2899" customFormat="1" ht="12.75" spans="1:29">
      <c r="A11" s="2932"/>
      <c r="B11" s="2550"/>
      <c r="C11" s="2920"/>
      <c r="D11" s="2920"/>
      <c r="E11" s="2920"/>
      <c r="F11" s="2550"/>
      <c r="G11" s="2933"/>
      <c r="H11" s="2773"/>
      <c r="I11" s="2964"/>
      <c r="J11" s="2965"/>
      <c r="K11" s="2773"/>
      <c r="L11" s="2964"/>
      <c r="M11" s="2965"/>
      <c r="N11" s="2773"/>
      <c r="O11" s="2964"/>
      <c r="P11" s="2965"/>
      <c r="Q11" s="2773"/>
      <c r="R11" s="2964"/>
      <c r="S11" s="2900"/>
      <c r="T11" s="2900"/>
      <c r="U11" s="2900"/>
      <c r="V11" s="2900"/>
      <c r="W11" s="2900"/>
      <c r="X11" s="2900"/>
      <c r="Y11" s="2900"/>
      <c r="Z11" s="2900"/>
      <c r="AA11" s="2900"/>
      <c r="AB11" s="2900"/>
      <c r="AC11" s="2900"/>
    </row>
    <row r="12" s="2897" customFormat="1" ht="18" spans="1:29">
      <c r="A12" s="2934"/>
      <c r="B12" s="2935"/>
      <c r="C12" s="2936"/>
      <c r="D12" s="2937"/>
      <c r="E12" s="2936"/>
      <c r="F12" s="2935"/>
      <c r="G12" s="2365"/>
      <c r="H12" s="2938"/>
      <c r="I12" s="2966"/>
      <c r="J12" s="2938"/>
      <c r="K12" s="2938"/>
      <c r="L12" s="2967"/>
      <c r="M12" s="2938"/>
      <c r="N12" s="2968"/>
      <c r="O12" s="2969"/>
      <c r="P12" s="2968"/>
      <c r="Q12" s="2968"/>
      <c r="R12" s="2972"/>
      <c r="S12" s="2973"/>
      <c r="T12" s="2973"/>
      <c r="U12" s="2973"/>
      <c r="V12" s="2973"/>
      <c r="W12" s="2973"/>
      <c r="X12" s="2973"/>
      <c r="Y12" s="2973"/>
      <c r="Z12" s="2973"/>
      <c r="AA12" s="2973"/>
      <c r="AB12" s="2973"/>
      <c r="AC12" s="2973"/>
    </row>
    <row r="13" ht="19.5" spans="1:7">
      <c r="A13" s="2939" t="s">
        <v>573</v>
      </c>
      <c r="B13" s="2937"/>
      <c r="C13" s="2937"/>
      <c r="D13" s="2940"/>
      <c r="E13" s="2937"/>
      <c r="F13" s="2937"/>
      <c r="G13" s="2937"/>
    </row>
    <row r="14" s="2898" customFormat="1" ht="13.5" spans="1:29">
      <c r="A14" s="2941"/>
      <c r="B14" s="2941"/>
      <c r="C14" s="2942" t="s">
        <v>551</v>
      </c>
      <c r="D14" s="2920"/>
      <c r="E14" s="2943"/>
      <c r="F14" s="2943"/>
      <c r="G14" s="2914" t="s">
        <v>552</v>
      </c>
      <c r="H14" s="2944"/>
      <c r="I14" s="2970"/>
      <c r="J14" s="2944"/>
      <c r="K14" s="2944"/>
      <c r="L14" s="2970"/>
      <c r="M14" s="2944"/>
      <c r="N14" s="2944"/>
      <c r="O14" s="2970"/>
      <c r="P14" s="2944"/>
      <c r="Q14" s="2944"/>
      <c r="R14" s="2974"/>
      <c r="S14" s="2900"/>
      <c r="T14" s="2900"/>
      <c r="U14" s="2900"/>
      <c r="V14" s="2900"/>
      <c r="W14" s="2900"/>
      <c r="X14" s="2900"/>
      <c r="Y14" s="2900"/>
      <c r="Z14" s="2900"/>
      <c r="AA14" s="2900"/>
      <c r="AB14" s="2900"/>
      <c r="AC14" s="2900"/>
    </row>
    <row r="15" s="2898" customFormat="1" ht="36" spans="1:29">
      <c r="A15" s="2945" t="s">
        <v>553</v>
      </c>
      <c r="B15" s="2946" t="s">
        <v>554</v>
      </c>
      <c r="C15" s="2947" t="str">
        <f>C3</f>
        <v>估价对象周边居住用地比例、居住小区规模和社区发展完善程度，综合评价居住社区成熟度一般</v>
      </c>
      <c r="D15" s="2920"/>
      <c r="E15" s="2948" t="s">
        <v>553</v>
      </c>
      <c r="F15" s="2946" t="s">
        <v>556</v>
      </c>
      <c r="G15" s="2949" t="str">
        <f>G3</f>
        <v>估价对象位于XX开发区，园区建设成熟度XX，产业集聚程度XX</v>
      </c>
      <c r="H15" s="2944"/>
      <c r="I15" s="2970"/>
      <c r="J15" s="2944"/>
      <c r="K15" s="2944"/>
      <c r="L15" s="2970"/>
      <c r="M15" s="2944"/>
      <c r="N15" s="2944"/>
      <c r="O15" s="2970"/>
      <c r="P15" s="2944"/>
      <c r="Q15" s="2944"/>
      <c r="R15" s="2974"/>
      <c r="S15" s="2900"/>
      <c r="T15" s="2900"/>
      <c r="U15" s="2900"/>
      <c r="V15" s="2900"/>
      <c r="W15" s="2900"/>
      <c r="X15" s="2900"/>
      <c r="Y15" s="2900"/>
      <c r="Z15" s="2900"/>
      <c r="AA15" s="2900"/>
      <c r="AB15" s="2900"/>
      <c r="AC15" s="2900"/>
    </row>
    <row r="16" s="2898" customFormat="1" ht="24.75" spans="1:29">
      <c r="A16" s="2950"/>
      <c r="B16" s="2541" t="s">
        <v>558</v>
      </c>
      <c r="C16" s="2951" t="str">
        <f>C4</f>
        <v>估价对象位于XX商圈，周边商业氛围成熟，人流量大，商业繁华度好</v>
      </c>
      <c r="D16" s="2920"/>
      <c r="E16" s="2952"/>
      <c r="F16" s="2543" t="s">
        <v>560</v>
      </c>
      <c r="G16" s="2953" t="str">
        <f>G4</f>
        <v>估价对象周边道路状况、公共交通通达情况、停车便捷程度，综合评价交通便捷度较好</v>
      </c>
      <c r="H16" s="2944"/>
      <c r="I16" s="2970"/>
      <c r="J16" s="2944"/>
      <c r="K16" s="2944"/>
      <c r="L16" s="2970"/>
      <c r="M16" s="2944"/>
      <c r="N16" s="2944"/>
      <c r="O16" s="2970"/>
      <c r="P16" s="2944"/>
      <c r="Q16" s="2944"/>
      <c r="R16" s="2974"/>
      <c r="S16" s="2900"/>
      <c r="T16" s="2900"/>
      <c r="U16" s="2900"/>
      <c r="V16" s="2900"/>
      <c r="W16" s="2900"/>
      <c r="X16" s="2900"/>
      <c r="Y16" s="2900"/>
      <c r="Z16" s="2900"/>
      <c r="AA16" s="2900"/>
      <c r="AB16" s="2900"/>
      <c r="AC16" s="2900"/>
    </row>
    <row r="17" s="2898" customFormat="1" ht="24.75" spans="1:29">
      <c r="A17" s="2950"/>
      <c r="B17" s="2541" t="s">
        <v>562</v>
      </c>
      <c r="C17" s="2951" t="str">
        <f>C5</f>
        <v>估价对象位于XX商圈，周边办公楼项目较多，入驻率高，办公集聚程度较好</v>
      </c>
      <c r="D17" s="2550"/>
      <c r="E17" s="2952"/>
      <c r="F17" s="2543" t="s">
        <v>574</v>
      </c>
      <c r="G17" s="2954"/>
      <c r="H17" s="2944"/>
      <c r="I17" s="2970"/>
      <c r="J17" s="2944"/>
      <c r="K17" s="2944"/>
      <c r="L17" s="2970"/>
      <c r="M17" s="2944"/>
      <c r="N17" s="2944"/>
      <c r="O17" s="2970"/>
      <c r="P17" s="2944"/>
      <c r="Q17" s="2944"/>
      <c r="R17" s="2974"/>
      <c r="S17" s="2900"/>
      <c r="T17" s="2900"/>
      <c r="U17" s="2900"/>
      <c r="V17" s="2900"/>
      <c r="W17" s="2900"/>
      <c r="X17" s="2900"/>
      <c r="Y17" s="2900"/>
      <c r="Z17" s="2900"/>
      <c r="AA17" s="2900"/>
      <c r="AB17" s="2900"/>
      <c r="AC17" s="2900"/>
    </row>
    <row r="18" s="2898" customFormat="1" ht="36" spans="1:29">
      <c r="A18" s="2950"/>
      <c r="B18" s="2543" t="s">
        <v>560</v>
      </c>
      <c r="C18" s="2953" t="str">
        <f>C6</f>
        <v>估价对象周边道路状况、公共交通通达情况、停车便捷程度，综合评价交通便捷度较好</v>
      </c>
      <c r="D18" s="2550"/>
      <c r="E18" s="2952"/>
      <c r="F18" s="2543" t="s">
        <v>568</v>
      </c>
      <c r="G18" s="2953" t="str">
        <f>G7</f>
        <v>该园区内是否有污染型企业，绿化情况，卫生条件，整体环境状况判断</v>
      </c>
      <c r="H18" s="2944"/>
      <c r="I18" s="2970"/>
      <c r="J18" s="2944"/>
      <c r="K18" s="2944"/>
      <c r="L18" s="2970"/>
      <c r="M18" s="2944"/>
      <c r="N18" s="2944"/>
      <c r="O18" s="2970"/>
      <c r="P18" s="2944"/>
      <c r="Q18" s="2944"/>
      <c r="R18" s="2974"/>
      <c r="S18" s="2900"/>
      <c r="T18" s="2900"/>
      <c r="U18" s="2900"/>
      <c r="V18" s="2900"/>
      <c r="W18" s="2900"/>
      <c r="X18" s="2900"/>
      <c r="Y18" s="2900"/>
      <c r="Z18" s="2900"/>
      <c r="AA18" s="2900"/>
      <c r="AB18" s="2900"/>
      <c r="AC18" s="2900"/>
    </row>
    <row r="19" s="2898" customFormat="1" ht="12.75" spans="1:29">
      <c r="A19" s="2950"/>
      <c r="B19" s="2543" t="s">
        <v>574</v>
      </c>
      <c r="C19" s="2954"/>
      <c r="D19" s="2920"/>
      <c r="E19" s="2952"/>
      <c r="F19" s="2171" t="s">
        <v>564</v>
      </c>
      <c r="G19" s="2953" t="str">
        <f>G5</f>
        <v>估价对象所在区域公共配套设施齐备情况</v>
      </c>
      <c r="H19" s="2944"/>
      <c r="I19" s="2970"/>
      <c r="J19" s="2944"/>
      <c r="K19" s="2944"/>
      <c r="L19" s="2970"/>
      <c r="M19" s="2944"/>
      <c r="N19" s="2944"/>
      <c r="O19" s="2970"/>
      <c r="P19" s="2944"/>
      <c r="Q19" s="2944"/>
      <c r="R19" s="2974"/>
      <c r="S19" s="2900"/>
      <c r="T19" s="2900"/>
      <c r="U19" s="2900"/>
      <c r="V19" s="2900"/>
      <c r="W19" s="2900"/>
      <c r="X19" s="2900"/>
      <c r="Y19" s="2900"/>
      <c r="Z19" s="2900"/>
      <c r="AA19" s="2900"/>
      <c r="AB19" s="2900"/>
      <c r="AC19" s="2900"/>
    </row>
    <row r="20" s="2898" customFormat="1" ht="24" spans="1:29">
      <c r="A20" s="2950"/>
      <c r="B20" s="2543" t="s">
        <v>575</v>
      </c>
      <c r="C20" s="2951" t="str">
        <f>C9</f>
        <v>区域自然环境：；人文环境；综合评价环境状况一般</v>
      </c>
      <c r="D20" s="2550"/>
      <c r="E20" s="2952"/>
      <c r="F20" s="2171" t="s">
        <v>566</v>
      </c>
      <c r="G20" s="2953" t="str">
        <f>G6</f>
        <v>估价对象所在区域基础设施水平</v>
      </c>
      <c r="H20" s="2944"/>
      <c r="I20" s="2970"/>
      <c r="J20" s="2944"/>
      <c r="K20" s="2944"/>
      <c r="L20" s="2970"/>
      <c r="M20" s="2944"/>
      <c r="N20" s="2944"/>
      <c r="O20" s="2970"/>
      <c r="P20" s="2944"/>
      <c r="Q20" s="2944"/>
      <c r="R20" s="2974"/>
      <c r="S20" s="2900"/>
      <c r="T20" s="2900"/>
      <c r="U20" s="2900"/>
      <c r="V20" s="2900"/>
      <c r="W20" s="2900"/>
      <c r="X20" s="2900"/>
      <c r="Y20" s="2900"/>
      <c r="Z20" s="2900"/>
      <c r="AA20" s="2900"/>
      <c r="AB20" s="2900"/>
      <c r="AC20" s="2900"/>
    </row>
    <row r="21" s="2898" customFormat="1" ht="24" spans="1:29">
      <c r="A21" s="2950"/>
      <c r="B21" s="2171" t="s">
        <v>564</v>
      </c>
      <c r="C21" s="2953" t="str">
        <f>C7</f>
        <v>估价对象所在区域公共配套设施齐备情况</v>
      </c>
      <c r="D21" s="2920"/>
      <c r="E21" s="2952"/>
      <c r="F21" s="2543" t="s">
        <v>576</v>
      </c>
      <c r="G21" s="2955"/>
      <c r="H21" s="2944"/>
      <c r="I21" s="2970"/>
      <c r="J21" s="2944"/>
      <c r="K21" s="2944"/>
      <c r="L21" s="2970"/>
      <c r="M21" s="2944"/>
      <c r="N21" s="2944"/>
      <c r="O21" s="2970"/>
      <c r="P21" s="2944"/>
      <c r="Q21" s="2944"/>
      <c r="R21" s="2974"/>
      <c r="S21" s="2900"/>
      <c r="T21" s="2900"/>
      <c r="U21" s="2900"/>
      <c r="V21" s="2900"/>
      <c r="W21" s="2900"/>
      <c r="X21" s="2900"/>
      <c r="Y21" s="2900"/>
      <c r="Z21" s="2900"/>
      <c r="AA21" s="2900"/>
      <c r="AB21" s="2900"/>
      <c r="AC21" s="2900"/>
    </row>
    <row r="22" s="2898" customFormat="1" ht="12.75" spans="1:29">
      <c r="A22" s="2950"/>
      <c r="B22" s="2171" t="s">
        <v>566</v>
      </c>
      <c r="C22" s="2953" t="str">
        <f>C8</f>
        <v>估价对象所在区域基础设施水平</v>
      </c>
      <c r="D22" s="2920"/>
      <c r="E22" s="2952"/>
      <c r="F22" s="2543" t="s">
        <v>572</v>
      </c>
      <c r="G22" s="2956"/>
      <c r="H22" s="2944"/>
      <c r="I22" s="2970"/>
      <c r="J22" s="2944"/>
      <c r="K22" s="2944"/>
      <c r="L22" s="2970"/>
      <c r="M22" s="2944"/>
      <c r="N22" s="2944"/>
      <c r="O22" s="2970"/>
      <c r="P22" s="2944"/>
      <c r="Q22" s="2944"/>
      <c r="R22" s="2974"/>
      <c r="S22" s="2900"/>
      <c r="T22" s="2900"/>
      <c r="U22" s="2900"/>
      <c r="V22" s="2900"/>
      <c r="W22" s="2900"/>
      <c r="X22" s="2900"/>
      <c r="Y22" s="2900"/>
      <c r="Z22" s="2900"/>
      <c r="AA22" s="2900"/>
      <c r="AB22" s="2900"/>
      <c r="AC22" s="2900"/>
    </row>
    <row r="23" s="2900" customFormat="1" ht="13.5" spans="1:18">
      <c r="A23" s="2950"/>
      <c r="B23" s="2543" t="s">
        <v>576</v>
      </c>
      <c r="C23" s="2955"/>
      <c r="D23" s="2944"/>
      <c r="E23" s="2957"/>
      <c r="F23" s="2551" t="s">
        <v>351</v>
      </c>
      <c r="G23" s="2958"/>
      <c r="H23" s="2944"/>
      <c r="I23" s="2970"/>
      <c r="J23" s="2944"/>
      <c r="K23" s="2944"/>
      <c r="L23" s="2970"/>
      <c r="M23" s="2944"/>
      <c r="N23" s="2944"/>
      <c r="O23" s="2970"/>
      <c r="P23" s="2944"/>
      <c r="Q23" s="2944"/>
      <c r="R23" s="2974"/>
    </row>
    <row r="24" s="2900" customFormat="1" ht="13.5" spans="1:18">
      <c r="A24" s="2959"/>
      <c r="B24" s="2551" t="s">
        <v>572</v>
      </c>
      <c r="C24" s="2960">
        <f>C10</f>
        <v>0</v>
      </c>
      <c r="D24" s="2944"/>
      <c r="E24" s="2961"/>
      <c r="F24" s="2961"/>
      <c r="G24" s="2962"/>
      <c r="H24" s="2944"/>
      <c r="I24" s="2970"/>
      <c r="J24" s="2944"/>
      <c r="K24" s="2944"/>
      <c r="L24" s="2970"/>
      <c r="M24" s="2944"/>
      <c r="N24" s="2944"/>
      <c r="O24" s="2970"/>
      <c r="P24" s="2944"/>
      <c r="Q24" s="2944"/>
      <c r="R24" s="2974"/>
    </row>
    <row r="25" s="2901" customFormat="1" spans="2:18">
      <c r="B25" s="2906"/>
      <c r="C25" s="2906"/>
      <c r="D25" s="2906"/>
      <c r="H25" s="2906"/>
      <c r="I25" s="2907"/>
      <c r="J25" s="2906"/>
      <c r="K25" s="2906"/>
      <c r="L25" s="2907"/>
      <c r="M25" s="2906"/>
      <c r="N25" s="2906"/>
      <c r="O25" s="2907"/>
      <c r="P25" s="2906"/>
      <c r="Q25" s="2906"/>
      <c r="R25" s="2908"/>
    </row>
    <row r="26" s="2901" customFormat="1" spans="2:18">
      <c r="B26" s="2906"/>
      <c r="C26" s="2906"/>
      <c r="D26" s="2906"/>
      <c r="H26" s="2906"/>
      <c r="I26" s="2907"/>
      <c r="J26" s="2906"/>
      <c r="K26" s="2906"/>
      <c r="L26" s="2907"/>
      <c r="M26" s="2906"/>
      <c r="N26" s="2906"/>
      <c r="O26" s="2907"/>
      <c r="P26" s="2906"/>
      <c r="Q26" s="2906"/>
      <c r="R26" s="2908"/>
    </row>
    <row r="27" s="2901" customFormat="1" spans="2:18">
      <c r="B27" s="2906"/>
      <c r="C27" s="2906"/>
      <c r="D27" s="2906"/>
      <c r="H27" s="2906"/>
      <c r="I27" s="2907"/>
      <c r="J27" s="2906"/>
      <c r="K27" s="2906"/>
      <c r="L27" s="2907"/>
      <c r="M27" s="2906"/>
      <c r="N27" s="2906"/>
      <c r="O27" s="2907"/>
      <c r="P27" s="2906"/>
      <c r="Q27" s="2906"/>
      <c r="R27" s="2908"/>
    </row>
    <row r="28" s="2901" customFormat="1" spans="2:18">
      <c r="B28" s="2906"/>
      <c r="C28" s="2906"/>
      <c r="D28" s="2906"/>
      <c r="H28" s="2906"/>
      <c r="I28" s="2907"/>
      <c r="J28" s="2906"/>
      <c r="K28" s="2906"/>
      <c r="L28" s="2907"/>
      <c r="M28" s="2906"/>
      <c r="N28" s="2906"/>
      <c r="O28" s="2907"/>
      <c r="P28" s="2906"/>
      <c r="Q28" s="2906"/>
      <c r="R28" s="2908"/>
    </row>
    <row r="29" s="2901" customFormat="1" spans="2:18">
      <c r="B29" s="2906"/>
      <c r="C29" s="2906"/>
      <c r="D29" s="2906"/>
      <c r="H29" s="2906"/>
      <c r="I29" s="2907"/>
      <c r="J29" s="2906"/>
      <c r="K29" s="2906"/>
      <c r="L29" s="2907"/>
      <c r="M29" s="2906"/>
      <c r="N29" s="2906"/>
      <c r="O29" s="2907"/>
      <c r="P29" s="2906"/>
      <c r="Q29" s="2906"/>
      <c r="R29" s="2908"/>
    </row>
    <row r="30" s="2901" customFormat="1" spans="2:18">
      <c r="B30" s="2906"/>
      <c r="C30" s="2906"/>
      <c r="D30" s="2906"/>
      <c r="H30" s="2906"/>
      <c r="I30" s="2907"/>
      <c r="J30" s="2906"/>
      <c r="K30" s="2906"/>
      <c r="L30" s="2907"/>
      <c r="M30" s="2906"/>
      <c r="N30" s="2906"/>
      <c r="O30" s="2907"/>
      <c r="P30" s="2906"/>
      <c r="Q30" s="2906"/>
      <c r="R30" s="2908"/>
    </row>
    <row r="31" s="2901" customFormat="1" spans="2:18">
      <c r="B31" s="2906"/>
      <c r="C31" s="2906"/>
      <c r="D31" s="2906"/>
      <c r="H31" s="2906"/>
      <c r="I31" s="2907"/>
      <c r="J31" s="2906"/>
      <c r="K31" s="2906"/>
      <c r="L31" s="2907"/>
      <c r="M31" s="2906"/>
      <c r="N31" s="2906"/>
      <c r="O31" s="2907"/>
      <c r="P31" s="2906"/>
      <c r="Q31" s="2906"/>
      <c r="R31" s="2908"/>
    </row>
    <row r="32" s="2901" customFormat="1" spans="2:18">
      <c r="B32" s="2906"/>
      <c r="C32" s="2906"/>
      <c r="D32" s="2906"/>
      <c r="H32" s="2906"/>
      <c r="I32" s="2907"/>
      <c r="J32" s="2906"/>
      <c r="K32" s="2906"/>
      <c r="L32" s="2907"/>
      <c r="M32" s="2906"/>
      <c r="N32" s="2906"/>
      <c r="O32" s="2907"/>
      <c r="P32" s="2906"/>
      <c r="Q32" s="2906"/>
      <c r="R32" s="2908"/>
    </row>
    <row r="33" s="2901" customFormat="1" spans="2:18">
      <c r="B33" s="2906"/>
      <c r="C33" s="2906"/>
      <c r="D33" s="2906"/>
      <c r="H33" s="2906"/>
      <c r="I33" s="2907"/>
      <c r="J33" s="2906"/>
      <c r="K33" s="2906"/>
      <c r="L33" s="2907"/>
      <c r="M33" s="2906"/>
      <c r="N33" s="2906"/>
      <c r="O33" s="2907"/>
      <c r="P33" s="2906"/>
      <c r="Q33" s="2906"/>
      <c r="R33" s="2908"/>
    </row>
    <row r="34" s="2901" customFormat="1" spans="2:18">
      <c r="B34" s="2906"/>
      <c r="C34" s="2906"/>
      <c r="D34" s="2906"/>
      <c r="H34" s="2906"/>
      <c r="I34" s="2907"/>
      <c r="J34" s="2906"/>
      <c r="K34" s="2906"/>
      <c r="L34" s="2907"/>
      <c r="M34" s="2906"/>
      <c r="N34" s="2906"/>
      <c r="O34" s="2907"/>
      <c r="P34" s="2906"/>
      <c r="Q34" s="2906"/>
      <c r="R34" s="2908"/>
    </row>
    <row r="35" s="2901" customFormat="1" spans="2:18">
      <c r="B35" s="2906"/>
      <c r="C35" s="2906"/>
      <c r="D35" s="2906"/>
      <c r="H35" s="2906"/>
      <c r="I35" s="2907"/>
      <c r="J35" s="2906"/>
      <c r="K35" s="2906"/>
      <c r="L35" s="2907"/>
      <c r="M35" s="2906"/>
      <c r="N35" s="2906"/>
      <c r="O35" s="2907"/>
      <c r="P35" s="2906"/>
      <c r="Q35" s="2906"/>
      <c r="R35" s="2908"/>
    </row>
    <row r="36" s="2901" customFormat="1" spans="2:18">
      <c r="B36" s="2906"/>
      <c r="C36" s="2906"/>
      <c r="D36" s="2906"/>
      <c r="H36" s="2906"/>
      <c r="I36" s="2907"/>
      <c r="J36" s="2906"/>
      <c r="K36" s="2906"/>
      <c r="L36" s="2907"/>
      <c r="M36" s="2906"/>
      <c r="N36" s="2906"/>
      <c r="O36" s="2907"/>
      <c r="P36" s="2906"/>
      <c r="Q36" s="2906"/>
      <c r="R36" s="2908"/>
    </row>
    <row r="37" s="2901" customFormat="1" spans="2:18">
      <c r="B37" s="2906"/>
      <c r="C37" s="2906"/>
      <c r="D37" s="2906"/>
      <c r="H37" s="2906"/>
      <c r="I37" s="2907"/>
      <c r="J37" s="2906"/>
      <c r="K37" s="2906"/>
      <c r="L37" s="2907"/>
      <c r="M37" s="2906"/>
      <c r="N37" s="2906"/>
      <c r="O37" s="2907"/>
      <c r="P37" s="2906"/>
      <c r="Q37" s="2906"/>
      <c r="R37" s="2908"/>
    </row>
    <row r="38" s="2901" customFormat="1" spans="2:18">
      <c r="B38" s="2906"/>
      <c r="C38" s="2906"/>
      <c r="D38" s="2906"/>
      <c r="E38" s="2906"/>
      <c r="F38" s="2906"/>
      <c r="G38" s="2907"/>
      <c r="H38" s="2906"/>
      <c r="I38" s="2907"/>
      <c r="J38" s="2906"/>
      <c r="K38" s="2906"/>
      <c r="L38" s="2907"/>
      <c r="M38" s="2906"/>
      <c r="N38" s="2906"/>
      <c r="O38" s="2907"/>
      <c r="P38" s="2906"/>
      <c r="Q38" s="2906"/>
      <c r="R38" s="2908"/>
    </row>
    <row r="39" s="2901" customFormat="1" spans="2:18">
      <c r="B39" s="2906"/>
      <c r="C39" s="2906"/>
      <c r="D39" s="2906"/>
      <c r="E39" s="2906"/>
      <c r="F39" s="2906"/>
      <c r="G39" s="2907"/>
      <c r="H39" s="2906"/>
      <c r="I39" s="2907"/>
      <c r="J39" s="2906"/>
      <c r="K39" s="2906"/>
      <c r="L39" s="2907"/>
      <c r="M39" s="2906"/>
      <c r="N39" s="2906"/>
      <c r="O39" s="2907"/>
      <c r="P39" s="2906"/>
      <c r="Q39" s="2906"/>
      <c r="R39" s="2908"/>
    </row>
    <row r="40" s="2901" customFormat="1" spans="2:18">
      <c r="B40" s="2906"/>
      <c r="C40" s="2906"/>
      <c r="D40" s="2906"/>
      <c r="E40" s="2906"/>
      <c r="F40" s="2906"/>
      <c r="G40" s="2907"/>
      <c r="H40" s="2906"/>
      <c r="I40" s="2907"/>
      <c r="J40" s="2906"/>
      <c r="K40" s="2906"/>
      <c r="L40" s="2907"/>
      <c r="M40" s="2906"/>
      <c r="N40" s="2906"/>
      <c r="O40" s="2907"/>
      <c r="P40" s="2906"/>
      <c r="Q40" s="2906"/>
      <c r="R40" s="2908"/>
    </row>
    <row r="41" s="2901" customFormat="1" spans="2:18">
      <c r="B41" s="2906"/>
      <c r="C41" s="2906"/>
      <c r="D41" s="2906"/>
      <c r="E41" s="2906"/>
      <c r="F41" s="2906"/>
      <c r="G41" s="2907"/>
      <c r="H41" s="2906"/>
      <c r="I41" s="2907"/>
      <c r="J41" s="2906"/>
      <c r="K41" s="2906"/>
      <c r="L41" s="2907"/>
      <c r="M41" s="2906"/>
      <c r="N41" s="2906"/>
      <c r="O41" s="2907"/>
      <c r="P41" s="2906"/>
      <c r="Q41" s="2906"/>
      <c r="R41" s="2908"/>
    </row>
    <row r="42" s="2901" customFormat="1" spans="2:18">
      <c r="B42" s="2906"/>
      <c r="C42" s="2906"/>
      <c r="D42" s="2906"/>
      <c r="E42" s="2906"/>
      <c r="F42" s="2906"/>
      <c r="G42" s="2907"/>
      <c r="H42" s="2906"/>
      <c r="I42" s="2907"/>
      <c r="J42" s="2906"/>
      <c r="K42" s="2906"/>
      <c r="L42" s="2907"/>
      <c r="M42" s="2906"/>
      <c r="N42" s="2906"/>
      <c r="O42" s="2907"/>
      <c r="P42" s="2906"/>
      <c r="Q42" s="2906"/>
      <c r="R42" s="2908"/>
    </row>
    <row r="43" s="2901" customFormat="1" spans="2:18">
      <c r="B43" s="2906"/>
      <c r="C43" s="2906"/>
      <c r="D43" s="2906"/>
      <c r="E43" s="2906"/>
      <c r="F43" s="2906"/>
      <c r="G43" s="2907"/>
      <c r="H43" s="2906"/>
      <c r="I43" s="2907"/>
      <c r="J43" s="2906"/>
      <c r="K43" s="2906"/>
      <c r="L43" s="2907"/>
      <c r="M43" s="2906"/>
      <c r="N43" s="2906"/>
      <c r="O43" s="2907"/>
      <c r="P43" s="2906"/>
      <c r="Q43" s="2906"/>
      <c r="R43" s="2908"/>
    </row>
    <row r="44" s="2901" customFormat="1" spans="2:18">
      <c r="B44" s="2906"/>
      <c r="C44" s="2906"/>
      <c r="D44" s="2906"/>
      <c r="E44" s="2906"/>
      <c r="F44" s="2906"/>
      <c r="G44" s="2907"/>
      <c r="H44" s="2906"/>
      <c r="I44" s="2907"/>
      <c r="J44" s="2906"/>
      <c r="K44" s="2906"/>
      <c r="L44" s="2907"/>
      <c r="M44" s="2906"/>
      <c r="N44" s="2906"/>
      <c r="O44" s="2907"/>
      <c r="P44" s="2906"/>
      <c r="Q44" s="2906"/>
      <c r="R44" s="2908"/>
    </row>
    <row r="45" s="2901" customFormat="1" spans="2:18">
      <c r="B45" s="2906"/>
      <c r="C45" s="2906"/>
      <c r="D45" s="2906"/>
      <c r="E45" s="2906"/>
      <c r="F45" s="2906"/>
      <c r="G45" s="2907"/>
      <c r="H45" s="2906"/>
      <c r="I45" s="2907"/>
      <c r="J45" s="2906"/>
      <c r="K45" s="2906"/>
      <c r="L45" s="2907"/>
      <c r="M45" s="2906"/>
      <c r="N45" s="2906"/>
      <c r="O45" s="2907"/>
      <c r="P45" s="2906"/>
      <c r="Q45" s="2906"/>
      <c r="R45" s="2908"/>
    </row>
    <row r="46" s="2901" customFormat="1" spans="2:18">
      <c r="B46" s="2906"/>
      <c r="C46" s="2906"/>
      <c r="D46" s="2906"/>
      <c r="E46" s="2906"/>
      <c r="F46" s="2906"/>
      <c r="G46" s="2907"/>
      <c r="H46" s="2906"/>
      <c r="I46" s="2907"/>
      <c r="J46" s="2906"/>
      <c r="K46" s="2906"/>
      <c r="L46" s="2907"/>
      <c r="M46" s="2906"/>
      <c r="N46" s="2906"/>
      <c r="O46" s="2907"/>
      <c r="P46" s="2906"/>
      <c r="Q46" s="2906"/>
      <c r="R46" s="2908"/>
    </row>
    <row r="47" s="2901" customFormat="1" spans="2:18">
      <c r="B47" s="2906"/>
      <c r="C47" s="2906"/>
      <c r="D47" s="2906"/>
      <c r="E47" s="2906"/>
      <c r="F47" s="2906"/>
      <c r="G47" s="2907"/>
      <c r="H47" s="2906"/>
      <c r="I47" s="2907"/>
      <c r="J47" s="2906"/>
      <c r="K47" s="2906"/>
      <c r="L47" s="2907"/>
      <c r="M47" s="2906"/>
      <c r="N47" s="2906"/>
      <c r="O47" s="2907"/>
      <c r="P47" s="2906"/>
      <c r="Q47" s="2906"/>
      <c r="R47" s="2908"/>
    </row>
    <row r="48" s="2901" customFormat="1" spans="2:18">
      <c r="B48" s="2906"/>
      <c r="C48" s="2906"/>
      <c r="D48" s="2906"/>
      <c r="E48" s="2906"/>
      <c r="F48" s="2906"/>
      <c r="G48" s="2907"/>
      <c r="H48" s="2906"/>
      <c r="I48" s="2907"/>
      <c r="J48" s="2906"/>
      <c r="K48" s="2906"/>
      <c r="L48" s="2907"/>
      <c r="M48" s="2906"/>
      <c r="N48" s="2906"/>
      <c r="O48" s="2907"/>
      <c r="P48" s="2906"/>
      <c r="Q48" s="2906"/>
      <c r="R48" s="2908"/>
    </row>
    <row r="49" s="2901" customFormat="1" spans="2:18">
      <c r="B49" s="2906"/>
      <c r="C49" s="2906"/>
      <c r="D49" s="2906"/>
      <c r="E49" s="2906"/>
      <c r="F49" s="2906"/>
      <c r="G49" s="2907"/>
      <c r="H49" s="2906"/>
      <c r="I49" s="2907"/>
      <c r="J49" s="2906"/>
      <c r="K49" s="2906"/>
      <c r="L49" s="2907"/>
      <c r="M49" s="2906"/>
      <c r="N49" s="2906"/>
      <c r="O49" s="2907"/>
      <c r="P49" s="2906"/>
      <c r="Q49" s="2906"/>
      <c r="R49" s="2908"/>
    </row>
    <row r="50" s="2901" customFormat="1" spans="2:18">
      <c r="B50" s="2906"/>
      <c r="C50" s="2906"/>
      <c r="D50" s="2906"/>
      <c r="E50" s="2906"/>
      <c r="F50" s="2906"/>
      <c r="G50" s="2907"/>
      <c r="H50" s="2906"/>
      <c r="I50" s="2907"/>
      <c r="J50" s="2906"/>
      <c r="K50" s="2906"/>
      <c r="L50" s="2907"/>
      <c r="M50" s="2906"/>
      <c r="N50" s="2906"/>
      <c r="O50" s="2907"/>
      <c r="P50" s="2906"/>
      <c r="Q50" s="2906"/>
      <c r="R50" s="2908"/>
    </row>
    <row r="51" s="2901" customFormat="1" spans="2:18">
      <c r="B51" s="2906"/>
      <c r="C51" s="2906"/>
      <c r="D51" s="2906"/>
      <c r="E51" s="2906"/>
      <c r="F51" s="2906"/>
      <c r="G51" s="2907"/>
      <c r="H51" s="2906"/>
      <c r="I51" s="2907"/>
      <c r="J51" s="2906"/>
      <c r="K51" s="2906"/>
      <c r="L51" s="2907"/>
      <c r="M51" s="2906"/>
      <c r="N51" s="2906"/>
      <c r="O51" s="2907"/>
      <c r="P51" s="2906"/>
      <c r="Q51" s="2906"/>
      <c r="R51" s="2908"/>
    </row>
    <row r="52" s="2901" customFormat="1" spans="2:18">
      <c r="B52" s="2906"/>
      <c r="C52" s="2906"/>
      <c r="D52" s="2906"/>
      <c r="E52" s="2906"/>
      <c r="F52" s="2906"/>
      <c r="G52" s="2907"/>
      <c r="H52" s="2906"/>
      <c r="I52" s="2907"/>
      <c r="J52" s="2906"/>
      <c r="K52" s="2906"/>
      <c r="L52" s="2907"/>
      <c r="M52" s="2906"/>
      <c r="N52" s="2906"/>
      <c r="O52" s="2907"/>
      <c r="P52" s="2906"/>
      <c r="Q52" s="2906"/>
      <c r="R52" s="2908"/>
    </row>
    <row r="53" s="2901" customFormat="1" spans="2:18">
      <c r="B53" s="2906"/>
      <c r="C53" s="2906"/>
      <c r="D53" s="2906"/>
      <c r="E53" s="2906"/>
      <c r="F53" s="2906"/>
      <c r="G53" s="2907"/>
      <c r="H53" s="2906"/>
      <c r="I53" s="2907"/>
      <c r="J53" s="2906"/>
      <c r="K53" s="2906"/>
      <c r="L53" s="2907"/>
      <c r="M53" s="2906"/>
      <c r="N53" s="2906"/>
      <c r="O53" s="2907"/>
      <c r="P53" s="2906"/>
      <c r="Q53" s="2906"/>
      <c r="R53" s="2908"/>
    </row>
    <row r="54" s="2901" customFormat="1" spans="2:18">
      <c r="B54" s="2906"/>
      <c r="C54" s="2906"/>
      <c r="D54" s="2906"/>
      <c r="E54" s="2906"/>
      <c r="F54" s="2906"/>
      <c r="G54" s="2907"/>
      <c r="H54" s="2906"/>
      <c r="I54" s="2907"/>
      <c r="J54" s="2906"/>
      <c r="K54" s="2906"/>
      <c r="L54" s="2907"/>
      <c r="M54" s="2906"/>
      <c r="N54" s="2906"/>
      <c r="O54" s="2907"/>
      <c r="P54" s="2906"/>
      <c r="Q54" s="2906"/>
      <c r="R54" s="2908"/>
    </row>
    <row r="55" s="2901" customFormat="1" spans="2:18">
      <c r="B55" s="2906"/>
      <c r="C55" s="2906"/>
      <c r="D55" s="2906"/>
      <c r="E55" s="2906"/>
      <c r="F55" s="2906"/>
      <c r="G55" s="2907"/>
      <c r="H55" s="2906"/>
      <c r="I55" s="2907"/>
      <c r="J55" s="2906"/>
      <c r="K55" s="2906"/>
      <c r="L55" s="2907"/>
      <c r="M55" s="2906"/>
      <c r="N55" s="2906"/>
      <c r="O55" s="2907"/>
      <c r="P55" s="2906"/>
      <c r="Q55" s="2906"/>
      <c r="R55" s="2908"/>
    </row>
    <row r="56" s="2901" customFormat="1" spans="2:18">
      <c r="B56" s="2906"/>
      <c r="C56" s="2906"/>
      <c r="D56" s="2906"/>
      <c r="E56" s="2906"/>
      <c r="F56" s="2906"/>
      <c r="G56" s="2907"/>
      <c r="H56" s="2906"/>
      <c r="I56" s="2907"/>
      <c r="J56" s="2906"/>
      <c r="K56" s="2906"/>
      <c r="L56" s="2907"/>
      <c r="M56" s="2906"/>
      <c r="N56" s="2906"/>
      <c r="O56" s="2907"/>
      <c r="P56" s="2906"/>
      <c r="Q56" s="2906"/>
      <c r="R56" s="2908"/>
    </row>
    <row r="57" s="2901" customFormat="1" spans="2:18">
      <c r="B57" s="2906"/>
      <c r="C57" s="2906"/>
      <c r="D57" s="2906"/>
      <c r="E57" s="2906"/>
      <c r="F57" s="2906"/>
      <c r="G57" s="2907"/>
      <c r="H57" s="2906"/>
      <c r="I57" s="2907"/>
      <c r="J57" s="2906"/>
      <c r="K57" s="2906"/>
      <c r="L57" s="2907"/>
      <c r="M57" s="2906"/>
      <c r="N57" s="2906"/>
      <c r="O57" s="2907"/>
      <c r="P57" s="2906"/>
      <c r="Q57" s="2906"/>
      <c r="R57" s="2908"/>
    </row>
    <row r="58" s="2901" customFormat="1" spans="2:18">
      <c r="B58" s="2906"/>
      <c r="C58" s="2906"/>
      <c r="D58" s="2906"/>
      <c r="E58" s="2906"/>
      <c r="F58" s="2906"/>
      <c r="G58" s="2907"/>
      <c r="H58" s="2906"/>
      <c r="I58" s="2907"/>
      <c r="J58" s="2906"/>
      <c r="K58" s="2906"/>
      <c r="L58" s="2907"/>
      <c r="M58" s="2906"/>
      <c r="N58" s="2906"/>
      <c r="O58" s="2907"/>
      <c r="P58" s="2906"/>
      <c r="Q58" s="2906"/>
      <c r="R58" s="2908"/>
    </row>
    <row r="59" s="2901" customFormat="1" spans="2:18">
      <c r="B59" s="2906"/>
      <c r="C59" s="2906"/>
      <c r="D59" s="2906"/>
      <c r="E59" s="2906"/>
      <c r="F59" s="2906"/>
      <c r="G59" s="2907"/>
      <c r="H59" s="2906"/>
      <c r="I59" s="2907"/>
      <c r="J59" s="2906"/>
      <c r="K59" s="2906"/>
      <c r="L59" s="2907"/>
      <c r="M59" s="2906"/>
      <c r="N59" s="2906"/>
      <c r="O59" s="2907"/>
      <c r="P59" s="2906"/>
      <c r="Q59" s="2906"/>
      <c r="R59" s="2908"/>
    </row>
    <row r="60" s="2901" customFormat="1" spans="2:18">
      <c r="B60" s="2906"/>
      <c r="C60" s="2906"/>
      <c r="D60" s="2906"/>
      <c r="E60" s="2906"/>
      <c r="F60" s="2906"/>
      <c r="G60" s="2907"/>
      <c r="H60" s="2906"/>
      <c r="I60" s="2907"/>
      <c r="J60" s="2906"/>
      <c r="K60" s="2906"/>
      <c r="L60" s="2907"/>
      <c r="M60" s="2906"/>
      <c r="N60" s="2906"/>
      <c r="O60" s="2907"/>
      <c r="P60" s="2906"/>
      <c r="Q60" s="2906"/>
      <c r="R60" s="2908"/>
    </row>
    <row r="61" s="2901" customFormat="1" spans="2:18">
      <c r="B61" s="2906"/>
      <c r="C61" s="2906"/>
      <c r="D61" s="2906"/>
      <c r="E61" s="2906"/>
      <c r="F61" s="2906"/>
      <c r="G61" s="2907"/>
      <c r="H61" s="2906"/>
      <c r="I61" s="2907"/>
      <c r="J61" s="2906"/>
      <c r="K61" s="2906"/>
      <c r="L61" s="2907"/>
      <c r="M61" s="2906"/>
      <c r="N61" s="2906"/>
      <c r="O61" s="2907"/>
      <c r="P61" s="2906"/>
      <c r="Q61" s="2906"/>
      <c r="R61" s="2908"/>
    </row>
    <row r="62" s="2901" customFormat="1" spans="2:18">
      <c r="B62" s="2906"/>
      <c r="C62" s="2906"/>
      <c r="D62" s="2906"/>
      <c r="E62" s="2906"/>
      <c r="F62" s="2906"/>
      <c r="G62" s="2907"/>
      <c r="H62" s="2906"/>
      <c r="I62" s="2907"/>
      <c r="J62" s="2906"/>
      <c r="K62" s="2906"/>
      <c r="L62" s="2907"/>
      <c r="M62" s="2906"/>
      <c r="N62" s="2906"/>
      <c r="O62" s="2907"/>
      <c r="P62" s="2906"/>
      <c r="Q62" s="2906"/>
      <c r="R62" s="2908"/>
    </row>
    <row r="63" s="2901" customFormat="1" spans="2:18">
      <c r="B63" s="2906"/>
      <c r="C63" s="2906"/>
      <c r="D63" s="2906"/>
      <c r="E63" s="2906"/>
      <c r="F63" s="2906"/>
      <c r="G63" s="2907"/>
      <c r="H63" s="2906"/>
      <c r="I63" s="2907"/>
      <c r="J63" s="2906"/>
      <c r="K63" s="2906"/>
      <c r="L63" s="2907"/>
      <c r="M63" s="2906"/>
      <c r="N63" s="2906"/>
      <c r="O63" s="2907"/>
      <c r="P63" s="2906"/>
      <c r="Q63" s="2906"/>
      <c r="R63" s="2908"/>
    </row>
    <row r="64" s="2901" customFormat="1" spans="2:18">
      <c r="B64" s="2906"/>
      <c r="C64" s="2906"/>
      <c r="D64" s="2906"/>
      <c r="E64" s="2906"/>
      <c r="F64" s="2906"/>
      <c r="G64" s="2907"/>
      <c r="H64" s="2906"/>
      <c r="I64" s="2907"/>
      <c r="J64" s="2906"/>
      <c r="K64" s="2906"/>
      <c r="L64" s="2907"/>
      <c r="M64" s="2906"/>
      <c r="N64" s="2906"/>
      <c r="O64" s="2907"/>
      <c r="P64" s="2906"/>
      <c r="Q64" s="2906"/>
      <c r="R64" s="2908"/>
    </row>
    <row r="65" s="2901" customFormat="1" spans="2:18">
      <c r="B65" s="2906"/>
      <c r="C65" s="2906"/>
      <c r="D65" s="2906"/>
      <c r="E65" s="2906"/>
      <c r="F65" s="2906"/>
      <c r="G65" s="2907"/>
      <c r="H65" s="2906"/>
      <c r="I65" s="2907"/>
      <c r="J65" s="2906"/>
      <c r="K65" s="2906"/>
      <c r="L65" s="2907"/>
      <c r="M65" s="2906"/>
      <c r="N65" s="2906"/>
      <c r="O65" s="2907"/>
      <c r="P65" s="2906"/>
      <c r="Q65" s="2906"/>
      <c r="R65" s="2908"/>
    </row>
    <row r="66" s="2901" customFormat="1" spans="2:18">
      <c r="B66" s="2906"/>
      <c r="C66" s="2906"/>
      <c r="D66" s="2906"/>
      <c r="E66" s="2906"/>
      <c r="F66" s="2906"/>
      <c r="G66" s="2907"/>
      <c r="H66" s="2906"/>
      <c r="I66" s="2907"/>
      <c r="J66" s="2906"/>
      <c r="K66" s="2906"/>
      <c r="L66" s="2907"/>
      <c r="M66" s="2906"/>
      <c r="N66" s="2906"/>
      <c r="O66" s="2907"/>
      <c r="P66" s="2906"/>
      <c r="Q66" s="2906"/>
      <c r="R66" s="2908"/>
    </row>
    <row r="67" s="2901" customFormat="1" spans="2:18">
      <c r="B67" s="2906"/>
      <c r="C67" s="2906"/>
      <c r="D67" s="2906"/>
      <c r="E67" s="2906"/>
      <c r="F67" s="2906"/>
      <c r="G67" s="2907"/>
      <c r="H67" s="2906"/>
      <c r="I67" s="2907"/>
      <c r="J67" s="2906"/>
      <c r="K67" s="2906"/>
      <c r="L67" s="2907"/>
      <c r="M67" s="2906"/>
      <c r="N67" s="2906"/>
      <c r="O67" s="2907"/>
      <c r="P67" s="2906"/>
      <c r="Q67" s="2906"/>
      <c r="R67" s="2908"/>
    </row>
    <row r="68" s="2901" customFormat="1" spans="2:18">
      <c r="B68" s="2906"/>
      <c r="C68" s="2906"/>
      <c r="D68" s="2906"/>
      <c r="E68" s="2906"/>
      <c r="F68" s="2906"/>
      <c r="G68" s="2907"/>
      <c r="H68" s="2906"/>
      <c r="I68" s="2907"/>
      <c r="J68" s="2906"/>
      <c r="K68" s="2906"/>
      <c r="L68" s="2907"/>
      <c r="M68" s="2906"/>
      <c r="N68" s="2906"/>
      <c r="O68" s="2907"/>
      <c r="P68" s="2906"/>
      <c r="Q68" s="2906"/>
      <c r="R68" s="2908"/>
    </row>
    <row r="69" s="2901" customFormat="1" spans="2:18">
      <c r="B69" s="2906"/>
      <c r="C69" s="2906"/>
      <c r="D69" s="2906"/>
      <c r="E69" s="2906"/>
      <c r="F69" s="2906"/>
      <c r="G69" s="2907"/>
      <c r="H69" s="2906"/>
      <c r="I69" s="2907"/>
      <c r="J69" s="2906"/>
      <c r="K69" s="2906"/>
      <c r="L69" s="2907"/>
      <c r="M69" s="2906"/>
      <c r="N69" s="2906"/>
      <c r="O69" s="2907"/>
      <c r="P69" s="2906"/>
      <c r="Q69" s="2906"/>
      <c r="R69" s="2908"/>
    </row>
    <row r="70" s="2901" customFormat="1" spans="2:18">
      <c r="B70" s="2906"/>
      <c r="C70" s="2906"/>
      <c r="D70" s="2906"/>
      <c r="E70" s="2906"/>
      <c r="F70" s="2906"/>
      <c r="G70" s="2907"/>
      <c r="H70" s="2906"/>
      <c r="I70" s="2907"/>
      <c r="J70" s="2906"/>
      <c r="K70" s="2906"/>
      <c r="L70" s="2907"/>
      <c r="M70" s="2906"/>
      <c r="N70" s="2906"/>
      <c r="O70" s="2907"/>
      <c r="P70" s="2906"/>
      <c r="Q70" s="2906"/>
      <c r="R70" s="2908"/>
    </row>
    <row r="71" s="2901" customFormat="1" spans="2:18">
      <c r="B71" s="2906"/>
      <c r="C71" s="2906"/>
      <c r="D71" s="2906"/>
      <c r="E71" s="2906"/>
      <c r="F71" s="2906"/>
      <c r="G71" s="2907"/>
      <c r="H71" s="2906"/>
      <c r="I71" s="2907"/>
      <c r="J71" s="2906"/>
      <c r="K71" s="2906"/>
      <c r="L71" s="2907"/>
      <c r="M71" s="2906"/>
      <c r="N71" s="2906"/>
      <c r="O71" s="2907"/>
      <c r="P71" s="2906"/>
      <c r="Q71" s="2906"/>
      <c r="R71" s="2908"/>
    </row>
    <row r="72" s="2901" customFormat="1" spans="2:18">
      <c r="B72" s="2906"/>
      <c r="C72" s="2906"/>
      <c r="D72" s="2906"/>
      <c r="E72" s="2906"/>
      <c r="F72" s="2906"/>
      <c r="G72" s="2907"/>
      <c r="H72" s="2906"/>
      <c r="I72" s="2907"/>
      <c r="J72" s="2906"/>
      <c r="K72" s="2906"/>
      <c r="L72" s="2907"/>
      <c r="M72" s="2906"/>
      <c r="N72" s="2906"/>
      <c r="O72" s="2907"/>
      <c r="P72" s="2906"/>
      <c r="Q72" s="2906"/>
      <c r="R72" s="2908"/>
    </row>
    <row r="73" s="2901" customFormat="1" spans="2:18">
      <c r="B73" s="2906"/>
      <c r="C73" s="2906"/>
      <c r="D73" s="2906"/>
      <c r="E73" s="2906"/>
      <c r="F73" s="2906"/>
      <c r="G73" s="2907"/>
      <c r="H73" s="2906"/>
      <c r="I73" s="2907"/>
      <c r="J73" s="2906"/>
      <c r="K73" s="2906"/>
      <c r="L73" s="2907"/>
      <c r="M73" s="2906"/>
      <c r="N73" s="2906"/>
      <c r="O73" s="2907"/>
      <c r="P73" s="2906"/>
      <c r="Q73" s="2906"/>
      <c r="R73" s="2908"/>
    </row>
    <row r="74" s="2901" customFormat="1" spans="2:18">
      <c r="B74" s="2906"/>
      <c r="C74" s="2906"/>
      <c r="D74" s="2906"/>
      <c r="E74" s="2906"/>
      <c r="F74" s="2906"/>
      <c r="G74" s="2907"/>
      <c r="H74" s="2906"/>
      <c r="I74" s="2907"/>
      <c r="J74" s="2906"/>
      <c r="K74" s="2906"/>
      <c r="L74" s="2907"/>
      <c r="M74" s="2906"/>
      <c r="N74" s="2906"/>
      <c r="O74" s="2907"/>
      <c r="P74" s="2906"/>
      <c r="Q74" s="2906"/>
      <c r="R74" s="2908"/>
    </row>
    <row r="75" s="2901" customFormat="1" spans="2:18">
      <c r="B75" s="2906"/>
      <c r="C75" s="2906"/>
      <c r="D75" s="2906"/>
      <c r="E75" s="2906"/>
      <c r="F75" s="2906"/>
      <c r="G75" s="2907"/>
      <c r="H75" s="2906"/>
      <c r="I75" s="2907"/>
      <c r="J75" s="2906"/>
      <c r="K75" s="2906"/>
      <c r="L75" s="2907"/>
      <c r="M75" s="2906"/>
      <c r="N75" s="2906"/>
      <c r="O75" s="2907"/>
      <c r="P75" s="2906"/>
      <c r="Q75" s="2906"/>
      <c r="R75" s="2908"/>
    </row>
    <row r="76" s="2901" customFormat="1" spans="2:18">
      <c r="B76" s="2906"/>
      <c r="C76" s="2906"/>
      <c r="D76" s="2906"/>
      <c r="E76" s="2906"/>
      <c r="F76" s="2906"/>
      <c r="G76" s="2907"/>
      <c r="H76" s="2906"/>
      <c r="I76" s="2907"/>
      <c r="J76" s="2906"/>
      <c r="K76" s="2906"/>
      <c r="L76" s="2907"/>
      <c r="M76" s="2906"/>
      <c r="N76" s="2906"/>
      <c r="O76" s="2907"/>
      <c r="P76" s="2906"/>
      <c r="Q76" s="2906"/>
      <c r="R76" s="2908"/>
    </row>
    <row r="77" s="2901" customFormat="1" spans="2:18">
      <c r="B77" s="2906"/>
      <c r="C77" s="2906"/>
      <c r="D77" s="2906"/>
      <c r="E77" s="2906"/>
      <c r="F77" s="2906"/>
      <c r="G77" s="2907"/>
      <c r="H77" s="2906"/>
      <c r="I77" s="2907"/>
      <c r="J77" s="2906"/>
      <c r="K77" s="2906"/>
      <c r="L77" s="2907"/>
      <c r="M77" s="2906"/>
      <c r="N77" s="2906"/>
      <c r="O77" s="2907"/>
      <c r="P77" s="2906"/>
      <c r="Q77" s="2906"/>
      <c r="R77" s="2908"/>
    </row>
    <row r="78" s="2901" customFormat="1" spans="2:18">
      <c r="B78" s="2906"/>
      <c r="C78" s="2906"/>
      <c r="D78" s="2906"/>
      <c r="E78" s="2906"/>
      <c r="F78" s="2906"/>
      <c r="G78" s="2907"/>
      <c r="H78" s="2906"/>
      <c r="I78" s="2907"/>
      <c r="J78" s="2906"/>
      <c r="K78" s="2906"/>
      <c r="L78" s="2907"/>
      <c r="M78" s="2906"/>
      <c r="N78" s="2906"/>
      <c r="O78" s="2907"/>
      <c r="P78" s="2906"/>
      <c r="Q78" s="2906"/>
      <c r="R78" s="2908"/>
    </row>
    <row r="79" s="2901" customFormat="1" spans="2:18">
      <c r="B79" s="2906"/>
      <c r="C79" s="2906"/>
      <c r="D79" s="2906"/>
      <c r="E79" s="2906"/>
      <c r="F79" s="2906"/>
      <c r="G79" s="2907"/>
      <c r="H79" s="2906"/>
      <c r="I79" s="2907"/>
      <c r="J79" s="2906"/>
      <c r="K79" s="2906"/>
      <c r="L79" s="2907"/>
      <c r="M79" s="2906"/>
      <c r="N79" s="2906"/>
      <c r="O79" s="2907"/>
      <c r="P79" s="2906"/>
      <c r="Q79" s="2906"/>
      <c r="R79" s="2908"/>
    </row>
    <row r="80" s="2901" customFormat="1" spans="2:18">
      <c r="B80" s="2906"/>
      <c r="C80" s="2906"/>
      <c r="D80" s="2906"/>
      <c r="E80" s="2906"/>
      <c r="F80" s="2906"/>
      <c r="G80" s="2907"/>
      <c r="H80" s="2906"/>
      <c r="I80" s="2907"/>
      <c r="J80" s="2906"/>
      <c r="K80" s="2906"/>
      <c r="L80" s="2907"/>
      <c r="M80" s="2906"/>
      <c r="N80" s="2906"/>
      <c r="O80" s="2907"/>
      <c r="P80" s="2906"/>
      <c r="Q80" s="2906"/>
      <c r="R80" s="2908"/>
    </row>
    <row r="81" s="2901" customFormat="1" spans="2:18">
      <c r="B81" s="2906"/>
      <c r="C81" s="2906"/>
      <c r="D81" s="2906"/>
      <c r="E81" s="2906"/>
      <c r="F81" s="2906"/>
      <c r="G81" s="2907"/>
      <c r="H81" s="2906"/>
      <c r="I81" s="2907"/>
      <c r="J81" s="2906"/>
      <c r="K81" s="2906"/>
      <c r="L81" s="2907"/>
      <c r="M81" s="2906"/>
      <c r="N81" s="2906"/>
      <c r="O81" s="2907"/>
      <c r="P81" s="2906"/>
      <c r="Q81" s="2906"/>
      <c r="R81" s="2908"/>
    </row>
    <row r="82" s="2901" customFormat="1" spans="2:18">
      <c r="B82" s="2906"/>
      <c r="C82" s="2906"/>
      <c r="D82" s="2906"/>
      <c r="E82" s="2906"/>
      <c r="F82" s="2906"/>
      <c r="G82" s="2907"/>
      <c r="H82" s="2906"/>
      <c r="I82" s="2907"/>
      <c r="J82" s="2906"/>
      <c r="K82" s="2906"/>
      <c r="L82" s="2907"/>
      <c r="M82" s="2906"/>
      <c r="N82" s="2906"/>
      <c r="O82" s="2907"/>
      <c r="P82" s="2906"/>
      <c r="Q82" s="2906"/>
      <c r="R82" s="2908"/>
    </row>
    <row r="83" s="2901" customFormat="1" spans="2:18">
      <c r="B83" s="2906"/>
      <c r="C83" s="2906"/>
      <c r="D83" s="2906"/>
      <c r="E83" s="2906"/>
      <c r="F83" s="2906"/>
      <c r="G83" s="2907"/>
      <c r="H83" s="2906"/>
      <c r="I83" s="2907"/>
      <c r="J83" s="2906"/>
      <c r="K83" s="2906"/>
      <c r="L83" s="2907"/>
      <c r="M83" s="2906"/>
      <c r="N83" s="2906"/>
      <c r="O83" s="2907"/>
      <c r="P83" s="2906"/>
      <c r="Q83" s="2906"/>
      <c r="R83" s="2908"/>
    </row>
    <row r="84" s="2901" customFormat="1" spans="2:18">
      <c r="B84" s="2906"/>
      <c r="C84" s="2906"/>
      <c r="D84" s="2906"/>
      <c r="E84" s="2906"/>
      <c r="F84" s="2906"/>
      <c r="G84" s="2907"/>
      <c r="H84" s="2906"/>
      <c r="I84" s="2907"/>
      <c r="J84" s="2906"/>
      <c r="K84" s="2906"/>
      <c r="L84" s="2907"/>
      <c r="M84" s="2906"/>
      <c r="N84" s="2906"/>
      <c r="O84" s="2907"/>
      <c r="P84" s="2906"/>
      <c r="Q84" s="2906"/>
      <c r="R84" s="2908"/>
    </row>
    <row r="85" s="2901" customFormat="1" spans="2:18">
      <c r="B85" s="2906"/>
      <c r="C85" s="2906"/>
      <c r="D85" s="2906"/>
      <c r="E85" s="2906"/>
      <c r="F85" s="2906"/>
      <c r="G85" s="2907"/>
      <c r="H85" s="2906"/>
      <c r="I85" s="2907"/>
      <c r="J85" s="2906"/>
      <c r="K85" s="2906"/>
      <c r="L85" s="2907"/>
      <c r="M85" s="2906"/>
      <c r="N85" s="2906"/>
      <c r="O85" s="2907"/>
      <c r="P85" s="2906"/>
      <c r="Q85" s="2906"/>
      <c r="R85" s="2908"/>
    </row>
    <row r="86" s="2901" customFormat="1" spans="2:18">
      <c r="B86" s="2906"/>
      <c r="C86" s="2906"/>
      <c r="D86" s="2906"/>
      <c r="E86" s="2906"/>
      <c r="F86" s="2906"/>
      <c r="G86" s="2907"/>
      <c r="H86" s="2906"/>
      <c r="I86" s="2907"/>
      <c r="J86" s="2906"/>
      <c r="K86" s="2906"/>
      <c r="L86" s="2907"/>
      <c r="M86" s="2906"/>
      <c r="N86" s="2906"/>
      <c r="O86" s="2907"/>
      <c r="P86" s="2906"/>
      <c r="Q86" s="2906"/>
      <c r="R86" s="2908"/>
    </row>
    <row r="87" s="2901" customFormat="1" spans="2:18">
      <c r="B87" s="2906"/>
      <c r="C87" s="2906"/>
      <c r="D87" s="2906"/>
      <c r="E87" s="2906"/>
      <c r="F87" s="2906"/>
      <c r="G87" s="2907"/>
      <c r="H87" s="2906"/>
      <c r="I87" s="2907"/>
      <c r="J87" s="2906"/>
      <c r="K87" s="2906"/>
      <c r="L87" s="2907"/>
      <c r="M87" s="2906"/>
      <c r="N87" s="2906"/>
      <c r="O87" s="2907"/>
      <c r="P87" s="2906"/>
      <c r="Q87" s="2906"/>
      <c r="R87" s="2908"/>
    </row>
    <row r="88" s="2901" customFormat="1" spans="2:18">
      <c r="B88" s="2906"/>
      <c r="C88" s="2906"/>
      <c r="D88" s="2906"/>
      <c r="E88" s="2906"/>
      <c r="F88" s="2906"/>
      <c r="G88" s="2907"/>
      <c r="H88" s="2906"/>
      <c r="I88" s="2907"/>
      <c r="J88" s="2906"/>
      <c r="K88" s="2906"/>
      <c r="L88" s="2907"/>
      <c r="M88" s="2906"/>
      <c r="N88" s="2906"/>
      <c r="O88" s="2907"/>
      <c r="P88" s="2906"/>
      <c r="Q88" s="2906"/>
      <c r="R88" s="2908"/>
    </row>
    <row r="89" s="2901" customFormat="1" spans="2:18">
      <c r="B89" s="2906"/>
      <c r="C89" s="2906"/>
      <c r="D89" s="2906"/>
      <c r="E89" s="2906"/>
      <c r="F89" s="2906"/>
      <c r="G89" s="2907"/>
      <c r="H89" s="2906"/>
      <c r="I89" s="2907"/>
      <c r="J89" s="2906"/>
      <c r="K89" s="2906"/>
      <c r="L89" s="2907"/>
      <c r="M89" s="2906"/>
      <c r="N89" s="2906"/>
      <c r="O89" s="2907"/>
      <c r="P89" s="2906"/>
      <c r="Q89" s="2906"/>
      <c r="R89" s="2908"/>
    </row>
    <row r="90" s="2901" customFormat="1" spans="2:18">
      <c r="B90" s="2906"/>
      <c r="C90" s="2906"/>
      <c r="D90" s="2906"/>
      <c r="E90" s="2906"/>
      <c r="F90" s="2906"/>
      <c r="G90" s="2907"/>
      <c r="H90" s="2906"/>
      <c r="I90" s="2907"/>
      <c r="J90" s="2906"/>
      <c r="K90" s="2906"/>
      <c r="L90" s="2907"/>
      <c r="M90" s="2906"/>
      <c r="N90" s="2906"/>
      <c r="O90" s="2907"/>
      <c r="P90" s="2906"/>
      <c r="Q90" s="2906"/>
      <c r="R90" s="2908"/>
    </row>
    <row r="91" s="2901" customFormat="1" spans="2:18">
      <c r="B91" s="2906"/>
      <c r="C91" s="2906"/>
      <c r="D91" s="2906"/>
      <c r="E91" s="2906"/>
      <c r="F91" s="2906"/>
      <c r="G91" s="2907"/>
      <c r="H91" s="2906"/>
      <c r="I91" s="2907"/>
      <c r="J91" s="2906"/>
      <c r="K91" s="2906"/>
      <c r="L91" s="2907"/>
      <c r="M91" s="2906"/>
      <c r="N91" s="2906"/>
      <c r="O91" s="2907"/>
      <c r="P91" s="2906"/>
      <c r="Q91" s="2906"/>
      <c r="R91" s="2908"/>
    </row>
    <row r="92" s="2901" customFormat="1" spans="2:18">
      <c r="B92" s="2906"/>
      <c r="C92" s="2906"/>
      <c r="D92" s="2906"/>
      <c r="E92" s="2906"/>
      <c r="F92" s="2906"/>
      <c r="G92" s="2907"/>
      <c r="H92" s="2906"/>
      <c r="I92" s="2907"/>
      <c r="J92" s="2906"/>
      <c r="K92" s="2906"/>
      <c r="L92" s="2907"/>
      <c r="M92" s="2906"/>
      <c r="N92" s="2906"/>
      <c r="O92" s="2907"/>
      <c r="P92" s="2906"/>
      <c r="Q92" s="2906"/>
      <c r="R92" s="2908"/>
    </row>
    <row r="93" s="2901" customFormat="1" spans="2:18">
      <c r="B93" s="2906"/>
      <c r="C93" s="2906"/>
      <c r="D93" s="2906"/>
      <c r="E93" s="2906"/>
      <c r="F93" s="2906"/>
      <c r="G93" s="2907"/>
      <c r="H93" s="2906"/>
      <c r="I93" s="2907"/>
      <c r="J93" s="2906"/>
      <c r="K93" s="2906"/>
      <c r="L93" s="2907"/>
      <c r="M93" s="2906"/>
      <c r="N93" s="2906"/>
      <c r="O93" s="2907"/>
      <c r="P93" s="2906"/>
      <c r="Q93" s="2906"/>
      <c r="R93" s="2908"/>
    </row>
    <row r="94" s="2901" customFormat="1" spans="2:18">
      <c r="B94" s="2906"/>
      <c r="C94" s="2906"/>
      <c r="D94" s="2906"/>
      <c r="E94" s="2906"/>
      <c r="F94" s="2906"/>
      <c r="G94" s="2907"/>
      <c r="H94" s="2906"/>
      <c r="I94" s="2907"/>
      <c r="J94" s="2906"/>
      <c r="K94" s="2906"/>
      <c r="L94" s="2907"/>
      <c r="M94" s="2906"/>
      <c r="N94" s="2906"/>
      <c r="O94" s="2907"/>
      <c r="P94" s="2906"/>
      <c r="Q94" s="2906"/>
      <c r="R94" s="2908"/>
    </row>
    <row r="95" s="2901" customFormat="1" spans="2:18">
      <c r="B95" s="2906"/>
      <c r="C95" s="2906"/>
      <c r="D95" s="2906"/>
      <c r="E95" s="2906"/>
      <c r="F95" s="2906"/>
      <c r="G95" s="2907"/>
      <c r="H95" s="2906"/>
      <c r="I95" s="2907"/>
      <c r="J95" s="2906"/>
      <c r="K95" s="2906"/>
      <c r="L95" s="2907"/>
      <c r="M95" s="2906"/>
      <c r="N95" s="2906"/>
      <c r="O95" s="2907"/>
      <c r="P95" s="2906"/>
      <c r="Q95" s="2906"/>
      <c r="R95" s="2908"/>
    </row>
    <row r="96" s="2901" customFormat="1" spans="2:18">
      <c r="B96" s="2906"/>
      <c r="C96" s="2906"/>
      <c r="D96" s="2906"/>
      <c r="E96" s="2906"/>
      <c r="F96" s="2906"/>
      <c r="G96" s="2907"/>
      <c r="H96" s="2906"/>
      <c r="I96" s="2907"/>
      <c r="J96" s="2906"/>
      <c r="K96" s="2906"/>
      <c r="L96" s="2907"/>
      <c r="M96" s="2906"/>
      <c r="N96" s="2906"/>
      <c r="O96" s="2907"/>
      <c r="P96" s="2906"/>
      <c r="Q96" s="2906"/>
      <c r="R96" s="2908"/>
    </row>
    <row r="97" s="2901" customFormat="1" spans="2:18">
      <c r="B97" s="2906"/>
      <c r="C97" s="2906"/>
      <c r="D97" s="2906"/>
      <c r="E97" s="2906"/>
      <c r="F97" s="2906"/>
      <c r="G97" s="2907"/>
      <c r="H97" s="2906"/>
      <c r="I97" s="2907"/>
      <c r="J97" s="2906"/>
      <c r="K97" s="2906"/>
      <c r="L97" s="2907"/>
      <c r="M97" s="2906"/>
      <c r="N97" s="2906"/>
      <c r="O97" s="2907"/>
      <c r="P97" s="2906"/>
      <c r="Q97" s="2906"/>
      <c r="R97" s="2908"/>
    </row>
    <row r="98" s="2901" customFormat="1" spans="2:18">
      <c r="B98" s="2906"/>
      <c r="C98" s="2906"/>
      <c r="D98" s="2906"/>
      <c r="E98" s="2906"/>
      <c r="F98" s="2906"/>
      <c r="G98" s="2907"/>
      <c r="H98" s="2906"/>
      <c r="I98" s="2907"/>
      <c r="J98" s="2906"/>
      <c r="K98" s="2906"/>
      <c r="L98" s="2907"/>
      <c r="M98" s="2906"/>
      <c r="N98" s="2906"/>
      <c r="O98" s="2907"/>
      <c r="P98" s="2906"/>
      <c r="Q98" s="2906"/>
      <c r="R98" s="2908"/>
    </row>
    <row r="99" s="2901" customFormat="1" spans="2:18">
      <c r="B99" s="2906"/>
      <c r="C99" s="2906"/>
      <c r="D99" s="2906"/>
      <c r="E99" s="2906"/>
      <c r="F99" s="2906"/>
      <c r="G99" s="2907"/>
      <c r="H99" s="2906"/>
      <c r="I99" s="2907"/>
      <c r="J99" s="2906"/>
      <c r="K99" s="2906"/>
      <c r="L99" s="2907"/>
      <c r="M99" s="2906"/>
      <c r="N99" s="2906"/>
      <c r="O99" s="2907"/>
      <c r="P99" s="2906"/>
      <c r="Q99" s="2906"/>
      <c r="R99" s="2908"/>
    </row>
    <row r="100" s="2901" customFormat="1" spans="2:18">
      <c r="B100" s="2906"/>
      <c r="C100" s="2906"/>
      <c r="D100" s="2906"/>
      <c r="E100" s="2906"/>
      <c r="F100" s="2906"/>
      <c r="G100" s="2907"/>
      <c r="H100" s="2906"/>
      <c r="I100" s="2907"/>
      <c r="J100" s="2906"/>
      <c r="K100" s="2906"/>
      <c r="L100" s="2907"/>
      <c r="M100" s="2906"/>
      <c r="N100" s="2906"/>
      <c r="O100" s="2907"/>
      <c r="P100" s="2906"/>
      <c r="Q100" s="2906"/>
      <c r="R100" s="2908"/>
    </row>
    <row r="101" s="2901" customFormat="1" spans="2:18">
      <c r="B101" s="2906"/>
      <c r="C101" s="2906"/>
      <c r="D101" s="2906"/>
      <c r="E101" s="2906"/>
      <c r="F101" s="2906"/>
      <c r="G101" s="2907"/>
      <c r="H101" s="2906"/>
      <c r="I101" s="2907"/>
      <c r="J101" s="2906"/>
      <c r="K101" s="2906"/>
      <c r="L101" s="2907"/>
      <c r="M101" s="2906"/>
      <c r="N101" s="2906"/>
      <c r="O101" s="2907"/>
      <c r="P101" s="2906"/>
      <c r="Q101" s="2906"/>
      <c r="R101" s="2908"/>
    </row>
    <row r="102" s="2901" customFormat="1" spans="2:18">
      <c r="B102" s="2906"/>
      <c r="C102" s="2906"/>
      <c r="D102" s="2906"/>
      <c r="E102" s="2906"/>
      <c r="F102" s="2906"/>
      <c r="G102" s="2907"/>
      <c r="H102" s="2906"/>
      <c r="I102" s="2907"/>
      <c r="J102" s="2906"/>
      <c r="K102" s="2906"/>
      <c r="L102" s="2907"/>
      <c r="M102" s="2906"/>
      <c r="N102" s="2906"/>
      <c r="O102" s="2907"/>
      <c r="P102" s="2906"/>
      <c r="Q102" s="2906"/>
      <c r="R102" s="2908"/>
    </row>
    <row r="103" s="2901" customFormat="1" spans="2:18">
      <c r="B103" s="2906"/>
      <c r="C103" s="2906"/>
      <c r="D103" s="2906"/>
      <c r="E103" s="2906"/>
      <c r="F103" s="2906"/>
      <c r="G103" s="2907"/>
      <c r="H103" s="2906"/>
      <c r="I103" s="2907"/>
      <c r="J103" s="2906"/>
      <c r="K103" s="2906"/>
      <c r="L103" s="2907"/>
      <c r="M103" s="2906"/>
      <c r="N103" s="2906"/>
      <c r="O103" s="2907"/>
      <c r="P103" s="2906"/>
      <c r="Q103" s="2906"/>
      <c r="R103" s="2908"/>
    </row>
    <row r="104" s="2901" customFormat="1" spans="2:18">
      <c r="B104" s="2906"/>
      <c r="C104" s="2906"/>
      <c r="D104" s="2906"/>
      <c r="E104" s="2906"/>
      <c r="F104" s="2906"/>
      <c r="G104" s="2907"/>
      <c r="H104" s="2906"/>
      <c r="I104" s="2907"/>
      <c r="J104" s="2906"/>
      <c r="K104" s="2906"/>
      <c r="L104" s="2907"/>
      <c r="M104" s="2906"/>
      <c r="N104" s="2906"/>
      <c r="O104" s="2907"/>
      <c r="P104" s="2906"/>
      <c r="Q104" s="2906"/>
      <c r="R104" s="2908"/>
    </row>
    <row r="105" s="2901" customFormat="1" spans="2:18">
      <c r="B105" s="2906"/>
      <c r="C105" s="2906"/>
      <c r="D105" s="2906"/>
      <c r="E105" s="2906"/>
      <c r="F105" s="2906"/>
      <c r="G105" s="2907"/>
      <c r="H105" s="2906"/>
      <c r="I105" s="2907"/>
      <c r="J105" s="2906"/>
      <c r="K105" s="2906"/>
      <c r="L105" s="2907"/>
      <c r="M105" s="2906"/>
      <c r="N105" s="2906"/>
      <c r="O105" s="2907"/>
      <c r="P105" s="2906"/>
      <c r="Q105" s="2906"/>
      <c r="R105" s="2908"/>
    </row>
    <row r="106" s="2901" customFormat="1" spans="2:18">
      <c r="B106" s="2906"/>
      <c r="C106" s="2906"/>
      <c r="D106" s="2906"/>
      <c r="E106" s="2906"/>
      <c r="F106" s="2906"/>
      <c r="G106" s="2907"/>
      <c r="H106" s="2906"/>
      <c r="I106" s="2907"/>
      <c r="J106" s="2906"/>
      <c r="K106" s="2906"/>
      <c r="L106" s="2907"/>
      <c r="M106" s="2906"/>
      <c r="N106" s="2906"/>
      <c r="O106" s="2907"/>
      <c r="P106" s="2906"/>
      <c r="Q106" s="2906"/>
      <c r="R106" s="2908"/>
    </row>
    <row r="107" s="2901" customFormat="1" spans="2:18">
      <c r="B107" s="2906"/>
      <c r="C107" s="2906"/>
      <c r="D107" s="2906"/>
      <c r="E107" s="2906"/>
      <c r="F107" s="2906"/>
      <c r="G107" s="2907"/>
      <c r="H107" s="2906"/>
      <c r="I107" s="2907"/>
      <c r="J107" s="2906"/>
      <c r="K107" s="2906"/>
      <c r="L107" s="2907"/>
      <c r="M107" s="2906"/>
      <c r="N107" s="2906"/>
      <c r="O107" s="2907"/>
      <c r="P107" s="2906"/>
      <c r="Q107" s="2906"/>
      <c r="R107" s="2908"/>
    </row>
    <row r="108" s="2901" customFormat="1" spans="2:18">
      <c r="B108" s="2906"/>
      <c r="C108" s="2906"/>
      <c r="D108" s="2906"/>
      <c r="E108" s="2906"/>
      <c r="F108" s="2906"/>
      <c r="G108" s="2907"/>
      <c r="H108" s="2906"/>
      <c r="I108" s="2907"/>
      <c r="J108" s="2906"/>
      <c r="K108" s="2906"/>
      <c r="L108" s="2907"/>
      <c r="M108" s="2906"/>
      <c r="N108" s="2906"/>
      <c r="O108" s="2907"/>
      <c r="P108" s="2906"/>
      <c r="Q108" s="2906"/>
      <c r="R108" s="2908"/>
    </row>
    <row r="109" s="2901" customFormat="1" spans="2:18">
      <c r="B109" s="2906"/>
      <c r="C109" s="2906"/>
      <c r="D109" s="2906"/>
      <c r="E109" s="2906"/>
      <c r="F109" s="2906"/>
      <c r="G109" s="2907"/>
      <c r="H109" s="2906"/>
      <c r="I109" s="2907"/>
      <c r="J109" s="2906"/>
      <c r="K109" s="2906"/>
      <c r="L109" s="2907"/>
      <c r="M109" s="2906"/>
      <c r="N109" s="2906"/>
      <c r="O109" s="2907"/>
      <c r="P109" s="2906"/>
      <c r="Q109" s="2906"/>
      <c r="R109" s="2908"/>
    </row>
    <row r="110" s="2901" customFormat="1" spans="2:18">
      <c r="B110" s="2906"/>
      <c r="C110" s="2906"/>
      <c r="D110" s="2906"/>
      <c r="E110" s="2906"/>
      <c r="F110" s="2906"/>
      <c r="G110" s="2907"/>
      <c r="H110" s="2906"/>
      <c r="I110" s="2907"/>
      <c r="J110" s="2906"/>
      <c r="K110" s="2906"/>
      <c r="L110" s="2907"/>
      <c r="M110" s="2906"/>
      <c r="N110" s="2906"/>
      <c r="O110" s="2907"/>
      <c r="P110" s="2906"/>
      <c r="Q110" s="2906"/>
      <c r="R110" s="2908"/>
    </row>
    <row r="111" s="2901" customFormat="1" spans="2:18">
      <c r="B111" s="2906"/>
      <c r="C111" s="2906"/>
      <c r="D111" s="2906"/>
      <c r="E111" s="2906"/>
      <c r="F111" s="2906"/>
      <c r="G111" s="2907"/>
      <c r="H111" s="2906"/>
      <c r="I111" s="2907"/>
      <c r="J111" s="2906"/>
      <c r="K111" s="2906"/>
      <c r="L111" s="2907"/>
      <c r="M111" s="2906"/>
      <c r="N111" s="2906"/>
      <c r="O111" s="2907"/>
      <c r="P111" s="2906"/>
      <c r="Q111" s="2906"/>
      <c r="R111" s="2908"/>
    </row>
    <row r="112" s="2901" customFormat="1" spans="2:18">
      <c r="B112" s="2906"/>
      <c r="C112" s="2906"/>
      <c r="D112" s="2906"/>
      <c r="E112" s="2906"/>
      <c r="F112" s="2906"/>
      <c r="G112" s="2907"/>
      <c r="H112" s="2906"/>
      <c r="I112" s="2907"/>
      <c r="J112" s="2906"/>
      <c r="K112" s="2906"/>
      <c r="L112" s="2907"/>
      <c r="M112" s="2906"/>
      <c r="N112" s="2906"/>
      <c r="O112" s="2907"/>
      <c r="P112" s="2906"/>
      <c r="Q112" s="2906"/>
      <c r="R112" s="2908"/>
    </row>
    <row r="113" s="2901" customFormat="1" spans="2:18">
      <c r="B113" s="2906"/>
      <c r="C113" s="2906"/>
      <c r="D113" s="2906"/>
      <c r="E113" s="2906"/>
      <c r="F113" s="2906"/>
      <c r="G113" s="2907"/>
      <c r="H113" s="2906"/>
      <c r="I113" s="2907"/>
      <c r="J113" s="2906"/>
      <c r="K113" s="2906"/>
      <c r="L113" s="2907"/>
      <c r="M113" s="2906"/>
      <c r="N113" s="2906"/>
      <c r="O113" s="2907"/>
      <c r="P113" s="2906"/>
      <c r="Q113" s="2906"/>
      <c r="R113" s="2908"/>
    </row>
    <row r="114" s="2901" customFormat="1" spans="2:18">
      <c r="B114" s="2906"/>
      <c r="C114" s="2906"/>
      <c r="D114" s="2906"/>
      <c r="E114" s="2906"/>
      <c r="F114" s="2906"/>
      <c r="G114" s="2907"/>
      <c r="H114" s="2906"/>
      <c r="I114" s="2907"/>
      <c r="J114" s="2906"/>
      <c r="K114" s="2906"/>
      <c r="L114" s="2907"/>
      <c r="M114" s="2906"/>
      <c r="N114" s="2906"/>
      <c r="O114" s="2907"/>
      <c r="P114" s="2906"/>
      <c r="Q114" s="2906"/>
      <c r="R114" s="2908"/>
    </row>
    <row r="115" s="2901" customFormat="1" spans="2:18">
      <c r="B115" s="2906"/>
      <c r="C115" s="2906"/>
      <c r="D115" s="2906"/>
      <c r="E115" s="2906"/>
      <c r="F115" s="2906"/>
      <c r="G115" s="2907"/>
      <c r="H115" s="2906"/>
      <c r="I115" s="2907"/>
      <c r="J115" s="2906"/>
      <c r="K115" s="2906"/>
      <c r="L115" s="2907"/>
      <c r="M115" s="2906"/>
      <c r="N115" s="2906"/>
      <c r="O115" s="2907"/>
      <c r="P115" s="2906"/>
      <c r="Q115" s="2906"/>
      <c r="R115" s="2908"/>
    </row>
    <row r="116" s="2901" customFormat="1" spans="2:18">
      <c r="B116" s="2906"/>
      <c r="C116" s="2906"/>
      <c r="D116" s="2906"/>
      <c r="E116" s="2906"/>
      <c r="F116" s="2906"/>
      <c r="G116" s="2907"/>
      <c r="H116" s="2906"/>
      <c r="I116" s="2907"/>
      <c r="J116" s="2906"/>
      <c r="K116" s="2906"/>
      <c r="L116" s="2907"/>
      <c r="M116" s="2906"/>
      <c r="N116" s="2906"/>
      <c r="O116" s="2907"/>
      <c r="P116" s="2906"/>
      <c r="Q116" s="2906"/>
      <c r="R116" s="2908"/>
    </row>
    <row r="117" s="2901" customFormat="1" spans="2:18">
      <c r="B117" s="2906"/>
      <c r="C117" s="2906"/>
      <c r="D117" s="2906"/>
      <c r="E117" s="2906"/>
      <c r="F117" s="2906"/>
      <c r="G117" s="2907"/>
      <c r="H117" s="2906"/>
      <c r="I117" s="2907"/>
      <c r="J117" s="2906"/>
      <c r="K117" s="2906"/>
      <c r="L117" s="2907"/>
      <c r="M117" s="2906"/>
      <c r="N117" s="2906"/>
      <c r="O117" s="2907"/>
      <c r="P117" s="2906"/>
      <c r="Q117" s="2906"/>
      <c r="R117" s="2908"/>
    </row>
    <row r="118" s="2901" customFormat="1" spans="2:18">
      <c r="B118" s="2906"/>
      <c r="C118" s="2906"/>
      <c r="D118" s="2906"/>
      <c r="E118" s="2906"/>
      <c r="F118" s="2906"/>
      <c r="G118" s="2907"/>
      <c r="H118" s="2906"/>
      <c r="I118" s="2907"/>
      <c r="J118" s="2906"/>
      <c r="K118" s="2906"/>
      <c r="L118" s="2907"/>
      <c r="M118" s="2906"/>
      <c r="N118" s="2906"/>
      <c r="O118" s="2907"/>
      <c r="P118" s="2906"/>
      <c r="Q118" s="2906"/>
      <c r="R118" s="2908"/>
    </row>
    <row r="119" s="2901" customFormat="1" spans="2:18">
      <c r="B119" s="2906"/>
      <c r="C119" s="2906"/>
      <c r="D119" s="2906"/>
      <c r="E119" s="2906"/>
      <c r="F119" s="2906"/>
      <c r="G119" s="2907"/>
      <c r="H119" s="2906"/>
      <c r="I119" s="2907"/>
      <c r="J119" s="2906"/>
      <c r="K119" s="2906"/>
      <c r="L119" s="2907"/>
      <c r="M119" s="2906"/>
      <c r="N119" s="2906"/>
      <c r="O119" s="2907"/>
      <c r="P119" s="2906"/>
      <c r="Q119" s="2906"/>
      <c r="R119" s="2908"/>
    </row>
    <row r="120" s="2901" customFormat="1" spans="2:18">
      <c r="B120" s="2906"/>
      <c r="C120" s="2906"/>
      <c r="D120" s="2906"/>
      <c r="E120" s="2906"/>
      <c r="F120" s="2906"/>
      <c r="G120" s="2907"/>
      <c r="H120" s="2906"/>
      <c r="I120" s="2907"/>
      <c r="J120" s="2906"/>
      <c r="K120" s="2906"/>
      <c r="L120" s="2907"/>
      <c r="M120" s="2906"/>
      <c r="N120" s="2906"/>
      <c r="O120" s="2907"/>
      <c r="P120" s="2906"/>
      <c r="Q120" s="2906"/>
      <c r="R120" s="2908"/>
    </row>
    <row r="121" s="2901" customFormat="1" spans="2:18">
      <c r="B121" s="2906"/>
      <c r="C121" s="2906"/>
      <c r="D121" s="2906"/>
      <c r="E121" s="2906"/>
      <c r="F121" s="2906"/>
      <c r="G121" s="2907"/>
      <c r="H121" s="2906"/>
      <c r="I121" s="2907"/>
      <c r="J121" s="2906"/>
      <c r="K121" s="2906"/>
      <c r="L121" s="2907"/>
      <c r="M121" s="2906"/>
      <c r="N121" s="2906"/>
      <c r="O121" s="2907"/>
      <c r="P121" s="2906"/>
      <c r="Q121" s="2906"/>
      <c r="R121" s="2908"/>
    </row>
    <row r="122" s="2901" customFormat="1" spans="2:18">
      <c r="B122" s="2906"/>
      <c r="C122" s="2906"/>
      <c r="D122" s="2906"/>
      <c r="E122" s="2906"/>
      <c r="F122" s="2906"/>
      <c r="G122" s="2907"/>
      <c r="H122" s="2906"/>
      <c r="I122" s="2907"/>
      <c r="J122" s="2906"/>
      <c r="K122" s="2906"/>
      <c r="L122" s="2907"/>
      <c r="M122" s="2906"/>
      <c r="N122" s="2906"/>
      <c r="O122" s="2907"/>
      <c r="P122" s="2906"/>
      <c r="Q122" s="2906"/>
      <c r="R122" s="2908"/>
    </row>
    <row r="123" s="2901" customFormat="1" spans="2:18">
      <c r="B123" s="2906"/>
      <c r="C123" s="2906"/>
      <c r="D123" s="2906"/>
      <c r="E123" s="2906"/>
      <c r="F123" s="2906"/>
      <c r="G123" s="2907"/>
      <c r="H123" s="2906"/>
      <c r="I123" s="2907"/>
      <c r="J123" s="2906"/>
      <c r="K123" s="2906"/>
      <c r="L123" s="2907"/>
      <c r="M123" s="2906"/>
      <c r="N123" s="2906"/>
      <c r="O123" s="2907"/>
      <c r="P123" s="2906"/>
      <c r="Q123" s="2906"/>
      <c r="R123" s="2908"/>
    </row>
    <row r="124" s="2901" customFormat="1" spans="2:18">
      <c r="B124" s="2906"/>
      <c r="C124" s="2906"/>
      <c r="D124" s="2906"/>
      <c r="E124" s="2906"/>
      <c r="F124" s="2906"/>
      <c r="G124" s="2907"/>
      <c r="H124" s="2906"/>
      <c r="I124" s="2907"/>
      <c r="J124" s="2906"/>
      <c r="K124" s="2906"/>
      <c r="L124" s="2907"/>
      <c r="M124" s="2906"/>
      <c r="N124" s="2906"/>
      <c r="O124" s="2907"/>
      <c r="P124" s="2906"/>
      <c r="Q124" s="2906"/>
      <c r="R124" s="2908"/>
    </row>
    <row r="125" s="2901" customFormat="1" spans="2:18">
      <c r="B125" s="2906"/>
      <c r="C125" s="2906"/>
      <c r="D125" s="2906"/>
      <c r="E125" s="2906"/>
      <c r="F125" s="2906"/>
      <c r="G125" s="2907"/>
      <c r="H125" s="2906"/>
      <c r="I125" s="2907"/>
      <c r="J125" s="2906"/>
      <c r="K125" s="2906"/>
      <c r="L125" s="2907"/>
      <c r="M125" s="2906"/>
      <c r="N125" s="2906"/>
      <c r="O125" s="2907"/>
      <c r="P125" s="2906"/>
      <c r="Q125" s="2906"/>
      <c r="R125" s="2908"/>
    </row>
    <row r="126" s="2901" customFormat="1" spans="2:18">
      <c r="B126" s="2906"/>
      <c r="C126" s="2906"/>
      <c r="D126" s="2906"/>
      <c r="E126" s="2906"/>
      <c r="F126" s="2906"/>
      <c r="G126" s="2907"/>
      <c r="H126" s="2906"/>
      <c r="I126" s="2907"/>
      <c r="J126" s="2906"/>
      <c r="K126" s="2906"/>
      <c r="L126" s="2907"/>
      <c r="M126" s="2906"/>
      <c r="N126" s="2906"/>
      <c r="O126" s="2907"/>
      <c r="P126" s="2906"/>
      <c r="Q126" s="2906"/>
      <c r="R126" s="2908"/>
    </row>
    <row r="127" s="2901" customFormat="1" spans="2:18">
      <c r="B127" s="2906"/>
      <c r="C127" s="2906"/>
      <c r="D127" s="2906"/>
      <c r="E127" s="2906"/>
      <c r="F127" s="2906"/>
      <c r="G127" s="2907"/>
      <c r="H127" s="2906"/>
      <c r="I127" s="2907"/>
      <c r="J127" s="2906"/>
      <c r="K127" s="2906"/>
      <c r="L127" s="2907"/>
      <c r="M127" s="2906"/>
      <c r="N127" s="2906"/>
      <c r="O127" s="2907"/>
      <c r="P127" s="2906"/>
      <c r="Q127" s="2906"/>
      <c r="R127" s="2908"/>
    </row>
    <row r="128" s="2901" customFormat="1" spans="2:18">
      <c r="B128" s="2906"/>
      <c r="C128" s="2906"/>
      <c r="D128" s="2906"/>
      <c r="E128" s="2906"/>
      <c r="F128" s="2906"/>
      <c r="G128" s="2907"/>
      <c r="H128" s="2906"/>
      <c r="I128" s="2907"/>
      <c r="J128" s="2906"/>
      <c r="K128" s="2906"/>
      <c r="L128" s="2907"/>
      <c r="M128" s="2906"/>
      <c r="N128" s="2906"/>
      <c r="O128" s="2907"/>
      <c r="P128" s="2906"/>
      <c r="Q128" s="2906"/>
      <c r="R128" s="2908"/>
    </row>
    <row r="129" s="2901" customFormat="1" spans="2:18">
      <c r="B129" s="2906"/>
      <c r="C129" s="2906"/>
      <c r="D129" s="2906"/>
      <c r="E129" s="2906"/>
      <c r="F129" s="2906"/>
      <c r="G129" s="2907"/>
      <c r="H129" s="2906"/>
      <c r="I129" s="2907"/>
      <c r="J129" s="2906"/>
      <c r="K129" s="2906"/>
      <c r="L129" s="2907"/>
      <c r="M129" s="2906"/>
      <c r="N129" s="2906"/>
      <c r="O129" s="2907"/>
      <c r="P129" s="2906"/>
      <c r="Q129" s="2906"/>
      <c r="R129" s="2908"/>
    </row>
    <row r="130" s="2901" customFormat="1" spans="2:18">
      <c r="B130" s="2906"/>
      <c r="C130" s="2906"/>
      <c r="D130" s="2906"/>
      <c r="E130" s="2906"/>
      <c r="F130" s="2906"/>
      <c r="G130" s="2907"/>
      <c r="H130" s="2906"/>
      <c r="I130" s="2907"/>
      <c r="J130" s="2906"/>
      <c r="K130" s="2906"/>
      <c r="L130" s="2907"/>
      <c r="M130" s="2906"/>
      <c r="N130" s="2906"/>
      <c r="O130" s="2907"/>
      <c r="P130" s="2906"/>
      <c r="Q130" s="2906"/>
      <c r="R130" s="2908"/>
    </row>
    <row r="131" s="2901" customFormat="1" spans="2:18">
      <c r="B131" s="2906"/>
      <c r="C131" s="2906"/>
      <c r="D131" s="2906"/>
      <c r="E131" s="2906"/>
      <c r="F131" s="2906"/>
      <c r="G131" s="2907"/>
      <c r="H131" s="2906"/>
      <c r="I131" s="2907"/>
      <c r="J131" s="2906"/>
      <c r="K131" s="2906"/>
      <c r="L131" s="2907"/>
      <c r="M131" s="2906"/>
      <c r="N131" s="2906"/>
      <c r="O131" s="2907"/>
      <c r="P131" s="2906"/>
      <c r="Q131" s="2906"/>
      <c r="R131" s="2908"/>
    </row>
    <row r="132" s="2901" customFormat="1" spans="2:18">
      <c r="B132" s="2906"/>
      <c r="C132" s="2906"/>
      <c r="D132" s="2906"/>
      <c r="E132" s="2906"/>
      <c r="F132" s="2906"/>
      <c r="G132" s="2907"/>
      <c r="H132" s="2906"/>
      <c r="I132" s="2907"/>
      <c r="J132" s="2906"/>
      <c r="K132" s="2906"/>
      <c r="L132" s="2907"/>
      <c r="M132" s="2906"/>
      <c r="N132" s="2906"/>
      <c r="O132" s="2907"/>
      <c r="P132" s="2906"/>
      <c r="Q132" s="2906"/>
      <c r="R132" s="2908"/>
    </row>
    <row r="133" s="2901" customFormat="1" spans="2:18">
      <c r="B133" s="2906"/>
      <c r="C133" s="2906"/>
      <c r="D133" s="2906"/>
      <c r="E133" s="2906"/>
      <c r="F133" s="2906"/>
      <c r="G133" s="2907"/>
      <c r="H133" s="2906"/>
      <c r="I133" s="2907"/>
      <c r="J133" s="2906"/>
      <c r="K133" s="2906"/>
      <c r="L133" s="2907"/>
      <c r="M133" s="2906"/>
      <c r="N133" s="2906"/>
      <c r="O133" s="2907"/>
      <c r="P133" s="2906"/>
      <c r="Q133" s="2906"/>
      <c r="R133" s="2908"/>
    </row>
    <row r="134" s="2901" customFormat="1" spans="2:18">
      <c r="B134" s="2906"/>
      <c r="C134" s="2906"/>
      <c r="D134" s="2906"/>
      <c r="E134" s="2906"/>
      <c r="F134" s="2906"/>
      <c r="G134" s="2907"/>
      <c r="H134" s="2906"/>
      <c r="I134" s="2907"/>
      <c r="J134" s="2906"/>
      <c r="K134" s="2906"/>
      <c r="L134" s="2907"/>
      <c r="M134" s="2906"/>
      <c r="N134" s="2906"/>
      <c r="O134" s="2907"/>
      <c r="P134" s="2906"/>
      <c r="Q134" s="2906"/>
      <c r="R134" s="2908"/>
    </row>
    <row r="135" s="2901" customFormat="1" spans="2:18">
      <c r="B135" s="2906"/>
      <c r="C135" s="2906"/>
      <c r="D135" s="2906"/>
      <c r="E135" s="2906"/>
      <c r="F135" s="2906"/>
      <c r="G135" s="2907"/>
      <c r="H135" s="2906"/>
      <c r="I135" s="2907"/>
      <c r="J135" s="2906"/>
      <c r="K135" s="2906"/>
      <c r="L135" s="2907"/>
      <c r="M135" s="2906"/>
      <c r="N135" s="2906"/>
      <c r="O135" s="2907"/>
      <c r="P135" s="2906"/>
      <c r="Q135" s="2906"/>
      <c r="R135" s="2908"/>
    </row>
    <row r="136" s="2901" customFormat="1" spans="2:18">
      <c r="B136" s="2906"/>
      <c r="C136" s="2906"/>
      <c r="D136" s="2906"/>
      <c r="E136" s="2906"/>
      <c r="F136" s="2906"/>
      <c r="G136" s="2907"/>
      <c r="H136" s="2906"/>
      <c r="I136" s="2907"/>
      <c r="J136" s="2906"/>
      <c r="K136" s="2906"/>
      <c r="L136" s="2907"/>
      <c r="M136" s="2906"/>
      <c r="N136" s="2906"/>
      <c r="O136" s="2907"/>
      <c r="P136" s="2906"/>
      <c r="Q136" s="2906"/>
      <c r="R136" s="2908"/>
    </row>
    <row r="137" s="2901" customFormat="1" spans="2:18">
      <c r="B137" s="2906"/>
      <c r="C137" s="2906"/>
      <c r="D137" s="2906"/>
      <c r="E137" s="2906"/>
      <c r="F137" s="2906"/>
      <c r="G137" s="2907"/>
      <c r="H137" s="2906"/>
      <c r="I137" s="2907"/>
      <c r="J137" s="2906"/>
      <c r="K137" s="2906"/>
      <c r="L137" s="2907"/>
      <c r="M137" s="2906"/>
      <c r="N137" s="2906"/>
      <c r="O137" s="2907"/>
      <c r="P137" s="2906"/>
      <c r="Q137" s="2906"/>
      <c r="R137" s="2908"/>
    </row>
    <row r="138" s="2901" customFormat="1" spans="2:18">
      <c r="B138" s="2906"/>
      <c r="C138" s="2906"/>
      <c r="D138" s="2906"/>
      <c r="E138" s="2906"/>
      <c r="F138" s="2906"/>
      <c r="G138" s="2907"/>
      <c r="H138" s="2906"/>
      <c r="I138" s="2907"/>
      <c r="J138" s="2906"/>
      <c r="K138" s="2906"/>
      <c r="L138" s="2907"/>
      <c r="M138" s="2906"/>
      <c r="N138" s="2906"/>
      <c r="O138" s="2907"/>
      <c r="P138" s="2906"/>
      <c r="Q138" s="2906"/>
      <c r="R138" s="2908"/>
    </row>
    <row r="139" s="2901" customFormat="1" spans="2:18">
      <c r="B139" s="2906"/>
      <c r="C139" s="2906"/>
      <c r="D139" s="2906"/>
      <c r="E139" s="2906"/>
      <c r="F139" s="2906"/>
      <c r="G139" s="2907"/>
      <c r="H139" s="2906"/>
      <c r="I139" s="2907"/>
      <c r="J139" s="2906"/>
      <c r="K139" s="2906"/>
      <c r="L139" s="2907"/>
      <c r="M139" s="2906"/>
      <c r="N139" s="2906"/>
      <c r="O139" s="2907"/>
      <c r="P139" s="2906"/>
      <c r="Q139" s="2906"/>
      <c r="R139" s="2908"/>
    </row>
    <row r="140" s="2901" customFormat="1" spans="2:18">
      <c r="B140" s="2906"/>
      <c r="C140" s="2906"/>
      <c r="D140" s="2906"/>
      <c r="E140" s="2906"/>
      <c r="F140" s="2906"/>
      <c r="G140" s="2907"/>
      <c r="H140" s="2906"/>
      <c r="I140" s="2907"/>
      <c r="J140" s="2906"/>
      <c r="K140" s="2906"/>
      <c r="L140" s="2907"/>
      <c r="M140" s="2906"/>
      <c r="N140" s="2906"/>
      <c r="O140" s="2907"/>
      <c r="P140" s="2906"/>
      <c r="Q140" s="2906"/>
      <c r="R140" s="2908"/>
    </row>
    <row r="141" s="2901" customFormat="1" spans="2:18">
      <c r="B141" s="2906"/>
      <c r="C141" s="2906"/>
      <c r="D141" s="2906"/>
      <c r="E141" s="2906"/>
      <c r="F141" s="2906"/>
      <c r="G141" s="2907"/>
      <c r="H141" s="2906"/>
      <c r="I141" s="2907"/>
      <c r="J141" s="2906"/>
      <c r="K141" s="2906"/>
      <c r="L141" s="2907"/>
      <c r="M141" s="2906"/>
      <c r="N141" s="2906"/>
      <c r="O141" s="2907"/>
      <c r="P141" s="2906"/>
      <c r="Q141" s="2906"/>
      <c r="R141" s="2908"/>
    </row>
    <row r="142" s="2901" customFormat="1" spans="2:18">
      <c r="B142" s="2906"/>
      <c r="C142" s="2906"/>
      <c r="D142" s="2906"/>
      <c r="E142" s="2906"/>
      <c r="F142" s="2906"/>
      <c r="G142" s="2907"/>
      <c r="H142" s="2906"/>
      <c r="I142" s="2907"/>
      <c r="J142" s="2906"/>
      <c r="K142" s="2906"/>
      <c r="L142" s="2907"/>
      <c r="M142" s="2906"/>
      <c r="N142" s="2906"/>
      <c r="O142" s="2907"/>
      <c r="P142" s="2906"/>
      <c r="Q142" s="2906"/>
      <c r="R142" s="2908"/>
    </row>
    <row r="143" s="2901" customFormat="1" spans="2:18">
      <c r="B143" s="2906"/>
      <c r="C143" s="2906"/>
      <c r="D143" s="2906"/>
      <c r="E143" s="2906"/>
      <c r="F143" s="2906"/>
      <c r="G143" s="2907"/>
      <c r="H143" s="2906"/>
      <c r="I143" s="2907"/>
      <c r="J143" s="2906"/>
      <c r="K143" s="2906"/>
      <c r="L143" s="2907"/>
      <c r="M143" s="2906"/>
      <c r="N143" s="2906"/>
      <c r="O143" s="2907"/>
      <c r="P143" s="2906"/>
      <c r="Q143" s="2906"/>
      <c r="R143" s="2908"/>
    </row>
    <row r="144" s="2901" customFormat="1" spans="2:18">
      <c r="B144" s="2906"/>
      <c r="C144" s="2906"/>
      <c r="D144" s="2906"/>
      <c r="E144" s="2906"/>
      <c r="F144" s="2906"/>
      <c r="G144" s="2907"/>
      <c r="H144" s="2906"/>
      <c r="I144" s="2907"/>
      <c r="J144" s="2906"/>
      <c r="K144" s="2906"/>
      <c r="L144" s="2907"/>
      <c r="M144" s="2906"/>
      <c r="N144" s="2906"/>
      <c r="O144" s="2907"/>
      <c r="P144" s="2906"/>
      <c r="Q144" s="2906"/>
      <c r="R144" s="2908"/>
    </row>
    <row r="145" s="2901" customFormat="1" spans="2:18">
      <c r="B145" s="2906"/>
      <c r="C145" s="2906"/>
      <c r="D145" s="2906"/>
      <c r="E145" s="2906"/>
      <c r="F145" s="2906"/>
      <c r="G145" s="2907"/>
      <c r="H145" s="2906"/>
      <c r="I145" s="2907"/>
      <c r="J145" s="2906"/>
      <c r="K145" s="2906"/>
      <c r="L145" s="2907"/>
      <c r="M145" s="2906"/>
      <c r="N145" s="2906"/>
      <c r="O145" s="2907"/>
      <c r="P145" s="2906"/>
      <c r="Q145" s="2906"/>
      <c r="R145" s="2908"/>
    </row>
    <row r="146" s="2901" customFormat="1" spans="2:18">
      <c r="B146" s="2906"/>
      <c r="C146" s="2906"/>
      <c r="D146" s="2906"/>
      <c r="E146" s="2906"/>
      <c r="F146" s="2906"/>
      <c r="G146" s="2907"/>
      <c r="H146" s="2906"/>
      <c r="I146" s="2907"/>
      <c r="J146" s="2906"/>
      <c r="K146" s="2906"/>
      <c r="L146" s="2907"/>
      <c r="M146" s="2906"/>
      <c r="N146" s="2906"/>
      <c r="O146" s="2907"/>
      <c r="P146" s="2906"/>
      <c r="Q146" s="2906"/>
      <c r="R146" s="2908"/>
    </row>
    <row r="147" s="2901" customFormat="1" spans="2:18">
      <c r="B147" s="2906"/>
      <c r="C147" s="2906"/>
      <c r="D147" s="2906"/>
      <c r="E147" s="2906"/>
      <c r="F147" s="2906"/>
      <c r="G147" s="2907"/>
      <c r="H147" s="2906"/>
      <c r="I147" s="2907"/>
      <c r="J147" s="2906"/>
      <c r="K147" s="2906"/>
      <c r="L147" s="2907"/>
      <c r="M147" s="2906"/>
      <c r="N147" s="2906"/>
      <c r="O147" s="2907"/>
      <c r="P147" s="2906"/>
      <c r="Q147" s="2906"/>
      <c r="R147" s="2908"/>
    </row>
    <row r="148" s="2901" customFormat="1" spans="2:18">
      <c r="B148" s="2906"/>
      <c r="C148" s="2906"/>
      <c r="D148" s="2906"/>
      <c r="E148" s="2906"/>
      <c r="F148" s="2906"/>
      <c r="G148" s="2907"/>
      <c r="H148" s="2906"/>
      <c r="I148" s="2907"/>
      <c r="J148" s="2906"/>
      <c r="K148" s="2906"/>
      <c r="L148" s="2907"/>
      <c r="M148" s="2906"/>
      <c r="N148" s="2906"/>
      <c r="O148" s="2907"/>
      <c r="P148" s="2906"/>
      <c r="Q148" s="2906"/>
      <c r="R148" s="2908"/>
    </row>
    <row r="149" s="2901" customFormat="1" spans="2:18">
      <c r="B149" s="2906"/>
      <c r="C149" s="2906"/>
      <c r="D149" s="2906"/>
      <c r="E149" s="2906"/>
      <c r="F149" s="2906"/>
      <c r="G149" s="2907"/>
      <c r="H149" s="2906"/>
      <c r="I149" s="2907"/>
      <c r="J149" s="2906"/>
      <c r="K149" s="2906"/>
      <c r="L149" s="2907"/>
      <c r="M149" s="2906"/>
      <c r="N149" s="2906"/>
      <c r="O149" s="2907"/>
      <c r="P149" s="2906"/>
      <c r="Q149" s="2906"/>
      <c r="R149" s="2908"/>
    </row>
    <row r="150" s="2901" customFormat="1" spans="2:18">
      <c r="B150" s="2906"/>
      <c r="C150" s="2906"/>
      <c r="D150" s="2906"/>
      <c r="E150" s="2906"/>
      <c r="F150" s="2906"/>
      <c r="G150" s="2907"/>
      <c r="H150" s="2906"/>
      <c r="I150" s="2907"/>
      <c r="J150" s="2906"/>
      <c r="K150" s="2906"/>
      <c r="L150" s="2907"/>
      <c r="M150" s="2906"/>
      <c r="N150" s="2906"/>
      <c r="O150" s="2907"/>
      <c r="P150" s="2906"/>
      <c r="Q150" s="2906"/>
      <c r="R150" s="2908"/>
    </row>
    <row r="151" s="2901" customFormat="1" spans="2:18">
      <c r="B151" s="2906"/>
      <c r="C151" s="2906"/>
      <c r="D151" s="2906"/>
      <c r="E151" s="2906"/>
      <c r="F151" s="2906"/>
      <c r="G151" s="2907"/>
      <c r="H151" s="2906"/>
      <c r="I151" s="2907"/>
      <c r="J151" s="2906"/>
      <c r="K151" s="2906"/>
      <c r="L151" s="2907"/>
      <c r="M151" s="2906"/>
      <c r="N151" s="2906"/>
      <c r="O151" s="2907"/>
      <c r="P151" s="2906"/>
      <c r="Q151" s="2906"/>
      <c r="R151" s="2908"/>
    </row>
    <row r="152" s="2901" customFormat="1" spans="2:18">
      <c r="B152" s="2906"/>
      <c r="C152" s="2906"/>
      <c r="D152" s="2906"/>
      <c r="E152" s="2906"/>
      <c r="F152" s="2906"/>
      <c r="G152" s="2907"/>
      <c r="H152" s="2906"/>
      <c r="I152" s="2907"/>
      <c r="J152" s="2906"/>
      <c r="K152" s="2906"/>
      <c r="L152" s="2907"/>
      <c r="M152" s="2906"/>
      <c r="N152" s="2906"/>
      <c r="O152" s="2907"/>
      <c r="P152" s="2906"/>
      <c r="Q152" s="2906"/>
      <c r="R152" s="2908"/>
    </row>
    <row r="153" s="2901" customFormat="1" spans="2:18">
      <c r="B153" s="2906"/>
      <c r="C153" s="2906"/>
      <c r="D153" s="2906"/>
      <c r="E153" s="2906"/>
      <c r="F153" s="2906"/>
      <c r="G153" s="2907"/>
      <c r="H153" s="2906"/>
      <c r="I153" s="2907"/>
      <c r="J153" s="2906"/>
      <c r="K153" s="2906"/>
      <c r="L153" s="2907"/>
      <c r="M153" s="2906"/>
      <c r="N153" s="2906"/>
      <c r="O153" s="2907"/>
      <c r="P153" s="2906"/>
      <c r="Q153" s="2906"/>
      <c r="R153" s="2908"/>
    </row>
    <row r="154" s="2901" customFormat="1" spans="2:18">
      <c r="B154" s="2906"/>
      <c r="C154" s="2906"/>
      <c r="D154" s="2906"/>
      <c r="E154" s="2906"/>
      <c r="F154" s="2906"/>
      <c r="G154" s="2907"/>
      <c r="H154" s="2906"/>
      <c r="I154" s="2907"/>
      <c r="J154" s="2906"/>
      <c r="K154" s="2906"/>
      <c r="L154" s="2907"/>
      <c r="M154" s="2906"/>
      <c r="N154" s="2906"/>
      <c r="O154" s="2907"/>
      <c r="P154" s="2906"/>
      <c r="Q154" s="2906"/>
      <c r="R154" s="2908"/>
    </row>
    <row r="155" s="2901" customFormat="1" spans="2:18">
      <c r="B155" s="2906"/>
      <c r="C155" s="2906"/>
      <c r="D155" s="2906"/>
      <c r="E155" s="2906"/>
      <c r="F155" s="2906"/>
      <c r="G155" s="2907"/>
      <c r="H155" s="2906"/>
      <c r="I155" s="2907"/>
      <c r="J155" s="2906"/>
      <c r="K155" s="2906"/>
      <c r="L155" s="2907"/>
      <c r="M155" s="2906"/>
      <c r="N155" s="2906"/>
      <c r="O155" s="2907"/>
      <c r="P155" s="2906"/>
      <c r="Q155" s="2906"/>
      <c r="R155" s="2908"/>
    </row>
    <row r="156" s="2901" customFormat="1" spans="2:18">
      <c r="B156" s="2906"/>
      <c r="C156" s="2906"/>
      <c r="D156" s="2906"/>
      <c r="E156" s="2906"/>
      <c r="F156" s="2906"/>
      <c r="G156" s="2907"/>
      <c r="H156" s="2906"/>
      <c r="I156" s="2907"/>
      <c r="J156" s="2906"/>
      <c r="K156" s="2906"/>
      <c r="L156" s="2907"/>
      <c r="M156" s="2906"/>
      <c r="N156" s="2906"/>
      <c r="O156" s="2907"/>
      <c r="P156" s="2906"/>
      <c r="Q156" s="2906"/>
      <c r="R156" s="2908"/>
    </row>
    <row r="157" s="2901" customFormat="1" spans="2:18">
      <c r="B157" s="2906"/>
      <c r="C157" s="2906"/>
      <c r="D157" s="2906"/>
      <c r="E157" s="2906"/>
      <c r="F157" s="2906"/>
      <c r="G157" s="2907"/>
      <c r="H157" s="2906"/>
      <c r="I157" s="2907"/>
      <c r="J157" s="2906"/>
      <c r="K157" s="2906"/>
      <c r="L157" s="2907"/>
      <c r="M157" s="2906"/>
      <c r="N157" s="2906"/>
      <c r="O157" s="2907"/>
      <c r="P157" s="2906"/>
      <c r="Q157" s="2906"/>
      <c r="R157" s="2908"/>
    </row>
    <row r="158" s="2901" customFormat="1" spans="2:18">
      <c r="B158" s="2906"/>
      <c r="C158" s="2906"/>
      <c r="D158" s="2906"/>
      <c r="E158" s="2906"/>
      <c r="F158" s="2906"/>
      <c r="G158" s="2907"/>
      <c r="H158" s="2906"/>
      <c r="I158" s="2907"/>
      <c r="J158" s="2906"/>
      <c r="K158" s="2906"/>
      <c r="L158" s="2907"/>
      <c r="M158" s="2906"/>
      <c r="N158" s="2906"/>
      <c r="O158" s="2907"/>
      <c r="P158" s="2906"/>
      <c r="Q158" s="2906"/>
      <c r="R158" s="2908"/>
    </row>
    <row r="159" s="2901" customFormat="1" spans="2:18">
      <c r="B159" s="2906"/>
      <c r="C159" s="2906"/>
      <c r="D159" s="2906"/>
      <c r="E159" s="2906"/>
      <c r="F159" s="2906"/>
      <c r="G159" s="2907"/>
      <c r="H159" s="2906"/>
      <c r="I159" s="2907"/>
      <c r="J159" s="2906"/>
      <c r="K159" s="2906"/>
      <c r="L159" s="2907"/>
      <c r="M159" s="2906"/>
      <c r="N159" s="2906"/>
      <c r="O159" s="2907"/>
      <c r="P159" s="2906"/>
      <c r="Q159" s="2906"/>
      <c r="R159" s="2908"/>
    </row>
    <row r="160" s="2901" customFormat="1" spans="2:18">
      <c r="B160" s="2906"/>
      <c r="C160" s="2906"/>
      <c r="D160" s="2906"/>
      <c r="E160" s="2906"/>
      <c r="F160" s="2906"/>
      <c r="G160" s="2907"/>
      <c r="H160" s="2906"/>
      <c r="I160" s="2907"/>
      <c r="J160" s="2906"/>
      <c r="K160" s="2906"/>
      <c r="L160" s="2907"/>
      <c r="M160" s="2906"/>
      <c r="N160" s="2906"/>
      <c r="O160" s="2907"/>
      <c r="P160" s="2906"/>
      <c r="Q160" s="2906"/>
      <c r="R160" s="2908"/>
    </row>
    <row r="161" s="2901" customFormat="1" spans="2:18">
      <c r="B161" s="2906"/>
      <c r="C161" s="2906"/>
      <c r="D161" s="2906"/>
      <c r="E161" s="2906"/>
      <c r="F161" s="2906"/>
      <c r="G161" s="2907"/>
      <c r="H161" s="2906"/>
      <c r="I161" s="2907"/>
      <c r="J161" s="2906"/>
      <c r="K161" s="2906"/>
      <c r="L161" s="2907"/>
      <c r="M161" s="2906"/>
      <c r="N161" s="2906"/>
      <c r="O161" s="2907"/>
      <c r="P161" s="2906"/>
      <c r="Q161" s="2906"/>
      <c r="R161" s="2908"/>
    </row>
    <row r="162" s="2901" customFormat="1" spans="2:18">
      <c r="B162" s="2906"/>
      <c r="C162" s="2906"/>
      <c r="D162" s="2906"/>
      <c r="E162" s="2906"/>
      <c r="F162" s="2906"/>
      <c r="G162" s="2907"/>
      <c r="H162" s="2906"/>
      <c r="I162" s="2907"/>
      <c r="J162" s="2906"/>
      <c r="K162" s="2906"/>
      <c r="L162" s="2907"/>
      <c r="M162" s="2906"/>
      <c r="N162" s="2906"/>
      <c r="O162" s="2907"/>
      <c r="P162" s="2906"/>
      <c r="Q162" s="2906"/>
      <c r="R162" s="2908"/>
    </row>
    <row r="163" s="2901" customFormat="1" spans="2:18">
      <c r="B163" s="2906"/>
      <c r="C163" s="2906"/>
      <c r="D163" s="2906"/>
      <c r="E163" s="2906"/>
      <c r="F163" s="2906"/>
      <c r="G163" s="2907"/>
      <c r="H163" s="2906"/>
      <c r="I163" s="2907"/>
      <c r="J163" s="2906"/>
      <c r="K163" s="2906"/>
      <c r="L163" s="2907"/>
      <c r="M163" s="2906"/>
      <c r="N163" s="2906"/>
      <c r="O163" s="2907"/>
      <c r="P163" s="2906"/>
      <c r="Q163" s="2906"/>
      <c r="R163" s="2908"/>
    </row>
    <row r="164" s="2901" customFormat="1" spans="2:18">
      <c r="B164" s="2906"/>
      <c r="C164" s="2906"/>
      <c r="D164" s="2906"/>
      <c r="E164" s="2906"/>
      <c r="F164" s="2906"/>
      <c r="G164" s="2907"/>
      <c r="H164" s="2906"/>
      <c r="I164" s="2907"/>
      <c r="J164" s="2906"/>
      <c r="K164" s="2906"/>
      <c r="L164" s="2907"/>
      <c r="M164" s="2906"/>
      <c r="N164" s="2906"/>
      <c r="O164" s="2907"/>
      <c r="P164" s="2906"/>
      <c r="Q164" s="2906"/>
      <c r="R164" s="2908"/>
    </row>
    <row r="165" s="2901" customFormat="1" spans="2:18">
      <c r="B165" s="2906"/>
      <c r="C165" s="2906"/>
      <c r="D165" s="2906"/>
      <c r="E165" s="2906"/>
      <c r="F165" s="2906"/>
      <c r="G165" s="2907"/>
      <c r="H165" s="2906"/>
      <c r="I165" s="2907"/>
      <c r="J165" s="2906"/>
      <c r="K165" s="2906"/>
      <c r="L165" s="2907"/>
      <c r="M165" s="2906"/>
      <c r="N165" s="2906"/>
      <c r="O165" s="2907"/>
      <c r="P165" s="2906"/>
      <c r="Q165" s="2906"/>
      <c r="R165" s="2908"/>
    </row>
    <row r="166" s="2901" customFormat="1" spans="2:18">
      <c r="B166" s="2906"/>
      <c r="C166" s="2906"/>
      <c r="D166" s="2906"/>
      <c r="E166" s="2906"/>
      <c r="F166" s="2906"/>
      <c r="G166" s="2907"/>
      <c r="H166" s="2906"/>
      <c r="I166" s="2907"/>
      <c r="J166" s="2906"/>
      <c r="K166" s="2906"/>
      <c r="L166" s="2907"/>
      <c r="M166" s="2906"/>
      <c r="N166" s="2906"/>
      <c r="O166" s="2907"/>
      <c r="P166" s="2906"/>
      <c r="Q166" s="2906"/>
      <c r="R166" s="2908"/>
    </row>
    <row r="167" s="2901" customFormat="1" spans="2:18">
      <c r="B167" s="2906"/>
      <c r="C167" s="2906"/>
      <c r="D167" s="2906"/>
      <c r="E167" s="2906"/>
      <c r="F167" s="2906"/>
      <c r="G167" s="2907"/>
      <c r="H167" s="2906"/>
      <c r="I167" s="2907"/>
      <c r="J167" s="2906"/>
      <c r="K167" s="2906"/>
      <c r="L167" s="2907"/>
      <c r="M167" s="2906"/>
      <c r="N167" s="2906"/>
      <c r="O167" s="2907"/>
      <c r="P167" s="2906"/>
      <c r="Q167" s="2906"/>
      <c r="R167" s="2908"/>
    </row>
    <row r="168" s="2901" customFormat="1" spans="2:18">
      <c r="B168" s="2906"/>
      <c r="C168" s="2906"/>
      <c r="D168" s="2906"/>
      <c r="E168" s="2906"/>
      <c r="F168" s="2906"/>
      <c r="G168" s="2907"/>
      <c r="H168" s="2906"/>
      <c r="I168" s="2907"/>
      <c r="J168" s="2906"/>
      <c r="K168" s="2906"/>
      <c r="L168" s="2907"/>
      <c r="M168" s="2906"/>
      <c r="N168" s="2906"/>
      <c r="O168" s="2907"/>
      <c r="P168" s="2906"/>
      <c r="Q168" s="2906"/>
      <c r="R168" s="2908"/>
    </row>
    <row r="169" s="2901" customFormat="1" spans="2:18">
      <c r="B169" s="2906"/>
      <c r="C169" s="2906"/>
      <c r="D169" s="2906"/>
      <c r="E169" s="2906"/>
      <c r="F169" s="2906"/>
      <c r="G169" s="2907"/>
      <c r="H169" s="2906"/>
      <c r="I169" s="2907"/>
      <c r="J169" s="2906"/>
      <c r="K169" s="2906"/>
      <c r="L169" s="2907"/>
      <c r="M169" s="2906"/>
      <c r="N169" s="2906"/>
      <c r="O169" s="2907"/>
      <c r="P169" s="2906"/>
      <c r="Q169" s="2906"/>
      <c r="R169" s="2908"/>
    </row>
    <row r="170" s="2901" customFormat="1" spans="2:18">
      <c r="B170" s="2906"/>
      <c r="C170" s="2906"/>
      <c r="D170" s="2906"/>
      <c r="E170" s="2906"/>
      <c r="F170" s="2906"/>
      <c r="G170" s="2907"/>
      <c r="H170" s="2906"/>
      <c r="I170" s="2907"/>
      <c r="J170" s="2906"/>
      <c r="K170" s="2906"/>
      <c r="L170" s="2907"/>
      <c r="M170" s="2906"/>
      <c r="N170" s="2906"/>
      <c r="O170" s="2907"/>
      <c r="P170" s="2906"/>
      <c r="Q170" s="2906"/>
      <c r="R170" s="2908"/>
    </row>
    <row r="171" s="2901" customFormat="1" spans="2:18">
      <c r="B171" s="2906"/>
      <c r="C171" s="2906"/>
      <c r="D171" s="2906"/>
      <c r="E171" s="2906"/>
      <c r="F171" s="2906"/>
      <c r="G171" s="2907"/>
      <c r="H171" s="2906"/>
      <c r="I171" s="2907"/>
      <c r="J171" s="2906"/>
      <c r="K171" s="2906"/>
      <c r="L171" s="2907"/>
      <c r="M171" s="2906"/>
      <c r="N171" s="2906"/>
      <c r="O171" s="2907"/>
      <c r="P171" s="2906"/>
      <c r="Q171" s="2906"/>
      <c r="R171" s="2908"/>
    </row>
    <row r="172" s="2901" customFormat="1" spans="2:18">
      <c r="B172" s="2906"/>
      <c r="C172" s="2906"/>
      <c r="D172" s="2906"/>
      <c r="E172" s="2906"/>
      <c r="F172" s="2906"/>
      <c r="G172" s="2907"/>
      <c r="H172" s="2906"/>
      <c r="I172" s="2907"/>
      <c r="J172" s="2906"/>
      <c r="K172" s="2906"/>
      <c r="L172" s="2907"/>
      <c r="M172" s="2906"/>
      <c r="N172" s="2906"/>
      <c r="O172" s="2907"/>
      <c r="P172" s="2906"/>
      <c r="Q172" s="2906"/>
      <c r="R172" s="2908"/>
    </row>
    <row r="173" s="2901" customFormat="1" spans="2:18">
      <c r="B173" s="2906"/>
      <c r="C173" s="2906"/>
      <c r="D173" s="2906"/>
      <c r="E173" s="2906"/>
      <c r="F173" s="2906"/>
      <c r="G173" s="2907"/>
      <c r="H173" s="2906"/>
      <c r="I173" s="2907"/>
      <c r="J173" s="2906"/>
      <c r="K173" s="2906"/>
      <c r="L173" s="2907"/>
      <c r="M173" s="2906"/>
      <c r="N173" s="2906"/>
      <c r="O173" s="2907"/>
      <c r="P173" s="2906"/>
      <c r="Q173" s="2906"/>
      <c r="R173" s="2908"/>
    </row>
    <row r="174" s="2901" customFormat="1" spans="2:18">
      <c r="B174" s="2906"/>
      <c r="C174" s="2906"/>
      <c r="D174" s="2906"/>
      <c r="E174" s="2906"/>
      <c r="F174" s="2906"/>
      <c r="G174" s="2907"/>
      <c r="H174" s="2906"/>
      <c r="I174" s="2907"/>
      <c r="J174" s="2906"/>
      <c r="K174" s="2906"/>
      <c r="L174" s="2907"/>
      <c r="M174" s="2906"/>
      <c r="N174" s="2906"/>
      <c r="O174" s="2907"/>
      <c r="P174" s="2906"/>
      <c r="Q174" s="2906"/>
      <c r="R174" s="2908"/>
    </row>
    <row r="175" s="2901" customFormat="1" spans="2:18">
      <c r="B175" s="2906"/>
      <c r="C175" s="2906"/>
      <c r="D175" s="2906"/>
      <c r="E175" s="2906"/>
      <c r="F175" s="2906"/>
      <c r="G175" s="2907"/>
      <c r="H175" s="2906"/>
      <c r="I175" s="2907"/>
      <c r="J175" s="2906"/>
      <c r="K175" s="2906"/>
      <c r="L175" s="2907"/>
      <c r="M175" s="2906"/>
      <c r="N175" s="2906"/>
      <c r="O175" s="2907"/>
      <c r="P175" s="2906"/>
      <c r="Q175" s="2906"/>
      <c r="R175" s="2908"/>
    </row>
    <row r="176" s="2901" customFormat="1" spans="2:18">
      <c r="B176" s="2906"/>
      <c r="C176" s="2906"/>
      <c r="D176" s="2906"/>
      <c r="E176" s="2906"/>
      <c r="F176" s="2906"/>
      <c r="G176" s="2907"/>
      <c r="H176" s="2906"/>
      <c r="I176" s="2907"/>
      <c r="J176" s="2906"/>
      <c r="K176" s="2906"/>
      <c r="L176" s="2907"/>
      <c r="M176" s="2906"/>
      <c r="N176" s="2906"/>
      <c r="O176" s="2907"/>
      <c r="P176" s="2906"/>
      <c r="Q176" s="2906"/>
      <c r="R176" s="2908"/>
    </row>
    <row r="177" s="2901" customFormat="1" spans="2:18">
      <c r="B177" s="2906"/>
      <c r="C177" s="2906"/>
      <c r="D177" s="2906"/>
      <c r="E177" s="2906"/>
      <c r="F177" s="2906"/>
      <c r="G177" s="2907"/>
      <c r="H177" s="2906"/>
      <c r="I177" s="2907"/>
      <c r="J177" s="2906"/>
      <c r="K177" s="2906"/>
      <c r="L177" s="2907"/>
      <c r="M177" s="2906"/>
      <c r="N177" s="2906"/>
      <c r="O177" s="2907"/>
      <c r="P177" s="2906"/>
      <c r="Q177" s="2906"/>
      <c r="R177" s="2908"/>
    </row>
    <row r="178" s="2901" customFormat="1" spans="2:18">
      <c r="B178" s="2906"/>
      <c r="C178" s="2906"/>
      <c r="D178" s="2906"/>
      <c r="E178" s="2906"/>
      <c r="F178" s="2906"/>
      <c r="G178" s="2907"/>
      <c r="H178" s="2906"/>
      <c r="I178" s="2907"/>
      <c r="J178" s="2906"/>
      <c r="K178" s="2906"/>
      <c r="L178" s="2907"/>
      <c r="M178" s="2906"/>
      <c r="N178" s="2906"/>
      <c r="O178" s="2907"/>
      <c r="P178" s="2906"/>
      <c r="Q178" s="2906"/>
      <c r="R178" s="2908"/>
    </row>
    <row r="179" s="2901" customFormat="1" spans="2:18">
      <c r="B179" s="2906"/>
      <c r="C179" s="2906"/>
      <c r="D179" s="2906"/>
      <c r="E179" s="2906"/>
      <c r="F179" s="2906"/>
      <c r="G179" s="2907"/>
      <c r="H179" s="2906"/>
      <c r="I179" s="2907"/>
      <c r="J179" s="2906"/>
      <c r="K179" s="2906"/>
      <c r="L179" s="2907"/>
      <c r="M179" s="2906"/>
      <c r="N179" s="2906"/>
      <c r="O179" s="2907"/>
      <c r="P179" s="2906"/>
      <c r="Q179" s="2906"/>
      <c r="R179" s="2908"/>
    </row>
    <row r="180" s="2901" customFormat="1" spans="2:18">
      <c r="B180" s="2906"/>
      <c r="C180" s="2906"/>
      <c r="D180" s="2906"/>
      <c r="E180" s="2906"/>
      <c r="F180" s="2906"/>
      <c r="G180" s="2907"/>
      <c r="H180" s="2906"/>
      <c r="I180" s="2907"/>
      <c r="J180" s="2906"/>
      <c r="K180" s="2906"/>
      <c r="L180" s="2907"/>
      <c r="M180" s="2906"/>
      <c r="N180" s="2906"/>
      <c r="O180" s="2907"/>
      <c r="P180" s="2906"/>
      <c r="Q180" s="2906"/>
      <c r="R180" s="2908"/>
    </row>
    <row r="181" s="2901" customFormat="1" spans="2:18">
      <c r="B181" s="2906"/>
      <c r="C181" s="2906"/>
      <c r="D181" s="2906"/>
      <c r="E181" s="2906"/>
      <c r="F181" s="2906"/>
      <c r="G181" s="2907"/>
      <c r="H181" s="2906"/>
      <c r="I181" s="2907"/>
      <c r="J181" s="2906"/>
      <c r="K181" s="2906"/>
      <c r="L181" s="2907"/>
      <c r="M181" s="2906"/>
      <c r="N181" s="2906"/>
      <c r="O181" s="2907"/>
      <c r="P181" s="2906"/>
      <c r="Q181" s="2906"/>
      <c r="R181" s="2908"/>
    </row>
    <row r="182" s="2901" customFormat="1" spans="2:18">
      <c r="B182" s="2906"/>
      <c r="C182" s="2906"/>
      <c r="D182" s="2906"/>
      <c r="E182" s="2906"/>
      <c r="F182" s="2906"/>
      <c r="G182" s="2907"/>
      <c r="H182" s="2906"/>
      <c r="I182" s="2907"/>
      <c r="J182" s="2906"/>
      <c r="K182" s="2906"/>
      <c r="L182" s="2907"/>
      <c r="M182" s="2906"/>
      <c r="N182" s="2906"/>
      <c r="O182" s="2907"/>
      <c r="P182" s="2906"/>
      <c r="Q182" s="2906"/>
      <c r="R182" s="2908"/>
    </row>
    <row r="183" s="2901" customFormat="1" spans="2:18">
      <c r="B183" s="2906"/>
      <c r="C183" s="2906"/>
      <c r="D183" s="2906"/>
      <c r="E183" s="2906"/>
      <c r="F183" s="2906"/>
      <c r="G183" s="2907"/>
      <c r="H183" s="2906"/>
      <c r="I183" s="2907"/>
      <c r="J183" s="2906"/>
      <c r="K183" s="2906"/>
      <c r="L183" s="2907"/>
      <c r="M183" s="2906"/>
      <c r="N183" s="2906"/>
      <c r="O183" s="2907"/>
      <c r="P183" s="2906"/>
      <c r="Q183" s="2906"/>
      <c r="R183" s="2908"/>
    </row>
    <row r="184" s="2901" customFormat="1" spans="2:18">
      <c r="B184" s="2906"/>
      <c r="C184" s="2906"/>
      <c r="D184" s="2906"/>
      <c r="E184" s="2906"/>
      <c r="F184" s="2906"/>
      <c r="G184" s="2907"/>
      <c r="H184" s="2906"/>
      <c r="I184" s="2907"/>
      <c r="J184" s="2906"/>
      <c r="K184" s="2906"/>
      <c r="L184" s="2907"/>
      <c r="M184" s="2906"/>
      <c r="N184" s="2906"/>
      <c r="O184" s="2907"/>
      <c r="P184" s="2906"/>
      <c r="Q184" s="2906"/>
      <c r="R184" s="2908"/>
    </row>
    <row r="185" s="2901" customFormat="1" spans="2:18">
      <c r="B185" s="2906"/>
      <c r="C185" s="2906"/>
      <c r="D185" s="2906"/>
      <c r="E185" s="2906"/>
      <c r="F185" s="2906"/>
      <c r="G185" s="2907"/>
      <c r="H185" s="2906"/>
      <c r="I185" s="2907"/>
      <c r="J185" s="2906"/>
      <c r="K185" s="2906"/>
      <c r="L185" s="2907"/>
      <c r="M185" s="2906"/>
      <c r="N185" s="2906"/>
      <c r="O185" s="2907"/>
      <c r="P185" s="2906"/>
      <c r="Q185" s="2906"/>
      <c r="R185" s="2908"/>
    </row>
    <row r="186" spans="1:7">
      <c r="A186" s="2901"/>
      <c r="B186" s="2906"/>
      <c r="C186" s="2906"/>
      <c r="E186" s="2906"/>
      <c r="F186" s="2906"/>
      <c r="G186" s="2907"/>
    </row>
    <row r="187" spans="1:7">
      <c r="A187" s="2901"/>
      <c r="B187" s="2906"/>
      <c r="C187" s="2906"/>
      <c r="E187" s="2906"/>
      <c r="F187" s="2906"/>
      <c r="G187" s="290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Normal="100" workbookViewId="0">
      <selection activeCell="E11" sqref="E11"/>
    </sheetView>
  </sheetViews>
  <sheetFormatPr defaultColWidth="14.625" defaultRowHeight="13.5"/>
  <cols>
    <col min="1" max="1" width="24.375" style="2883" customWidth="1"/>
    <col min="2" max="16384" width="14.625" style="2883"/>
  </cols>
  <sheetData>
    <row r="1" ht="16.5" spans="1:7">
      <c r="A1" s="2884" t="s">
        <v>577</v>
      </c>
      <c r="B1" s="2884">
        <f>SUM(B14:B23)</f>
        <v>164.75</v>
      </c>
      <c r="C1" s="2885"/>
      <c r="D1" s="2885"/>
      <c r="E1" s="2885"/>
      <c r="F1" s="2885"/>
      <c r="G1" s="2886"/>
    </row>
    <row r="2" ht="16.5" spans="1:7">
      <c r="A2" s="2884" t="s">
        <v>578</v>
      </c>
      <c r="B2" s="2884">
        <f>SUM(C14:C23)</f>
        <v>0</v>
      </c>
      <c r="C2" s="2885"/>
      <c r="D2" s="2885"/>
      <c r="E2" s="2885"/>
      <c r="F2" s="2885"/>
      <c r="G2" s="2886"/>
    </row>
    <row r="3" ht="16.5" spans="1:7">
      <c r="A3" s="2884" t="s">
        <v>579</v>
      </c>
      <c r="B3" s="2887">
        <f>项目基本情况!D2</f>
        <v>44490</v>
      </c>
      <c r="C3" s="2885"/>
      <c r="D3" s="2885"/>
      <c r="E3" s="2885"/>
      <c r="F3" s="2885"/>
      <c r="G3" s="2886"/>
    </row>
    <row r="4" ht="33" spans="1:7">
      <c r="A4" s="2884" t="s">
        <v>580</v>
      </c>
      <c r="B4" s="2884" t="s">
        <v>581</v>
      </c>
      <c r="C4" s="2884" t="s">
        <v>582</v>
      </c>
      <c r="D4" s="2884" t="s">
        <v>583</v>
      </c>
      <c r="E4" s="2885"/>
      <c r="F4" s="2886"/>
      <c r="G4" s="2886"/>
    </row>
    <row r="5" ht="16.5" spans="1:7">
      <c r="A5" s="2884" t="s">
        <v>584</v>
      </c>
      <c r="B5" s="2884">
        <f ca="1">SUM(D14:D23)</f>
        <v>1096.6254</v>
      </c>
      <c r="C5" s="2884">
        <f ca="1">ROUND(B5*10000/$B$1,0)</f>
        <v>66563</v>
      </c>
      <c r="D5" s="2884" t="e">
        <f ca="1">ROUND(B5*10000/$B$2,0)</f>
        <v>#DIV/0!</v>
      </c>
      <c r="E5" s="2885"/>
      <c r="F5" s="2886"/>
      <c r="G5" s="2886"/>
    </row>
    <row r="6" ht="16.5" spans="1:7">
      <c r="A6" s="2884" t="s">
        <v>585</v>
      </c>
      <c r="B6" s="2884">
        <f ca="1">SUM(G14:G23)</f>
        <v>1096.6254</v>
      </c>
      <c r="C6" s="2884">
        <f ca="1" t="shared" ref="C6:C8" si="0">ROUND(B6*10000/$B$1,0)</f>
        <v>66563</v>
      </c>
      <c r="D6" s="2884" t="e">
        <f ca="1" t="shared" ref="D6:D8" si="1">ROUND(B6*10000/$B$2,0)</f>
        <v>#DIV/0!</v>
      </c>
      <c r="E6" s="2885"/>
      <c r="F6" s="2886"/>
      <c r="G6" s="2886"/>
    </row>
    <row r="7" ht="16.5" spans="1:7">
      <c r="A7" s="2884" t="s">
        <v>586</v>
      </c>
      <c r="B7" s="2884" t="e">
        <f ca="1">SUM(H14:H23)</f>
        <v>#VALUE!</v>
      </c>
      <c r="C7" s="2884" t="e">
        <f ca="1">ROUND(B7*10000/$B$1,0)</f>
        <v>#VALUE!</v>
      </c>
      <c r="D7" s="2884" t="e">
        <f ca="1" t="shared" si="1"/>
        <v>#VALUE!</v>
      </c>
      <c r="E7" s="2885"/>
      <c r="F7" s="2886"/>
      <c r="G7" s="2886"/>
    </row>
    <row r="8" ht="16.5" spans="1:7">
      <c r="A8" s="2884" t="s">
        <v>587</v>
      </c>
      <c r="B8" s="2884" t="e">
        <f ca="1">SUM(I14:I23)</f>
        <v>#VALUE!</v>
      </c>
      <c r="C8" s="2884" t="e">
        <f ca="1" t="shared" si="0"/>
        <v>#VALUE!</v>
      </c>
      <c r="D8" s="2884" t="e">
        <f ca="1" t="shared" si="1"/>
        <v>#VALUE!</v>
      </c>
      <c r="E8" s="2885"/>
      <c r="F8" s="2886"/>
      <c r="G8" s="2886"/>
    </row>
    <row r="9" ht="16.5" spans="1:7">
      <c r="A9" s="2884" t="s">
        <v>588</v>
      </c>
      <c r="B9" s="2888"/>
      <c r="C9" s="2885"/>
      <c r="D9" s="2885"/>
      <c r="E9" s="2885"/>
      <c r="F9" s="2886"/>
      <c r="G9" s="2886"/>
    </row>
    <row r="10" ht="16.5" spans="1:7">
      <c r="A10" s="2884" t="s">
        <v>589</v>
      </c>
      <c r="B10" s="2888"/>
      <c r="C10" s="2885"/>
      <c r="D10" s="2885"/>
      <c r="E10" s="2885"/>
      <c r="F10" s="2886"/>
      <c r="G10" s="2886"/>
    </row>
    <row r="11" ht="16.5" spans="1:7">
      <c r="A11" s="2884" t="s">
        <v>590</v>
      </c>
      <c r="B11" s="2888"/>
      <c r="C11" s="2885"/>
      <c r="D11" s="2885"/>
      <c r="E11" s="2885"/>
      <c r="F11" s="2886"/>
      <c r="G11" s="2886"/>
    </row>
    <row r="12" ht="16.5" spans="1:7">
      <c r="A12" s="2885"/>
      <c r="B12" s="2885"/>
      <c r="C12" s="2885"/>
      <c r="D12" s="2885"/>
      <c r="E12" s="2885"/>
      <c r="F12" s="2886"/>
      <c r="G12" s="2886"/>
    </row>
    <row r="13" ht="33" spans="1:9">
      <c r="A13" s="2889" t="s">
        <v>591</v>
      </c>
      <c r="B13" s="2890" t="s">
        <v>577</v>
      </c>
      <c r="C13" s="2890" t="s">
        <v>578</v>
      </c>
      <c r="D13" s="2890" t="s">
        <v>592</v>
      </c>
      <c r="E13" s="2884" t="s">
        <v>582</v>
      </c>
      <c r="F13" s="2884" t="s">
        <v>583</v>
      </c>
      <c r="G13" s="2890" t="s">
        <v>593</v>
      </c>
      <c r="H13" s="2890" t="s">
        <v>594</v>
      </c>
      <c r="I13" s="2890" t="s">
        <v>595</v>
      </c>
    </row>
    <row r="14" ht="16.5" spans="1:9">
      <c r="A14" s="2891" t="s">
        <v>596</v>
      </c>
      <c r="B14" s="2892">
        <f>项目基本情况!C12</f>
        <v>164.75</v>
      </c>
      <c r="C14" s="2892">
        <f>项目基本情况!C13</f>
        <v>0</v>
      </c>
      <c r="D14" s="2892">
        <f ca="1">IF('数据-取费表'!B3="万元",IF(A14="估价对象1（结果表）",结果表!H121,'结果表 (1修多)'!H125),IF(A14="估价对象1（结果表）",结果表!H121,'结果表 (1修多)'!H125)/10000)</f>
        <v>1096.6254</v>
      </c>
      <c r="E14" s="2892">
        <f ca="1">ROUND(D14*10000/B14,0)</f>
        <v>66563</v>
      </c>
      <c r="F14" s="2892" t="e">
        <f ca="1">ROUND(D14*10000/C14,0)</f>
        <v>#DIV/0!</v>
      </c>
      <c r="G14" s="2892">
        <f ca="1">IF('数据-取费表'!B3="万元",IF(A14="估价对象1（结果表）",结果表!D125,'结果表 (1修多)'!D129),IF(A14="估价对象1（结果表）",结果表!D125,'结果表 (1修多)'!D129)/10000)</f>
        <v>1096.6254</v>
      </c>
      <c r="H14" s="2892" t="e">
        <f ca="1">IF('数据-取费表'!B3="万元",IF(A14="估价对象1（结果表）",结果表!D127,'结果表 (1修多)'!D131),IF(A14="估价对象1（结果表）",结果表!D127,'结果表 (1修多)'!D131)/10000)</f>
        <v>#VALUE!</v>
      </c>
      <c r="I14" s="2892" t="e">
        <f ca="1">IF('数据-取费表'!B3="万元",IF(A14="估价对象1（结果表）",结果表!D129,'结果表 (1修多)'!D133),IF(A14="估价对象1（结果表）",结果表!D129,'结果表 (1修多)'!D133)/10000)</f>
        <v>#VALUE!</v>
      </c>
    </row>
    <row r="15" ht="16.5" spans="1:9">
      <c r="A15" s="2893" t="s">
        <v>597</v>
      </c>
      <c r="B15" s="2894"/>
      <c r="C15" s="2894"/>
      <c r="D15" s="2894"/>
      <c r="E15" s="2892" t="e">
        <f t="shared" ref="E15:E23" si="2">ROUND(D15*10000/B15,0)</f>
        <v>#DIV/0!</v>
      </c>
      <c r="F15" s="2892" t="e">
        <f t="shared" ref="F15:F23" si="3">ROUND(D15*10000/C15,0)</f>
        <v>#DIV/0!</v>
      </c>
      <c r="G15" s="2895"/>
      <c r="H15" s="2895"/>
      <c r="I15" s="2894"/>
    </row>
    <row r="16" ht="16.5" spans="1:9">
      <c r="A16" s="2893" t="s">
        <v>598</v>
      </c>
      <c r="B16" s="2894"/>
      <c r="C16" s="2894"/>
      <c r="D16" s="2894"/>
      <c r="E16" s="2892" t="e">
        <f t="shared" si="2"/>
        <v>#DIV/0!</v>
      </c>
      <c r="F16" s="2892" t="e">
        <f t="shared" si="3"/>
        <v>#DIV/0!</v>
      </c>
      <c r="G16" s="2895"/>
      <c r="H16" s="2895"/>
      <c r="I16" s="2894"/>
    </row>
    <row r="17" ht="16.5" spans="1:9">
      <c r="A17" s="2893" t="s">
        <v>599</v>
      </c>
      <c r="B17" s="2894"/>
      <c r="C17" s="2894"/>
      <c r="D17" s="2894"/>
      <c r="E17" s="2892" t="e">
        <f t="shared" si="2"/>
        <v>#DIV/0!</v>
      </c>
      <c r="F17" s="2892" t="e">
        <f t="shared" si="3"/>
        <v>#DIV/0!</v>
      </c>
      <c r="G17" s="2895"/>
      <c r="H17" s="2895"/>
      <c r="I17" s="2894"/>
    </row>
    <row r="18" ht="16.5" spans="1:9">
      <c r="A18" s="2893" t="s">
        <v>600</v>
      </c>
      <c r="B18" s="2894"/>
      <c r="C18" s="2894"/>
      <c r="D18" s="2894"/>
      <c r="E18" s="2892" t="e">
        <f t="shared" si="2"/>
        <v>#DIV/0!</v>
      </c>
      <c r="F18" s="2892" t="e">
        <f t="shared" si="3"/>
        <v>#DIV/0!</v>
      </c>
      <c r="G18" s="2894"/>
      <c r="H18" s="2894"/>
      <c r="I18" s="2894"/>
    </row>
    <row r="19" ht="16.5" spans="1:9">
      <c r="A19" s="2893" t="s">
        <v>601</v>
      </c>
      <c r="B19" s="2894"/>
      <c r="C19" s="2894"/>
      <c r="D19" s="2894"/>
      <c r="E19" s="2892" t="e">
        <f t="shared" si="2"/>
        <v>#DIV/0!</v>
      </c>
      <c r="F19" s="2892" t="e">
        <f t="shared" si="3"/>
        <v>#DIV/0!</v>
      </c>
      <c r="G19" s="2894"/>
      <c r="H19" s="2894"/>
      <c r="I19" s="2894"/>
    </row>
    <row r="20" ht="16.5" spans="1:9">
      <c r="A20" s="2893" t="s">
        <v>602</v>
      </c>
      <c r="B20" s="2894"/>
      <c r="C20" s="2894"/>
      <c r="D20" s="2894"/>
      <c r="E20" s="2892" t="e">
        <f t="shared" si="2"/>
        <v>#DIV/0!</v>
      </c>
      <c r="F20" s="2892" t="e">
        <f t="shared" si="3"/>
        <v>#DIV/0!</v>
      </c>
      <c r="G20" s="2894"/>
      <c r="H20" s="2894"/>
      <c r="I20" s="2894"/>
    </row>
    <row r="21" ht="16.5" spans="1:9">
      <c r="A21" s="2893" t="s">
        <v>603</v>
      </c>
      <c r="B21" s="2894"/>
      <c r="C21" s="2894"/>
      <c r="D21" s="2894"/>
      <c r="E21" s="2892" t="e">
        <f t="shared" si="2"/>
        <v>#DIV/0!</v>
      </c>
      <c r="F21" s="2892" t="e">
        <f t="shared" si="3"/>
        <v>#DIV/0!</v>
      </c>
      <c r="G21" s="2894"/>
      <c r="H21" s="2894"/>
      <c r="I21" s="2894"/>
    </row>
    <row r="22" ht="16.5" spans="1:9">
      <c r="A22" s="2893" t="s">
        <v>604</v>
      </c>
      <c r="B22" s="2894"/>
      <c r="C22" s="2894"/>
      <c r="D22" s="2894"/>
      <c r="E22" s="2892" t="e">
        <f t="shared" si="2"/>
        <v>#DIV/0!</v>
      </c>
      <c r="F22" s="2892" t="e">
        <f t="shared" si="3"/>
        <v>#DIV/0!</v>
      </c>
      <c r="G22" s="2894"/>
      <c r="H22" s="2894"/>
      <c r="I22" s="2894"/>
    </row>
    <row r="23" ht="16.5" spans="1:9">
      <c r="A23" s="2893" t="s">
        <v>605</v>
      </c>
      <c r="B23" s="2894"/>
      <c r="C23" s="2894"/>
      <c r="D23" s="2894"/>
      <c r="E23" s="2896" t="e">
        <f t="shared" si="2"/>
        <v>#DIV/0!</v>
      </c>
      <c r="F23" s="2896" t="e">
        <f t="shared" si="3"/>
        <v>#DIV/0!</v>
      </c>
      <c r="G23" s="2894"/>
      <c r="H23" s="2894"/>
      <c r="I23" s="2894"/>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D12" sqref="D12:D13"/>
    </sheetView>
  </sheetViews>
  <sheetFormatPr defaultColWidth="12.625" defaultRowHeight="21.75" customHeight="1"/>
  <cols>
    <col min="1" max="2" width="12.625" style="2426"/>
    <col min="3" max="4" width="12.625" style="2426" customWidth="1"/>
    <col min="5" max="9" width="12.625" style="2426"/>
    <col min="10" max="10" width="3.625" style="2427" customWidth="1"/>
    <col min="11" max="12" width="12.625" style="1712" customWidth="1"/>
    <col min="13" max="13" width="12.625" style="1712"/>
    <col min="14" max="14" width="14.125" style="1712" customWidth="1"/>
    <col min="15" max="27" width="12.625" style="1712"/>
    <col min="28" max="36" width="12.625" style="2425"/>
    <col min="37" max="16384" width="12.625" style="2426"/>
  </cols>
  <sheetData>
    <row r="1" customHeight="1" spans="1:9">
      <c r="A1" s="2428" t="s">
        <v>606</v>
      </c>
      <c r="B1" s="2429"/>
      <c r="C1" s="2429"/>
      <c r="D1" s="2429"/>
      <c r="E1" s="2429"/>
      <c r="F1" s="2429"/>
      <c r="G1" s="2429"/>
      <c r="H1" s="2429"/>
      <c r="I1" s="2429"/>
    </row>
    <row r="2" customHeight="1" spans="1:10">
      <c r="A2" s="2794" t="str">
        <f>项目基本情况!B1</f>
        <v>北京市预评估</v>
      </c>
      <c r="B2" s="2794"/>
      <c r="C2" s="2794"/>
      <c r="D2" s="2794"/>
      <c r="E2" s="2794"/>
      <c r="F2" s="2794"/>
      <c r="G2" s="2794"/>
      <c r="H2" s="2794"/>
      <c r="I2" s="2794"/>
      <c r="J2" s="2824"/>
    </row>
    <row r="3" ht="13.5" spans="1:10">
      <c r="A3" s="2431" t="s">
        <v>607</v>
      </c>
      <c r="B3" s="2167"/>
      <c r="C3" s="2167"/>
      <c r="D3" s="2167"/>
      <c r="E3" s="2167"/>
      <c r="F3" s="2167"/>
      <c r="G3" s="2167"/>
      <c r="H3" s="2167"/>
      <c r="I3" s="2167"/>
      <c r="J3" s="2562"/>
    </row>
    <row r="4" ht="14.25" spans="1:15">
      <c r="A4" s="2432" t="s">
        <v>608</v>
      </c>
      <c r="B4" s="2432" t="s">
        <v>609</v>
      </c>
      <c r="C4" s="2433" t="s">
        <v>610</v>
      </c>
      <c r="D4" s="2433" t="s">
        <v>611</v>
      </c>
      <c r="E4" s="2149" t="s">
        <v>612</v>
      </c>
      <c r="F4" s="2150"/>
      <c r="G4" s="2150"/>
      <c r="H4" s="2150"/>
      <c r="I4" s="2546"/>
      <c r="J4" s="2563"/>
      <c r="L4" s="2429" t="str">
        <f>IF(ISNUMBER(FIND("比较法",结果表!C4)),"比较法",IF(ISNUMBER(FIND("成本法",结果表!C4)),"成本法",IF(ISNUMBER(FIND("假设开发法",结果表!C4)),"假设开发法",IF(ISNUMBER(FIND("收益法",结果表!C4)),"收益法","基准地价系数修正法"))))</f>
        <v>收益法</v>
      </c>
      <c r="M4" s="2429" t="str">
        <f>IF(ISNUMBER(FIND("比较法",结果表!D4)),"比较法",IF(ISNUMBER(FIND("成本法",结果表!D4)),"成本法",IF(ISNUMBER(FIND("假设开发法",结果表!D4)),"假设开发法",IF(ISNUMBER(FIND("收益法",结果表!D4)),"收益法","基准地价系数修正法"))))</f>
        <v>比较法</v>
      </c>
      <c r="N4" s="2429"/>
      <c r="O4" s="2429"/>
    </row>
    <row r="5" ht="13.5" spans="1:10">
      <c r="A5" s="1294" t="s">
        <v>613</v>
      </c>
      <c r="B5" s="1294">
        <v>25</v>
      </c>
      <c r="C5" s="2434"/>
      <c r="D5" s="2435"/>
      <c r="E5" s="2228" t="s">
        <v>614</v>
      </c>
      <c r="F5" s="2150"/>
      <c r="G5" s="2150"/>
      <c r="H5" s="2150"/>
      <c r="I5" s="2546"/>
      <c r="J5" s="2563"/>
    </row>
    <row r="6" ht="13.5" spans="1:10">
      <c r="A6" s="1294"/>
      <c r="B6" s="1294"/>
      <c r="C6" s="2436"/>
      <c r="D6" s="2435"/>
      <c r="E6" s="2228" t="s">
        <v>615</v>
      </c>
      <c r="F6" s="2150"/>
      <c r="G6" s="2150"/>
      <c r="H6" s="2150"/>
      <c r="I6" s="2546"/>
      <c r="J6" s="2563"/>
    </row>
    <row r="7" ht="13.5" spans="1:10">
      <c r="A7" s="1294"/>
      <c r="B7" s="1294"/>
      <c r="C7" s="2437"/>
      <c r="D7" s="2435"/>
      <c r="E7" s="2228" t="s">
        <v>616</v>
      </c>
      <c r="F7" s="2150"/>
      <c r="G7" s="2150"/>
      <c r="H7" s="2150"/>
      <c r="I7" s="2546"/>
      <c r="J7" s="2563"/>
    </row>
    <row r="8" ht="13.5" spans="1:10">
      <c r="A8" s="1294" t="s">
        <v>617</v>
      </c>
      <c r="B8" s="1294">
        <v>15</v>
      </c>
      <c r="C8" s="2434"/>
      <c r="D8" s="2435"/>
      <c r="E8" s="2228" t="s">
        <v>618</v>
      </c>
      <c r="F8" s="2150"/>
      <c r="G8" s="2150"/>
      <c r="H8" s="2150"/>
      <c r="I8" s="2546"/>
      <c r="J8" s="2563"/>
    </row>
    <row r="9" ht="13.5" spans="1:10">
      <c r="A9" s="1294"/>
      <c r="B9" s="1294"/>
      <c r="C9" s="2437"/>
      <c r="D9" s="2435"/>
      <c r="E9" s="2228" t="s">
        <v>619</v>
      </c>
      <c r="F9" s="2150"/>
      <c r="G9" s="2150"/>
      <c r="H9" s="2150"/>
      <c r="I9" s="2546"/>
      <c r="J9" s="2563"/>
    </row>
    <row r="10" ht="13.5" spans="1:10">
      <c r="A10" s="1294" t="s">
        <v>620</v>
      </c>
      <c r="B10" s="1294">
        <v>15</v>
      </c>
      <c r="C10" s="2434"/>
      <c r="D10" s="2435"/>
      <c r="E10" s="2228" t="s">
        <v>621</v>
      </c>
      <c r="F10" s="2150"/>
      <c r="G10" s="2150"/>
      <c r="H10" s="2150"/>
      <c r="I10" s="2546"/>
      <c r="J10" s="2563"/>
    </row>
    <row r="11" ht="13.5" spans="1:10">
      <c r="A11" s="1294"/>
      <c r="B11" s="1294"/>
      <c r="C11" s="2437"/>
      <c r="D11" s="2435"/>
      <c r="E11" s="2228" t="s">
        <v>622</v>
      </c>
      <c r="F11" s="2150"/>
      <c r="G11" s="2150"/>
      <c r="H11" s="2150"/>
      <c r="I11" s="2546"/>
      <c r="J11" s="2563"/>
    </row>
    <row r="12" ht="13.5" spans="1:10">
      <c r="A12" s="1294" t="s">
        <v>623</v>
      </c>
      <c r="B12" s="1294">
        <v>15</v>
      </c>
      <c r="C12" s="2434"/>
      <c r="D12" s="2435"/>
      <c r="E12" s="2228" t="s">
        <v>624</v>
      </c>
      <c r="F12" s="2150"/>
      <c r="G12" s="2150"/>
      <c r="H12" s="2150"/>
      <c r="I12" s="2546"/>
      <c r="J12" s="2563"/>
    </row>
    <row r="13" ht="13.5" spans="1:10">
      <c r="A13" s="1294"/>
      <c r="B13" s="1294"/>
      <c r="C13" s="2437"/>
      <c r="D13" s="2435"/>
      <c r="E13" s="2228" t="s">
        <v>625</v>
      </c>
      <c r="F13" s="2150"/>
      <c r="G13" s="2150"/>
      <c r="H13" s="2150"/>
      <c r="I13" s="2546"/>
      <c r="J13" s="2563"/>
    </row>
    <row r="14" ht="13.5" spans="1:10">
      <c r="A14" s="1294" t="s">
        <v>626</v>
      </c>
      <c r="B14" s="1294">
        <v>30</v>
      </c>
      <c r="C14" s="2434">
        <v>2</v>
      </c>
      <c r="D14" s="2435">
        <v>8</v>
      </c>
      <c r="E14" s="2228" t="s">
        <v>627</v>
      </c>
      <c r="F14" s="2150"/>
      <c r="G14" s="2150"/>
      <c r="H14" s="2150"/>
      <c r="I14" s="2546"/>
      <c r="J14" s="2563"/>
    </row>
    <row r="15" ht="13.5" spans="1:10">
      <c r="A15" s="1294"/>
      <c r="B15" s="1294"/>
      <c r="C15" s="2436"/>
      <c r="D15" s="2435"/>
      <c r="E15" s="2228" t="s">
        <v>628</v>
      </c>
      <c r="F15" s="2150"/>
      <c r="G15" s="2150"/>
      <c r="H15" s="2150"/>
      <c r="I15" s="2546"/>
      <c r="J15" s="2563"/>
    </row>
    <row r="16" ht="13.5" spans="1:10">
      <c r="A16" s="1294"/>
      <c r="B16" s="1294"/>
      <c r="C16" s="2437"/>
      <c r="D16" s="2435"/>
      <c r="E16" s="2228" t="s">
        <v>629</v>
      </c>
      <c r="F16" s="2150"/>
      <c r="G16" s="2150"/>
      <c r="H16" s="2150"/>
      <c r="I16" s="2546"/>
      <c r="J16" s="2563"/>
    </row>
    <row r="17" ht="14.25" spans="1:10">
      <c r="A17" s="2438" t="s">
        <v>630</v>
      </c>
      <c r="B17" s="1293"/>
      <c r="C17" s="2439">
        <f>SUM(C5:C16)</f>
        <v>2</v>
      </c>
      <c r="D17" s="2439">
        <f>SUM(D5:D16)</f>
        <v>8</v>
      </c>
      <c r="E17" s="2440"/>
      <c r="F17" s="2440"/>
      <c r="G17" s="2440"/>
      <c r="H17" s="2440"/>
      <c r="I17" s="2440"/>
      <c r="J17" s="2564"/>
    </row>
    <row r="18" ht="30" customHeight="1" spans="1:10">
      <c r="A18" s="2441" t="s">
        <v>631</v>
      </c>
      <c r="B18" s="2442"/>
      <c r="C18" s="2443">
        <f>ROUND(C17/SUM(C17:D17),2)</f>
        <v>0.2</v>
      </c>
      <c r="D18" s="2443">
        <f>1-C18</f>
        <v>0.8</v>
      </c>
      <c r="E18" s="2444" t="s">
        <v>632</v>
      </c>
      <c r="F18" s="2445"/>
      <c r="G18" s="2445"/>
      <c r="H18" s="2445"/>
      <c r="I18" s="2445"/>
      <c r="J18" s="2564"/>
    </row>
    <row r="19" ht="14.25" spans="1:10">
      <c r="A19" s="2446" t="s">
        <v>633</v>
      </c>
      <c r="B19" s="2447" t="s">
        <v>634</v>
      </c>
      <c r="C19" s="2448">
        <f ca="1">SUMIF(INDIRECT("'"&amp;C4&amp;"'"&amp;"!A:A"),结果表!B19,INDIRECT("'"&amp;C4&amp;"'"&amp;"!B:B"))</f>
        <v>6047099</v>
      </c>
      <c r="D19" s="2449">
        <f ca="1">SUMIF(INDIRECT("'"&amp;D4&amp;"'"&amp;"!A:A"),结果表!B19,INDIRECT("'"&amp;D4&amp;"'"&amp;"!B:B"))</f>
        <v>12196113</v>
      </c>
      <c r="E19" s="2446" t="s">
        <v>635</v>
      </c>
      <c r="F19" s="2447" t="s">
        <v>634</v>
      </c>
      <c r="G19" s="2450">
        <f ca="1">ROUND(C19*$C$18+D19*$D$18,0)</f>
        <v>10966310</v>
      </c>
      <c r="H19" s="2451" t="str">
        <f>'数据-取费表'!B3</f>
        <v>元</v>
      </c>
      <c r="I19" s="2825"/>
      <c r="J19" s="2826"/>
    </row>
    <row r="20" ht="15" spans="1:10">
      <c r="A20" s="2452"/>
      <c r="B20" s="1311" t="s">
        <v>636</v>
      </c>
      <c r="C20" s="1218">
        <f ca="1">SUMIF(INDIRECT("'"&amp;C4&amp;"'"&amp;"!A:A"),结果表!B20,INDIRECT("'"&amp;C4&amp;"'"&amp;"!B:B"))</f>
        <v>36705</v>
      </c>
      <c r="D20" s="2389">
        <f ca="1">SUMIF(INDIRECT("'"&amp;D4&amp;"'"&amp;"!A:A"),结果表!B20,INDIRECT("'"&amp;D4&amp;"'"&amp;"!B:B"))</f>
        <v>74028</v>
      </c>
      <c r="E20" s="2452"/>
      <c r="F20" s="1311" t="s">
        <v>636</v>
      </c>
      <c r="G20" s="1242">
        <f ca="1">ROUND(C20*$C$18+D20*$D$18,0)</f>
        <v>66563</v>
      </c>
      <c r="H20" s="2453" t="s">
        <v>637</v>
      </c>
      <c r="I20" s="2440"/>
      <c r="J20" s="2564"/>
    </row>
    <row r="21" ht="15" customHeight="1" spans="1:10">
      <c r="A21" s="2454"/>
      <c r="B21" s="2455"/>
      <c r="C21" s="2455"/>
      <c r="D21" s="2456"/>
      <c r="E21" s="2454"/>
      <c r="F21" s="2455"/>
      <c r="G21" s="2457"/>
      <c r="H21" s="2458"/>
      <c r="I21" s="2440"/>
      <c r="J21" s="2564"/>
    </row>
    <row r="22" ht="15" spans="1:10">
      <c r="A22" s="2459" t="s">
        <v>638</v>
      </c>
      <c r="B22" s="2460"/>
      <c r="C22" s="2461"/>
      <c r="D22" s="2462">
        <f ca="1">IF(C19&lt;D19,D19/C19-1,C19/D19-1)</f>
        <v>1.01685353588555</v>
      </c>
      <c r="E22" s="2266"/>
      <c r="F22" s="2266"/>
      <c r="G22" s="2266"/>
      <c r="H22" s="2266"/>
      <c r="I22" s="2266"/>
      <c r="J22" s="2564"/>
    </row>
    <row r="23" ht="14.25" spans="1:10">
      <c r="A23" s="2440"/>
      <c r="B23" s="2440"/>
      <c r="C23" s="2440"/>
      <c r="D23" s="2440"/>
      <c r="E23" s="2266"/>
      <c r="F23" s="2266"/>
      <c r="G23" s="2266"/>
      <c r="H23" s="2266"/>
      <c r="I23" s="2266"/>
      <c r="J23" s="2564"/>
    </row>
    <row r="24" customHeight="1" spans="1:10">
      <c r="A24" s="1122" t="s">
        <v>639</v>
      </c>
      <c r="B24" s="2447" t="s">
        <v>634</v>
      </c>
      <c r="C24" s="2450">
        <f>D30</f>
        <v>0</v>
      </c>
      <c r="D24" s="2463"/>
      <c r="E24" s="2266"/>
      <c r="F24" s="2266"/>
      <c r="G24" s="2266"/>
      <c r="H24" s="2266"/>
      <c r="I24" s="2266"/>
      <c r="J24" s="2564"/>
    </row>
    <row r="25" customHeight="1" spans="1:10">
      <c r="A25" s="2464"/>
      <c r="B25" s="1311" t="s">
        <v>636</v>
      </c>
      <c r="C25" s="2465">
        <f>IF(B30=0,0,C30)</f>
        <v>0</v>
      </c>
      <c r="D25" s="2466"/>
      <c r="E25" s="2266"/>
      <c r="F25" s="2266"/>
      <c r="G25" s="2266"/>
      <c r="H25" s="2266"/>
      <c r="I25" s="2266"/>
      <c r="J25" s="2564"/>
    </row>
    <row r="26" ht="13.5" customHeight="1" spans="1:10">
      <c r="A26" s="2467" t="s">
        <v>640</v>
      </c>
      <c r="B26" s="2468" t="s">
        <v>641</v>
      </c>
      <c r="C26" s="2468" t="s">
        <v>642</v>
      </c>
      <c r="D26" s="2469" t="s">
        <v>643</v>
      </c>
      <c r="E26" s="2266"/>
      <c r="F26" s="2266"/>
      <c r="G26" s="2266"/>
      <c r="H26" s="2266"/>
      <c r="I26" s="2266"/>
      <c r="J26" s="2564"/>
    </row>
    <row r="27" ht="14.25" spans="1:10">
      <c r="A27" s="2470"/>
      <c r="B27" s="2468">
        <v>0</v>
      </c>
      <c r="C27" s="2468">
        <v>0</v>
      </c>
      <c r="D27" s="2469">
        <f>ROUND(C27*B27/10000,0)</f>
        <v>0</v>
      </c>
      <c r="E27" s="2266"/>
      <c r="F27" s="2266"/>
      <c r="G27" s="2266"/>
      <c r="H27" s="2266"/>
      <c r="I27" s="2266"/>
      <c r="J27" s="2564"/>
    </row>
    <row r="28" ht="14.25" spans="1:10">
      <c r="A28" s="2467"/>
      <c r="B28" s="2468"/>
      <c r="C28" s="2468"/>
      <c r="D28" s="2469">
        <f t="shared" ref="D28:D29" si="0">ROUND(C28*B28/10000,0)</f>
        <v>0</v>
      </c>
      <c r="E28" s="2266"/>
      <c r="F28" s="2266"/>
      <c r="G28" s="2266"/>
      <c r="H28" s="2266"/>
      <c r="I28" s="2266"/>
      <c r="J28" s="2564"/>
    </row>
    <row r="29" ht="14.25" spans="1:10">
      <c r="A29" s="2467"/>
      <c r="B29" s="2468"/>
      <c r="C29" s="2468"/>
      <c r="D29" s="2469">
        <f t="shared" si="0"/>
        <v>0</v>
      </c>
      <c r="E29" s="2266"/>
      <c r="F29" s="2266"/>
      <c r="G29" s="2266"/>
      <c r="H29" s="2266"/>
      <c r="I29" s="2266"/>
      <c r="J29" s="2564"/>
    </row>
    <row r="30" ht="15" spans="1:10">
      <c r="A30" s="2472" t="s">
        <v>644</v>
      </c>
      <c r="B30" s="2472"/>
      <c r="C30" s="2472"/>
      <c r="D30" s="2472"/>
      <c r="E30" s="2473" t="s">
        <v>645</v>
      </c>
      <c r="F30" s="2440"/>
      <c r="G30" s="2440"/>
      <c r="H30" s="2440"/>
      <c r="I30" s="2440"/>
      <c r="J30" s="2564"/>
    </row>
    <row r="31" s="2422" customFormat="1" ht="26.45" customHeight="1" spans="1:36">
      <c r="A31" s="2474"/>
      <c r="B31" s="2475"/>
      <c r="C31" s="2475"/>
      <c r="D31" s="2475"/>
      <c r="E31" s="2475"/>
      <c r="F31" s="2475"/>
      <c r="G31" s="2475"/>
      <c r="H31" s="2475"/>
      <c r="I31" s="2565" t="s">
        <v>646</v>
      </c>
      <c r="J31" s="2566"/>
      <c r="K31" s="2567"/>
      <c r="L31" s="2567"/>
      <c r="M31" s="2567"/>
      <c r="N31" s="2567"/>
      <c r="O31" s="2567"/>
      <c r="P31" s="2567"/>
      <c r="Q31" s="2567"/>
      <c r="R31" s="2567"/>
      <c r="S31" s="2567"/>
      <c r="T31" s="2567"/>
      <c r="U31" s="2567"/>
      <c r="V31" s="2567"/>
      <c r="W31" s="2567"/>
      <c r="X31" s="2567"/>
      <c r="Y31" s="2567"/>
      <c r="Z31" s="2567"/>
      <c r="AA31" s="2567"/>
      <c r="AB31" s="2612"/>
      <c r="AC31" s="2612"/>
      <c r="AD31" s="2612"/>
      <c r="AE31" s="2612"/>
      <c r="AF31" s="2612"/>
      <c r="AG31" s="2612"/>
      <c r="AH31" s="2612"/>
      <c r="AI31" s="2612"/>
      <c r="AJ31" s="2612"/>
    </row>
    <row r="32" s="2793" customFormat="1" ht="16.5" spans="1:36">
      <c r="A32" s="2795" t="s">
        <v>647</v>
      </c>
      <c r="B32" s="2796" t="str">
        <f>'数据-取费表'!B4</f>
        <v>楼面单价</v>
      </c>
      <c r="C32" s="2797">
        <f ca="1">IF(B32="总价",G19-C24,G20-C25)</f>
        <v>66563</v>
      </c>
      <c r="D32" s="2798" t="str">
        <f>IF(B32="楼面单价","元/平方米",H19)</f>
        <v>元/平方米</v>
      </c>
      <c r="E32" s="2799"/>
      <c r="F32" s="2799"/>
      <c r="G32" s="2799"/>
      <c r="H32" s="2799"/>
      <c r="I32" s="2799"/>
      <c r="J32" s="2827"/>
      <c r="K32" s="2828"/>
      <c r="L32" s="2828"/>
      <c r="M32" s="2828"/>
      <c r="N32" s="2828"/>
      <c r="O32" s="2828"/>
      <c r="P32" s="2828"/>
      <c r="Q32" s="2828"/>
      <c r="R32" s="2828"/>
      <c r="S32" s="2828"/>
      <c r="T32" s="2828"/>
      <c r="U32" s="2828"/>
      <c r="V32" s="2828"/>
      <c r="W32" s="2828"/>
      <c r="X32" s="2828"/>
      <c r="Y32" s="2828"/>
      <c r="Z32" s="2828"/>
      <c r="AA32" s="2828"/>
      <c r="AB32" s="2863"/>
      <c r="AC32" s="2863"/>
      <c r="AD32" s="2863"/>
      <c r="AE32" s="2863"/>
      <c r="AF32" s="2863"/>
      <c r="AG32" s="2863"/>
      <c r="AH32" s="2863"/>
      <c r="AI32" s="2863"/>
      <c r="AJ32" s="2863"/>
    </row>
    <row r="33" ht="15" spans="1:10">
      <c r="A33" s="2800" t="s">
        <v>648</v>
      </c>
      <c r="B33" s="2152"/>
      <c r="C33" s="2801"/>
      <c r="D33" s="2802"/>
      <c r="E33" s="2803" t="s">
        <v>649</v>
      </c>
      <c r="F33" s="2804" t="str">
        <f>IF(B32="楼面单价","取值（单价）","取值（总价）")</f>
        <v>取值（单价）</v>
      </c>
      <c r="G33" s="2266"/>
      <c r="H33" s="2266"/>
      <c r="I33" s="2266"/>
      <c r="J33" s="2564"/>
    </row>
    <row r="34" ht="15" spans="1:10">
      <c r="A34" s="2805"/>
      <c r="B34" s="2806" t="s">
        <v>650</v>
      </c>
      <c r="C34" s="2807">
        <f ca="1">IF(D33="自定义",F34,C32-C35)</f>
        <v>59907</v>
      </c>
      <c r="D34" s="2808">
        <f ca="1">IF(D33="自定义",ROUND(C34/C32,3),1-D35)</f>
        <v>0.9</v>
      </c>
      <c r="E34" s="2809" t="s">
        <v>651</v>
      </c>
      <c r="F34" s="2810">
        <v>2000</v>
      </c>
      <c r="G34" s="2266"/>
      <c r="H34" s="2266"/>
      <c r="I34" s="2266"/>
      <c r="J34" s="2564"/>
    </row>
    <row r="35" ht="15.75" spans="1:10">
      <c r="A35" s="2489"/>
      <c r="B35" s="2811" t="s">
        <v>652</v>
      </c>
      <c r="C35" s="2812">
        <f ca="1">IF(D33="自定义",F35,ROUND(C32*D35,0))</f>
        <v>6656</v>
      </c>
      <c r="D35" s="2813">
        <f ca="1">IF(D33="自定义",ROUND(C35/C32,3),IF(D33="成本法成本比率",成本法!C56,IF(D33="收益法收益比率",收益法!J38,收益法!J41)))</f>
        <v>0.1</v>
      </c>
      <c r="E35" s="2814" t="s">
        <v>653</v>
      </c>
      <c r="F35" s="2510">
        <v>4460</v>
      </c>
      <c r="G35" s="2266"/>
      <c r="H35" s="2266"/>
      <c r="I35" s="2266"/>
      <c r="J35" s="2564"/>
    </row>
    <row r="36" ht="15.75" spans="1:10">
      <c r="A36" s="1122" t="s">
        <v>654</v>
      </c>
      <c r="B36" s="2487" t="s">
        <v>655</v>
      </c>
      <c r="C36" s="2492">
        <v>0</v>
      </c>
      <c r="D36" s="2493"/>
      <c r="E36" s="2494"/>
      <c r="F36" s="2494"/>
      <c r="G36" s="2266"/>
      <c r="H36" s="2266"/>
      <c r="I36" s="2266"/>
      <c r="J36" s="2564"/>
    </row>
    <row r="37" ht="15.75" spans="1:10">
      <c r="A37" s="1134"/>
      <c r="B37" s="1293" t="s">
        <v>656</v>
      </c>
      <c r="C37" s="2495">
        <v>0</v>
      </c>
      <c r="D37" s="2496"/>
      <c r="E37" s="2496"/>
      <c r="F37" s="2494"/>
      <c r="G37" s="2496"/>
      <c r="H37" s="2496"/>
      <c r="I37" s="2496"/>
      <c r="J37" s="2569"/>
    </row>
    <row r="38" ht="15.75" spans="1:10">
      <c r="A38" s="2497"/>
      <c r="B38" s="2490" t="s">
        <v>657</v>
      </c>
      <c r="C38" s="2498">
        <v>0</v>
      </c>
      <c r="D38" s="2499" t="s">
        <v>658</v>
      </c>
      <c r="E38" s="2496"/>
      <c r="F38" s="2494"/>
      <c r="G38" s="2496"/>
      <c r="H38" s="2496"/>
      <c r="I38" s="2496"/>
      <c r="J38" s="2569"/>
    </row>
    <row r="39" ht="14.25" spans="1:10">
      <c r="A39" s="2452" t="s">
        <v>659</v>
      </c>
      <c r="B39" s="2500" t="s">
        <v>641</v>
      </c>
      <c r="C39" s="2501" t="s">
        <v>642</v>
      </c>
      <c r="D39" s="2501" t="s">
        <v>660</v>
      </c>
      <c r="E39" s="2502" t="s">
        <v>643</v>
      </c>
      <c r="F39" s="2494"/>
      <c r="G39" s="2496"/>
      <c r="H39" s="2496"/>
      <c r="I39" s="2496"/>
      <c r="J39" s="2569"/>
    </row>
    <row r="40" ht="14.25" spans="1:10">
      <c r="A40" s="2503" t="s">
        <v>661</v>
      </c>
      <c r="B40" s="2504"/>
      <c r="C40" s="2505"/>
      <c r="D40" s="2505"/>
      <c r="E40" s="2506"/>
      <c r="F40" s="2494"/>
      <c r="G40" s="2496"/>
      <c r="H40" s="2496"/>
      <c r="I40" s="2496"/>
      <c r="J40" s="2569"/>
    </row>
    <row r="41" ht="14.25" spans="1:10">
      <c r="A41" s="2503" t="s">
        <v>662</v>
      </c>
      <c r="B41" s="2504"/>
      <c r="C41" s="2505"/>
      <c r="D41" s="2505"/>
      <c r="E41" s="2506"/>
      <c r="F41" s="2494"/>
      <c r="G41" s="2496"/>
      <c r="H41" s="2496"/>
      <c r="I41" s="2496"/>
      <c r="J41" s="2569"/>
    </row>
    <row r="42" ht="15" spans="1:10">
      <c r="A42" s="2507"/>
      <c r="B42" s="2508"/>
      <c r="C42" s="2509"/>
      <c r="D42" s="2509"/>
      <c r="E42" s="2510"/>
      <c r="F42" s="2494"/>
      <c r="G42" s="2496"/>
      <c r="H42" s="2496"/>
      <c r="I42" s="2496"/>
      <c r="J42" s="2569"/>
    </row>
    <row r="43" ht="13.5" spans="1:10">
      <c r="A43" s="2558"/>
      <c r="B43" s="2558"/>
      <c r="C43" s="2558"/>
      <c r="D43" s="2558"/>
      <c r="E43" s="2558"/>
      <c r="F43" s="2815"/>
      <c r="G43" s="2815"/>
      <c r="H43" s="2815"/>
      <c r="I43" s="2829"/>
      <c r="J43" s="2571"/>
    </row>
    <row r="44" ht="18.75" spans="1:17">
      <c r="A44" s="2513" t="s">
        <v>663</v>
      </c>
      <c r="B44" s="2514"/>
      <c r="C44" s="2514"/>
      <c r="D44" s="2816"/>
      <c r="E44" s="2816"/>
      <c r="F44" s="2817"/>
      <c r="G44" s="2817"/>
      <c r="H44" s="2817"/>
      <c r="I44" s="2572" t="s">
        <v>664</v>
      </c>
      <c r="J44" s="2830"/>
      <c r="K44" s="2574" t="s">
        <v>665</v>
      </c>
      <c r="L44" s="2575"/>
      <c r="M44" s="2575"/>
      <c r="N44" s="2575"/>
      <c r="O44" s="2575"/>
      <c r="P44" s="2575"/>
      <c r="Q44" s="2425"/>
    </row>
    <row r="45" ht="14.25" customHeight="1" spans="1:17">
      <c r="A45" s="2516" t="s">
        <v>666</v>
      </c>
      <c r="B45" s="2517"/>
      <c r="C45" s="2518"/>
      <c r="D45" s="2128">
        <f ca="1">ROUND(I102*F45,0)</f>
        <v>10966254</v>
      </c>
      <c r="E45" s="2216" t="s">
        <v>667</v>
      </c>
      <c r="F45" s="2519">
        <v>1</v>
      </c>
      <c r="G45" s="2520" t="s">
        <v>668</v>
      </c>
      <c r="H45" s="2266"/>
      <c r="I45" s="2266"/>
      <c r="J45" s="2564"/>
      <c r="K45" s="2831" t="s">
        <v>669</v>
      </c>
      <c r="L45" s="2831"/>
      <c r="M45" s="2831"/>
      <c r="N45" s="2831"/>
      <c r="O45" s="2831"/>
      <c r="P45" s="2831"/>
      <c r="Q45" s="2425"/>
    </row>
    <row r="46" ht="14.25" customHeight="1" spans="1:17">
      <c r="A46" s="2521" t="s">
        <v>670</v>
      </c>
      <c r="B46" s="2522"/>
      <c r="C46" s="2522"/>
      <c r="D46" s="2522"/>
      <c r="E46" s="2522"/>
      <c r="F46" s="2522"/>
      <c r="G46" s="2523"/>
      <c r="H46" s="2524"/>
      <c r="I46" s="2266"/>
      <c r="J46" s="2564"/>
      <c r="K46" s="2832">
        <v>1</v>
      </c>
      <c r="L46" s="2833" t="s">
        <v>97</v>
      </c>
      <c r="M46" s="2833"/>
      <c r="N46" s="2834" t="str">
        <f>项目基本情况!B1</f>
        <v>北京市预评估</v>
      </c>
      <c r="O46" s="2834"/>
      <c r="P46" s="2834"/>
      <c r="Q46" s="2425"/>
    </row>
    <row r="47" ht="12" customHeight="1" spans="1:17">
      <c r="A47" s="2525" t="s">
        <v>671</v>
      </c>
      <c r="B47" s="2526"/>
      <c r="C47" s="2527"/>
      <c r="D47" s="2166" t="s">
        <v>672</v>
      </c>
      <c r="E47" s="2116" t="s">
        <v>673</v>
      </c>
      <c r="F47" s="2327" t="s">
        <v>674</v>
      </c>
      <c r="G47" s="2528" t="s">
        <v>675</v>
      </c>
      <c r="H47" s="2524"/>
      <c r="I47" s="2266"/>
      <c r="J47" s="2564"/>
      <c r="K47" s="2832">
        <v>2</v>
      </c>
      <c r="L47" s="2833" t="s">
        <v>676</v>
      </c>
      <c r="M47" s="2833"/>
      <c r="N47" s="2835">
        <f>'数据-取费表'!B2</f>
        <v>44490</v>
      </c>
      <c r="O47" s="2835"/>
      <c r="P47" s="2835"/>
      <c r="Q47" s="2425"/>
    </row>
    <row r="48" ht="24.75" spans="1:17">
      <c r="A48" s="2529" t="s">
        <v>677</v>
      </c>
      <c r="B48" s="2171"/>
      <c r="C48" s="2171"/>
      <c r="D48" s="2228">
        <f ca="1">IF(H48="情况1",0,IF(H48="情况2",D52,IF(H48="情况3",D53,IF(H48="情况4",D54))))</f>
        <v>584867</v>
      </c>
      <c r="E48" s="2171" t="str">
        <f>IF(H48="情况4","(销售额-原购置价)×税（费）率","销售额×税（费）率")</f>
        <v>销售额×税（费）率</v>
      </c>
      <c r="F48" s="2530">
        <f>IF(H48="情况1","免征",'数据-取费表'!E29)</f>
        <v>0.056</v>
      </c>
      <c r="G48" s="2531" t="s">
        <v>678</v>
      </c>
      <c r="H48" s="2532" t="s">
        <v>679</v>
      </c>
      <c r="I48" s="2524"/>
      <c r="J48" s="2581"/>
      <c r="K48" s="2832">
        <v>3</v>
      </c>
      <c r="L48" s="2833" t="s">
        <v>680</v>
      </c>
      <c r="M48" s="2833"/>
      <c r="N48" s="2834">
        <f ca="1">I102</f>
        <v>10966254</v>
      </c>
      <c r="O48" s="2834"/>
      <c r="P48" s="2834"/>
      <c r="Q48" s="2425"/>
    </row>
    <row r="49" ht="25.5" customHeight="1" spans="1:17">
      <c r="A49" s="2529" t="s">
        <v>681</v>
      </c>
      <c r="B49" s="2150" t="s">
        <v>682</v>
      </c>
      <c r="C49" s="2150"/>
      <c r="D49" s="2533">
        <v>0</v>
      </c>
      <c r="E49" s="2177" t="s">
        <v>683</v>
      </c>
      <c r="F49" s="2534" t="s">
        <v>121</v>
      </c>
      <c r="G49" s="2535"/>
      <c r="H49" s="2536" t="s">
        <v>684</v>
      </c>
      <c r="I49" s="2583"/>
      <c r="J49" s="2584"/>
      <c r="K49" s="2832">
        <v>4</v>
      </c>
      <c r="L49" s="2833" t="str">
        <f>IF(项目基本情况!F5="房地产抵押价值","房地产抵押价值","抵押担保权已注销时的房地产抵押价值")</f>
        <v>抵押担保权已注销时的房地产抵押价值</v>
      </c>
      <c r="M49" s="2833"/>
      <c r="N49" s="2834" t="str">
        <f ca="1">IF(项目基本情况!F5="房地产抵押价值",I110,I112)</f>
        <v>——</v>
      </c>
      <c r="O49" s="2834"/>
      <c r="P49" s="2834"/>
      <c r="Q49" s="2425"/>
    </row>
    <row r="50" ht="25.5" customHeight="1" spans="1:17">
      <c r="A50" s="2537"/>
      <c r="B50" s="2150" t="s">
        <v>685</v>
      </c>
      <c r="C50" s="2150"/>
      <c r="D50" s="2538"/>
      <c r="E50" s="2187"/>
      <c r="F50" s="2534"/>
      <c r="G50" s="2539"/>
      <c r="H50" s="2540" t="s">
        <v>686</v>
      </c>
      <c r="I50" s="2583"/>
      <c r="J50" s="2584"/>
      <c r="K50" s="2833" t="s">
        <v>687</v>
      </c>
      <c r="L50" s="2833"/>
      <c r="M50" s="2833"/>
      <c r="N50" s="2833"/>
      <c r="O50" s="2833"/>
      <c r="P50" s="2833"/>
      <c r="Q50" s="2425"/>
    </row>
    <row r="51" ht="20.45" customHeight="1" spans="1:17">
      <c r="A51" s="2541"/>
      <c r="B51" s="2150" t="s">
        <v>688</v>
      </c>
      <c r="C51" s="2150"/>
      <c r="D51" s="2166"/>
      <c r="E51" s="447"/>
      <c r="F51" s="2534"/>
      <c r="G51" s="2542"/>
      <c r="H51" s="2540" t="s">
        <v>689</v>
      </c>
      <c r="I51" s="2583"/>
      <c r="J51" s="2584"/>
      <c r="K51" s="2833" t="s">
        <v>690</v>
      </c>
      <c r="L51" s="2833" t="s">
        <v>691</v>
      </c>
      <c r="M51" s="2833"/>
      <c r="N51" s="2833" t="s">
        <v>692</v>
      </c>
      <c r="O51" s="2833" t="s">
        <v>693</v>
      </c>
      <c r="P51" s="2833" t="s">
        <v>694</v>
      </c>
      <c r="Q51" s="2425"/>
    </row>
    <row r="52" ht="24" customHeight="1" spans="1:17">
      <c r="A52" s="2543" t="s">
        <v>695</v>
      </c>
      <c r="B52" s="2150" t="s">
        <v>696</v>
      </c>
      <c r="C52" s="2150"/>
      <c r="D52" s="2166">
        <f ca="1">ROUND(D45*'数据-取费表'!E29/(1+'数据-取费表'!F30),0)</f>
        <v>584867</v>
      </c>
      <c r="E52" s="2171" t="s">
        <v>697</v>
      </c>
      <c r="F52" s="2544">
        <f>'数据-取费表'!E29</f>
        <v>0.056</v>
      </c>
      <c r="G52" s="2545"/>
      <c r="H52" s="2266"/>
      <c r="I52" s="2585"/>
      <c r="J52" s="2584"/>
      <c r="K52" s="2832">
        <v>1</v>
      </c>
      <c r="L52" s="2832" t="s">
        <v>698</v>
      </c>
      <c r="M52" s="2832"/>
      <c r="N52" s="2836">
        <f ca="1">D48</f>
        <v>584867</v>
      </c>
      <c r="O52" s="2832" t="str">
        <f>E48</f>
        <v>销售额×税（费）率</v>
      </c>
      <c r="P52" s="2837">
        <f>F48</f>
        <v>0.056</v>
      </c>
      <c r="Q52" s="2425"/>
    </row>
    <row r="53" ht="12" customHeight="1" spans="1:17">
      <c r="A53" s="2543" t="s">
        <v>699</v>
      </c>
      <c r="B53" s="2149" t="s">
        <v>700</v>
      </c>
      <c r="C53" s="2546"/>
      <c r="D53" s="2166">
        <f ca="1">ROUND(D45*'数据-取费表'!E29/(1+'数据-取费表'!F30),0)</f>
        <v>584867</v>
      </c>
      <c r="E53" s="2171" t="s">
        <v>697</v>
      </c>
      <c r="F53" s="2544">
        <f>'数据-取费表'!E29</f>
        <v>0.056</v>
      </c>
      <c r="G53" s="2545"/>
      <c r="H53" s="2266"/>
      <c r="I53" s="2585"/>
      <c r="J53" s="2584"/>
      <c r="K53" s="2832">
        <v>2</v>
      </c>
      <c r="L53" s="2832" t="s">
        <v>701</v>
      </c>
      <c r="M53" s="2832"/>
      <c r="N53" s="2836">
        <f ca="1" t="shared" ref="N53:P54" si="1">D55</f>
        <v>0</v>
      </c>
      <c r="O53" s="2832" t="str">
        <f t="shared" si="1"/>
        <v>销售额×税（费）率</v>
      </c>
      <c r="P53" s="2837" t="str">
        <f t="shared" si="1"/>
        <v>免征</v>
      </c>
      <c r="Q53" s="2425"/>
    </row>
    <row r="54" ht="12" customHeight="1" spans="1:17">
      <c r="A54" s="2543" t="s">
        <v>702</v>
      </c>
      <c r="B54" s="2149" t="s">
        <v>703</v>
      </c>
      <c r="C54" s="2546"/>
      <c r="D54" s="2166">
        <f ca="1">C68</f>
        <v>584867</v>
      </c>
      <c r="E54" s="447" t="s">
        <v>704</v>
      </c>
      <c r="F54" s="2544">
        <f>'数据-取费表'!E29</f>
        <v>0.056</v>
      </c>
      <c r="G54" s="2545"/>
      <c r="H54" s="2547"/>
      <c r="I54" s="2585"/>
      <c r="J54" s="2584"/>
      <c r="K54" s="2832">
        <v>3</v>
      </c>
      <c r="L54" s="2832" t="s">
        <v>705</v>
      </c>
      <c r="M54" s="2832"/>
      <c r="N54" s="2836">
        <f ca="1" t="shared" si="1"/>
        <v>0</v>
      </c>
      <c r="O54" s="2832" t="str">
        <f t="shared" si="1"/>
        <v>增值额×税（费）率</v>
      </c>
      <c r="P54" s="2838" t="str">
        <f t="shared" si="1"/>
        <v>免征</v>
      </c>
      <c r="Q54" s="2425"/>
    </row>
    <row r="55" ht="24" customHeight="1" spans="1:17">
      <c r="A55" s="2543" t="s">
        <v>706</v>
      </c>
      <c r="B55" s="2171"/>
      <c r="C55" s="2171"/>
      <c r="D55" s="2228">
        <f ca="1">IF(H55="个人住宅",0,ROUND(D45*I55,0))</f>
        <v>0</v>
      </c>
      <c r="E55" s="2171" t="s">
        <v>707</v>
      </c>
      <c r="F55" s="2544" t="str">
        <f>IF(H55="正常",I55,"免征")</f>
        <v>免征</v>
      </c>
      <c r="G55" s="2545"/>
      <c r="H55" s="2532" t="s">
        <v>708</v>
      </c>
      <c r="I55" s="2589">
        <f>'数据-取费表'!E37</f>
        <v>0.0005</v>
      </c>
      <c r="J55" s="2584"/>
      <c r="K55" s="2832" t="str">
        <f>IF(H59="非个人房产","",4)</f>
        <v/>
      </c>
      <c r="L55" s="2832" t="str">
        <f>IF(H59="非个人房产","——","个人所得税")</f>
        <v>——</v>
      </c>
      <c r="M55" s="2832"/>
      <c r="N55" s="2839" t="str">
        <f ca="1">D59</f>
        <v>——</v>
      </c>
      <c r="O55" s="2840" t="str">
        <f>E59</f>
        <v>——</v>
      </c>
      <c r="P55" s="2841" t="str">
        <f>F59</f>
        <v>——</v>
      </c>
      <c r="Q55" s="2425"/>
    </row>
    <row r="56" ht="24.75" spans="1:17">
      <c r="A56" s="2543" t="s">
        <v>709</v>
      </c>
      <c r="B56" s="2171"/>
      <c r="C56" s="2171"/>
      <c r="D56" s="2228">
        <f ca="1">IF(H56="个人住宅",D57,D58)</f>
        <v>0</v>
      </c>
      <c r="E56" s="2171" t="s">
        <v>710</v>
      </c>
      <c r="F56" s="2544" t="str">
        <f>IF(H56="正常",F58,"免征")</f>
        <v>免征</v>
      </c>
      <c r="G56" s="2548" t="s">
        <v>711</v>
      </c>
      <c r="H56" s="2549" t="s">
        <v>708</v>
      </c>
      <c r="I56" s="2550"/>
      <c r="J56" s="2584"/>
      <c r="K56" s="2832" t="str">
        <f>IF(项目基本情况!I6="上海银行",IF(K55="",4,K55+1),"")</f>
        <v/>
      </c>
      <c r="L56" s="2842" t="str">
        <f>IF(项目基本情况!I6="上海银行","其他处置费用","")</f>
        <v/>
      </c>
      <c r="M56" s="2843"/>
      <c r="N56" s="2836" t="str">
        <f ca="1">IF(项目基本情况!I6="上海银行",N69,"")</f>
        <v/>
      </c>
      <c r="O56" s="2842" t="str">
        <f>IF(项目基本情况!I6="上海银行","包含处置中涉及的律师、诉讼、拍卖、评估等费用","")</f>
        <v/>
      </c>
      <c r="P56" s="2844"/>
      <c r="Q56" s="2425"/>
    </row>
    <row r="57" ht="13.5" spans="1:17">
      <c r="A57" s="2543" t="s">
        <v>681</v>
      </c>
      <c r="B57" s="2149" t="s">
        <v>712</v>
      </c>
      <c r="C57" s="2546"/>
      <c r="D57" s="2533">
        <v>0</v>
      </c>
      <c r="E57" s="2177" t="s">
        <v>683</v>
      </c>
      <c r="F57" s="2116"/>
      <c r="G57" s="2545"/>
      <c r="H57" s="2550"/>
      <c r="I57" s="2550"/>
      <c r="J57" s="2584"/>
      <c r="K57" s="2832">
        <f>IF(AND(K55="",K56=""),4,IF(项目基本情况!I6="上海银行",K56+1,K55+1))</f>
        <v>4</v>
      </c>
      <c r="L57" s="2832" t="s">
        <v>431</v>
      </c>
      <c r="M57" s="2845" t="s">
        <v>713</v>
      </c>
      <c r="N57" s="2846"/>
      <c r="O57" s="2847">
        <f ca="1">SUMIF(N52:N56,"&lt;9e307")</f>
        <v>584867</v>
      </c>
      <c r="P57" s="2848"/>
      <c r="Q57" s="2611" t="e">
        <f ca="1">O57/N49</f>
        <v>#VALUE!</v>
      </c>
    </row>
    <row r="58" ht="24.75" spans="1:17">
      <c r="A58" s="2543" t="s">
        <v>695</v>
      </c>
      <c r="B58" s="2149" t="s">
        <v>714</v>
      </c>
      <c r="C58" s="2150"/>
      <c r="D58" s="2228">
        <f ca="1">IF(H58="转让取得",C81,C97)</f>
        <v>6206900</v>
      </c>
      <c r="E58" s="2171" t="s">
        <v>710</v>
      </c>
      <c r="F58" s="2116" t="s">
        <v>121</v>
      </c>
      <c r="G58" s="2545"/>
      <c r="H58" s="2549" t="s">
        <v>715</v>
      </c>
      <c r="I58" s="2550"/>
      <c r="J58" s="2584"/>
      <c r="K58" s="2832"/>
      <c r="L58" s="2832"/>
      <c r="M58" s="2845" t="s">
        <v>716</v>
      </c>
      <c r="N58" s="2849"/>
      <c r="O58" s="2850" t="str">
        <f ca="1">IF(H19="元",NUMBERSTRING(INT(O57),2)&amp;"元整",NUMBERSTRING(INT(O57*10000),2)&amp;"元整")</f>
        <v>伍拾捌万肆仟捌佰陆拾柒元整</v>
      </c>
      <c r="P58" s="2851"/>
      <c r="Q58" s="2425"/>
    </row>
    <row r="59" ht="24.75" spans="1:17">
      <c r="A59" s="2551" t="s">
        <v>717</v>
      </c>
      <c r="B59" s="2552"/>
      <c r="C59" s="2552"/>
      <c r="D59" s="2818" t="str">
        <f ca="1">IF(H59="非个人房产","——",IF(H59="个人住宅（满五唯一有凭证）",0,IF(H59="个人其他（无凭证）",ROUND(D45*F59,0),ROUND(C67*F59,0))))</f>
        <v>——</v>
      </c>
      <c r="E59" s="2552" t="str">
        <f>IF(H59="非个人房产","——",IF(H59="个人其他（无凭证）","销售额×税（费）率",IF(H59="个人住宅（满五唯一有凭证）","免征","差额计税")))</f>
        <v>——</v>
      </c>
      <c r="F59" s="2819" t="str">
        <f>IF(OR(H59="非个人房产",H59="个人住宅（满五唯一有凭证）"),"——",IF(H59="个人其他（有凭证）",20%,1%))</f>
        <v>——</v>
      </c>
      <c r="G59" s="2555" t="s">
        <v>718</v>
      </c>
      <c r="H59" s="2556" t="s">
        <v>719</v>
      </c>
      <c r="I59" s="2852" t="s">
        <v>720</v>
      </c>
      <c r="J59" s="2584"/>
      <c r="K59" s="2840">
        <f>K57+1</f>
        <v>5</v>
      </c>
      <c r="L59" s="2832" t="s">
        <v>587</v>
      </c>
      <c r="M59" s="2832" t="s">
        <v>713</v>
      </c>
      <c r="N59" s="2853"/>
      <c r="O59" s="2854" t="e">
        <f ca="1">N49-O57</f>
        <v>#VALUE!</v>
      </c>
      <c r="P59" s="2855"/>
      <c r="Q59" s="2425"/>
    </row>
    <row r="60" ht="12" customHeight="1" spans="1:17">
      <c r="A60" s="2557"/>
      <c r="B60" s="2429"/>
      <c r="C60" s="2429"/>
      <c r="D60" s="2429"/>
      <c r="E60" s="2667"/>
      <c r="F60" s="2820"/>
      <c r="G60" s="2820"/>
      <c r="H60" s="2821"/>
      <c r="I60" s="1756"/>
      <c r="K60" s="2856"/>
      <c r="L60" s="2832"/>
      <c r="M60" s="2845" t="s">
        <v>716</v>
      </c>
      <c r="N60" s="2849"/>
      <c r="O60" s="2850" t="e">
        <f ca="1">IF(H19="元",NUMBERSTRING(INT(O59),2)&amp;"元整",NUMBERSTRING(INT(O59*10000),2)&amp;"元整")</f>
        <v>#VALUE!</v>
      </c>
      <c r="P60" s="2851"/>
      <c r="Q60" s="2425"/>
    </row>
    <row r="61" ht="14.25" spans="1:17">
      <c r="A61" s="2822" t="s">
        <v>721</v>
      </c>
      <c r="B61" s="2822"/>
      <c r="C61" s="2822"/>
      <c r="D61" s="2822"/>
      <c r="E61" s="2822"/>
      <c r="F61" s="2820"/>
      <c r="G61" s="2820"/>
      <c r="H61" s="2823"/>
      <c r="I61" s="1756"/>
      <c r="K61" s="2832">
        <f>K59+1</f>
        <v>6</v>
      </c>
      <c r="L61" s="2832" t="s">
        <v>722</v>
      </c>
      <c r="M61" s="2832"/>
      <c r="N61" s="2857"/>
      <c r="O61" s="2858" t="e">
        <f ca="1">IF(H19="元",ROUND(O59/项目基本情况!C12,0),ROUND(O59*10000/项目基本情况!C12,0))</f>
        <v>#VALUE!</v>
      </c>
      <c r="P61" s="2859"/>
      <c r="Q61" s="2425"/>
    </row>
    <row r="62" ht="13.5" spans="1:17">
      <c r="A62" s="459" t="s">
        <v>723</v>
      </c>
      <c r="B62" s="425"/>
      <c r="C62" s="425"/>
      <c r="D62" s="425" t="s">
        <v>724</v>
      </c>
      <c r="E62" s="2560" t="s">
        <v>675</v>
      </c>
      <c r="F62" s="2820"/>
      <c r="G62" s="2820"/>
      <c r="H62" s="2823"/>
      <c r="I62" s="1756"/>
      <c r="K62" s="2860"/>
      <c r="L62" s="2860"/>
      <c r="M62" s="2860"/>
      <c r="N62" s="2860"/>
      <c r="O62" s="2860"/>
      <c r="P62" s="2860"/>
      <c r="Q62" s="2425"/>
    </row>
    <row r="63" ht="13.5" spans="1:17">
      <c r="A63" s="2613">
        <v>1</v>
      </c>
      <c r="B63" s="2614" t="s">
        <v>725</v>
      </c>
      <c r="C63" s="2615">
        <f ca="1">ROUND((C64+C65)/(1+'数据-取费表'!F30),0)</f>
        <v>10444051</v>
      </c>
      <c r="D63" s="2614"/>
      <c r="E63" s="2616"/>
      <c r="F63" s="2820"/>
      <c r="G63" s="2820"/>
      <c r="H63" s="2823"/>
      <c r="I63" s="1756"/>
      <c r="K63" s="2861" t="s">
        <v>726</v>
      </c>
      <c r="L63" s="2861" t="s">
        <v>727</v>
      </c>
      <c r="M63" s="2861" t="e">
        <f ca="1">IF(N49&gt;10000,N49*0.5%,IF(AND(N49&gt;1000,N49&lt;=10000),N49*1%,IF(AND(N49&gt;100,N49&lt;=1000),N49*3%,IF(AND(N49&gt;10,N49&lt;=100),N49*5%,N49*8%))))</f>
        <v>#VALUE!</v>
      </c>
      <c r="N63" s="2862" t="e">
        <f ca="1">ROUND(M63,1)</f>
        <v>#VALUE!</v>
      </c>
      <c r="O63" s="2860"/>
      <c r="P63" s="2860"/>
      <c r="Q63" s="2425"/>
    </row>
    <row r="64" ht="13.5" spans="1:17">
      <c r="A64" s="2617" t="s">
        <v>728</v>
      </c>
      <c r="B64" s="410" t="s">
        <v>729</v>
      </c>
      <c r="C64" s="2618">
        <f ca="1">D45</f>
        <v>10966254</v>
      </c>
      <c r="D64" s="410" t="s">
        <v>121</v>
      </c>
      <c r="E64" s="2619"/>
      <c r="F64" s="2820"/>
      <c r="G64" s="2820"/>
      <c r="H64" s="2823"/>
      <c r="I64" s="1756"/>
      <c r="K64" s="2861"/>
      <c r="L64" s="2861" t="s">
        <v>730</v>
      </c>
      <c r="M64" s="2861" t="e">
        <f ca="1">IF(N49&gt;2000,N49*0.5%,IF(AND(N49&gt;1000,N49&lt;=2000),N49*0.6%,IF(AND(N49&gt;500,N49&lt;=1000),N49*0.7%,IF(AND(N49&gt;200,N49&lt;=500),N49*0.8%,IF(AND(N49&gt;100,N49&lt;=200),N49*0.9%,IF(AND(N49&gt;50,N49&lt;=100),N49*1%,IF(AND(N49&gt;20,N49&lt;=50),N49*1.5%,IF(AND(N49&gt;10,N49&lt;=20),N49*2%,IF(AND(N49&gt;1,N49&lt;=10),N49*2.5%)))))))))</f>
        <v>#VALUE!</v>
      </c>
      <c r="N64" s="2862" t="e">
        <f ca="1" t="shared" ref="N64:N65" si="2">ROUND(M64,1)</f>
        <v>#VALUE!</v>
      </c>
      <c r="O64" s="2860" t="s">
        <v>731</v>
      </c>
      <c r="P64" s="2860"/>
      <c r="Q64" s="2425"/>
    </row>
    <row r="65" ht="13.5" spans="1:17">
      <c r="A65" s="2617" t="s">
        <v>732</v>
      </c>
      <c r="B65" s="410" t="s">
        <v>733</v>
      </c>
      <c r="C65" s="2620"/>
      <c r="D65" s="410"/>
      <c r="E65" s="2619"/>
      <c r="F65" s="2820"/>
      <c r="G65" s="2820"/>
      <c r="H65" s="2823"/>
      <c r="I65" s="1756"/>
      <c r="K65" s="2861"/>
      <c r="L65" s="2861" t="s">
        <v>734</v>
      </c>
      <c r="M65" s="2861" t="e">
        <f ca="1">IF(N49&gt;1000,N49*0.1%,IF(AND(N49&gt;500,N49&lt;=1000),N49*0.5%,IF(AND(N49&gt;50,N49&lt;=500),N49*1%,IF(AND(N49&gt;1,N49&lt;=50),N49*1.5%))))</f>
        <v>#VALUE!</v>
      </c>
      <c r="N65" s="2862" t="e">
        <f ca="1" t="shared" si="2"/>
        <v>#VALUE!</v>
      </c>
      <c r="O65" s="2860" t="s">
        <v>731</v>
      </c>
      <c r="P65" s="2860"/>
      <c r="Q65" s="2425"/>
    </row>
    <row r="66" ht="13.5" spans="1:17">
      <c r="A66" s="2621" t="s">
        <v>735</v>
      </c>
      <c r="B66" s="516" t="s">
        <v>736</v>
      </c>
      <c r="C66" s="2622"/>
      <c r="D66" s="516" t="s">
        <v>121</v>
      </c>
      <c r="E66" s="2623" t="s">
        <v>737</v>
      </c>
      <c r="F66" s="2820"/>
      <c r="G66" s="2820"/>
      <c r="H66" s="2823"/>
      <c r="I66" s="1756"/>
      <c r="K66" s="2861"/>
      <c r="L66" s="2861" t="s">
        <v>738</v>
      </c>
      <c r="M66" s="2861" t="e">
        <f ca="1">N49*0.5%</f>
        <v>#VALUE!</v>
      </c>
      <c r="N66" s="2862" t="e">
        <f ca="1">IF(M66&gt;0.5,0.5,ROUND(M66,0))</f>
        <v>#VALUE!</v>
      </c>
      <c r="O66" s="2860" t="s">
        <v>739</v>
      </c>
      <c r="P66" s="2860"/>
      <c r="Q66" s="2425"/>
    </row>
    <row r="67" ht="13.5" spans="1:17">
      <c r="A67" s="2621" t="s">
        <v>740</v>
      </c>
      <c r="B67" s="516" t="s">
        <v>741</v>
      </c>
      <c r="C67" s="2624">
        <f ca="1">C63-C66</f>
        <v>10444051</v>
      </c>
      <c r="D67" s="410" t="s">
        <v>121</v>
      </c>
      <c r="E67" s="2619"/>
      <c r="F67" s="2820"/>
      <c r="G67" s="2820"/>
      <c r="H67" s="2823"/>
      <c r="I67" s="1756"/>
      <c r="K67" s="2861"/>
      <c r="L67" s="2861" t="s">
        <v>742</v>
      </c>
      <c r="M67" s="2861" t="e">
        <f ca="1">IF(N49&gt;=10000,(8.25+(N49-10000)*0.01%),IF(AND(N49&gt;=8000,N49&lt;10000),(7.85+(N49-8000)*0.02%),IF(AND(N49&gt;=5000,N49&lt;8000),(6.65+(N49-5000)*0.04%),IF(AND(N49&gt;=2000,N49&lt;5000),(4.25+(PN49-2000)*0.08%),IF(AND(N49&gt;=1000,N49&lt;2000),(2.75+(N49-1000)*0.15%),IF(AND(N49&gt;=100,N49&lt;1000),(0.5+(N49-100)*0.25%),IF(AND(N49&gt;0,N49&lt;100),N49*0.5%)))))))</f>
        <v>#VALUE!</v>
      </c>
      <c r="N67" s="2862" t="e">
        <f ca="1">ROUND(M67*0.9,1)</f>
        <v>#VALUE!</v>
      </c>
      <c r="O67" s="2860"/>
      <c r="P67" s="2860"/>
      <c r="Q67" s="2425"/>
    </row>
    <row r="68" ht="14.25" spans="1:17">
      <c r="A68" s="2625" t="s">
        <v>743</v>
      </c>
      <c r="B68" s="537" t="s">
        <v>744</v>
      </c>
      <c r="C68" s="2626">
        <f ca="1">IF(C67&lt;=0,0,ROUND(C67*D68,0))</f>
        <v>584867</v>
      </c>
      <c r="D68" s="631">
        <f>'数据-取费表'!E29</f>
        <v>0.056</v>
      </c>
      <c r="E68" s="2627"/>
      <c r="F68" s="2820"/>
      <c r="G68" s="2820"/>
      <c r="H68" s="2823"/>
      <c r="I68" s="1756"/>
      <c r="K68" s="2861"/>
      <c r="L68" s="2861" t="s">
        <v>745</v>
      </c>
      <c r="M68" s="2861" t="e">
        <f ca="1">IF(N49&gt;10000,N49*0.5%,IF(AND(N49&gt;5000,N49&lt;=10000),N49*1%,IF(AND(N49&gt;1000,N49&lt;=5000),N49*2%,IF(AND(N49&gt;200,N49&lt;=1000),N49*3%,N49*5%))))</f>
        <v>#VALUE!</v>
      </c>
      <c r="N68" s="2862" t="e">
        <f ca="1">ROUND(M68,1)</f>
        <v>#VALUE!</v>
      </c>
      <c r="O68" s="2860"/>
      <c r="P68" s="2860"/>
      <c r="Q68" s="2425"/>
    </row>
    <row r="69" s="2423" customFormat="1" ht="7.5" customHeight="1" spans="1:36">
      <c r="A69" s="2628"/>
      <c r="B69" s="507"/>
      <c r="C69" s="2864"/>
      <c r="D69" s="2865"/>
      <c r="E69" s="2511"/>
      <c r="F69" s="2667"/>
      <c r="G69" s="2667"/>
      <c r="H69" s="2668"/>
      <c r="I69" s="2429"/>
      <c r="J69" s="2427"/>
      <c r="K69" s="2861"/>
      <c r="L69" s="2861" t="s">
        <v>434</v>
      </c>
      <c r="M69" s="2861"/>
      <c r="N69" s="2862" t="e">
        <f ca="1">ROUND(SUM(N63:N68),0)</f>
        <v>#VALUE!</v>
      </c>
      <c r="O69" s="2874" t="e">
        <f ca="1">N69/N49</f>
        <v>#VALUE!</v>
      </c>
      <c r="P69" s="2860"/>
      <c r="Q69" s="2425"/>
      <c r="R69" s="1712"/>
      <c r="S69" s="1712"/>
      <c r="T69" s="1712"/>
      <c r="U69" s="1712"/>
      <c r="V69" s="1712"/>
      <c r="W69" s="1712"/>
      <c r="X69" s="1712"/>
      <c r="Y69" s="1712"/>
      <c r="Z69" s="1712"/>
      <c r="AA69" s="1712"/>
      <c r="AB69" s="2425"/>
      <c r="AC69" s="2425"/>
      <c r="AD69" s="2425"/>
      <c r="AE69" s="2425"/>
      <c r="AF69" s="2425"/>
      <c r="AG69" s="2425"/>
      <c r="AH69" s="2425"/>
      <c r="AI69" s="2425"/>
      <c r="AJ69" s="2425"/>
    </row>
    <row r="70" s="2424" customFormat="1" ht="15" spans="1:36">
      <c r="A70" s="2866" t="s">
        <v>746</v>
      </c>
      <c r="B70" s="2867"/>
      <c r="C70" s="2867"/>
      <c r="D70" s="2867"/>
      <c r="E70" s="2867"/>
      <c r="F70" s="2867"/>
      <c r="G70" s="2867"/>
      <c r="H70" s="2867"/>
      <c r="I70" s="2730"/>
      <c r="J70" s="2731"/>
      <c r="P70" s="367"/>
      <c r="Q70" s="367"/>
      <c r="R70" s="367"/>
      <c r="S70" s="367"/>
      <c r="T70" s="367"/>
      <c r="U70" s="367"/>
      <c r="V70" s="367"/>
      <c r="W70" s="367"/>
      <c r="X70" s="367"/>
      <c r="Y70" s="367"/>
      <c r="Z70" s="367"/>
      <c r="AA70" s="367"/>
      <c r="AB70" s="2737"/>
      <c r="AC70" s="2737"/>
      <c r="AD70" s="2737"/>
      <c r="AE70" s="2737"/>
      <c r="AF70" s="2737"/>
      <c r="AG70" s="2737"/>
      <c r="AH70" s="2737"/>
      <c r="AI70" s="2737"/>
      <c r="AJ70" s="2737"/>
    </row>
    <row r="71" s="2424" customFormat="1" ht="14.25" spans="1:36">
      <c r="A71" s="459" t="s">
        <v>723</v>
      </c>
      <c r="B71" s="425"/>
      <c r="C71" s="425"/>
      <c r="D71" s="425" t="s">
        <v>724</v>
      </c>
      <c r="E71" s="2631" t="s">
        <v>675</v>
      </c>
      <c r="F71" s="2632"/>
      <c r="G71" s="2632"/>
      <c r="H71" s="2633"/>
      <c r="I71" s="2875"/>
      <c r="J71" s="2876"/>
      <c r="P71" s="367"/>
      <c r="Q71" s="367"/>
      <c r="R71" s="367"/>
      <c r="S71" s="367"/>
      <c r="T71" s="367"/>
      <c r="U71" s="367"/>
      <c r="V71" s="367"/>
      <c r="W71" s="367"/>
      <c r="X71" s="367"/>
      <c r="Y71" s="367"/>
      <c r="Z71" s="367"/>
      <c r="AA71" s="367"/>
      <c r="AB71" s="2737"/>
      <c r="AC71" s="2737"/>
      <c r="AD71" s="2737"/>
      <c r="AE71" s="2737"/>
      <c r="AF71" s="2737"/>
      <c r="AG71" s="2737"/>
      <c r="AH71" s="2737"/>
      <c r="AI71" s="2737"/>
      <c r="AJ71" s="2737"/>
    </row>
    <row r="72" s="2424" customFormat="1" ht="14.25" spans="1:36">
      <c r="A72" s="2634">
        <v>1</v>
      </c>
      <c r="B72" s="516" t="s">
        <v>747</v>
      </c>
      <c r="C72" s="2624">
        <f ca="1">ROUND(D45/(1+'数据-取费表'!F30),0)</f>
        <v>10444051</v>
      </c>
      <c r="D72" s="410" t="s">
        <v>121</v>
      </c>
      <c r="E72" s="2228" t="s">
        <v>748</v>
      </c>
      <c r="F72" s="2150"/>
      <c r="G72" s="2150"/>
      <c r="H72" s="2635"/>
      <c r="I72" s="2875"/>
      <c r="J72" s="2876"/>
      <c r="P72" s="367"/>
      <c r="Q72" s="367"/>
      <c r="R72" s="367"/>
      <c r="S72" s="367"/>
      <c r="T72" s="367"/>
      <c r="U72" s="367"/>
      <c r="V72" s="367"/>
      <c r="W72" s="367"/>
      <c r="X72" s="367"/>
      <c r="Y72" s="367"/>
      <c r="Z72" s="367"/>
      <c r="AA72" s="367"/>
      <c r="AB72" s="2737"/>
      <c r="AC72" s="2737"/>
      <c r="AD72" s="2737"/>
      <c r="AE72" s="2737"/>
      <c r="AF72" s="2737"/>
      <c r="AG72" s="2737"/>
      <c r="AH72" s="2737"/>
      <c r="AI72" s="2737"/>
      <c r="AJ72" s="2737"/>
    </row>
    <row r="73" s="2424" customFormat="1" ht="14.25" spans="1:36">
      <c r="A73" s="2636">
        <v>2</v>
      </c>
      <c r="B73" s="2327" t="s">
        <v>749</v>
      </c>
      <c r="C73" s="2624">
        <f ca="1">C74+C78</f>
        <v>62664</v>
      </c>
      <c r="D73" s="410" t="s">
        <v>121</v>
      </c>
      <c r="E73" s="2149"/>
      <c r="F73" s="2150"/>
      <c r="G73" s="2150"/>
      <c r="H73" s="2635"/>
      <c r="I73" s="2875"/>
      <c r="J73" s="2876"/>
      <c r="P73" s="367"/>
      <c r="Q73" s="367"/>
      <c r="R73" s="367"/>
      <c r="S73" s="367"/>
      <c r="T73" s="367"/>
      <c r="U73" s="367"/>
      <c r="V73" s="367"/>
      <c r="W73" s="367"/>
      <c r="X73" s="367"/>
      <c r="Y73" s="367"/>
      <c r="Z73" s="367"/>
      <c r="AA73" s="367"/>
      <c r="AB73" s="2737"/>
      <c r="AC73" s="2737"/>
      <c r="AD73" s="2737"/>
      <c r="AE73" s="2737"/>
      <c r="AF73" s="2737"/>
      <c r="AG73" s="2737"/>
      <c r="AH73" s="2737"/>
      <c r="AI73" s="2737"/>
      <c r="AJ73" s="2737"/>
    </row>
    <row r="74" s="2424" customFormat="1" ht="24" spans="1:36">
      <c r="A74" s="2617" t="s">
        <v>750</v>
      </c>
      <c r="B74" s="410" t="s">
        <v>751</v>
      </c>
      <c r="C74" s="410">
        <f>ROUND(IF(G77="2016年5月1日后购买",C75/(1+'数据-取费表'!F30)+C76+C77,C75+C76+C77),0)</f>
        <v>0</v>
      </c>
      <c r="D74" s="410" t="s">
        <v>121</v>
      </c>
      <c r="E74" s="2149"/>
      <c r="F74" s="2150"/>
      <c r="G74" s="2150"/>
      <c r="H74" s="2635"/>
      <c r="I74" s="2875"/>
      <c r="J74" s="2876"/>
      <c r="P74" s="367"/>
      <c r="Q74" s="367"/>
      <c r="R74" s="367"/>
      <c r="S74" s="367"/>
      <c r="T74" s="367"/>
      <c r="U74" s="367"/>
      <c r="V74" s="367"/>
      <c r="W74" s="367"/>
      <c r="X74" s="367"/>
      <c r="Y74" s="367"/>
      <c r="Z74" s="367"/>
      <c r="AA74" s="367"/>
      <c r="AB74" s="2737"/>
      <c r="AC74" s="2737"/>
      <c r="AD74" s="2737"/>
      <c r="AE74" s="2737"/>
      <c r="AF74" s="2737"/>
      <c r="AG74" s="2737"/>
      <c r="AH74" s="2737"/>
      <c r="AI74" s="2737"/>
      <c r="AJ74" s="2737"/>
    </row>
    <row r="75" s="2424" customFormat="1" ht="14.25" spans="1:36">
      <c r="A75" s="2617" t="s">
        <v>752</v>
      </c>
      <c r="B75" s="410" t="s">
        <v>753</v>
      </c>
      <c r="C75" s="540"/>
      <c r="D75" s="410" t="s">
        <v>121</v>
      </c>
      <c r="E75" s="2637" t="s">
        <v>754</v>
      </c>
      <c r="F75" s="2638" t="s">
        <v>755</v>
      </c>
      <c r="G75" s="2637" t="s">
        <v>756</v>
      </c>
      <c r="H75" s="2639"/>
      <c r="I75" s="2741"/>
      <c r="J75" s="2742"/>
      <c r="P75" s="367"/>
      <c r="Q75" s="367"/>
      <c r="R75" s="367"/>
      <c r="S75" s="367"/>
      <c r="T75" s="367"/>
      <c r="U75" s="367"/>
      <c r="V75" s="367"/>
      <c r="W75" s="367"/>
      <c r="X75" s="367"/>
      <c r="Y75" s="367"/>
      <c r="Z75" s="367"/>
      <c r="AA75" s="367"/>
      <c r="AB75" s="2737"/>
      <c r="AC75" s="2737"/>
      <c r="AD75" s="2737"/>
      <c r="AE75" s="2737"/>
      <c r="AF75" s="2737"/>
      <c r="AG75" s="2737"/>
      <c r="AH75" s="2737"/>
      <c r="AI75" s="2737"/>
      <c r="AJ75" s="2737"/>
    </row>
    <row r="76" s="2424" customFormat="1" ht="24.75" customHeight="1" spans="1:36">
      <c r="A76" s="2617" t="s">
        <v>757</v>
      </c>
      <c r="B76" s="432" t="s">
        <v>758</v>
      </c>
      <c r="C76" s="410">
        <f>IF(F75="购房发票",ROUND(C75*H75*D76,0),0)</f>
        <v>0</v>
      </c>
      <c r="D76" s="2640">
        <v>0.05</v>
      </c>
      <c r="E76" s="2149" t="s">
        <v>759</v>
      </c>
      <c r="F76" s="2150"/>
      <c r="G76" s="2150"/>
      <c r="H76" s="2641"/>
      <c r="I76" s="2875"/>
      <c r="J76" s="2876"/>
      <c r="P76" s="367"/>
      <c r="Q76" s="367"/>
      <c r="R76" s="367"/>
      <c r="S76" s="367"/>
      <c r="T76" s="367"/>
      <c r="U76" s="367"/>
      <c r="V76" s="367"/>
      <c r="W76" s="367"/>
      <c r="X76" s="367"/>
      <c r="Y76" s="367"/>
      <c r="Z76" s="367"/>
      <c r="AA76" s="367"/>
      <c r="AB76" s="2737"/>
      <c r="AC76" s="2737"/>
      <c r="AD76" s="2737"/>
      <c r="AE76" s="2737"/>
      <c r="AF76" s="2737"/>
      <c r="AG76" s="2737"/>
      <c r="AH76" s="2737"/>
      <c r="AI76" s="2737"/>
      <c r="AJ76" s="2737"/>
    </row>
    <row r="77" s="2424" customFormat="1" ht="24.75" customHeight="1" spans="1:36">
      <c r="A77" s="2617" t="s">
        <v>760</v>
      </c>
      <c r="B77" s="410" t="s">
        <v>761</v>
      </c>
      <c r="C77" s="410">
        <f>ROUND(IF(G77="个人住宅",0,IF(G77="2016年5月1日前购买",C75*D77,C75*D77/(1+'数据-取费表'!F30))),0)</f>
        <v>0</v>
      </c>
      <c r="D77" s="2642">
        <f>'数据-取费表'!E36+'数据-取费表'!E37</f>
        <v>0.0305</v>
      </c>
      <c r="E77" s="2228" t="s">
        <v>762</v>
      </c>
      <c r="F77" s="1289"/>
      <c r="G77" s="2643" t="s">
        <v>763</v>
      </c>
      <c r="H77" s="2641" t="str">
        <f>IF(G77="个人买卖住房","免征印花税"," ")</f>
        <v> </v>
      </c>
      <c r="I77" s="2875"/>
      <c r="J77" s="2876"/>
      <c r="K77" s="367"/>
      <c r="L77" s="367"/>
      <c r="M77" s="367"/>
      <c r="N77" s="367"/>
      <c r="O77" s="367"/>
      <c r="P77" s="367"/>
      <c r="Q77" s="367"/>
      <c r="R77" s="367"/>
      <c r="S77" s="367"/>
      <c r="T77" s="367"/>
      <c r="U77" s="367"/>
      <c r="V77" s="367"/>
      <c r="W77" s="367"/>
      <c r="X77" s="367"/>
      <c r="Y77" s="367"/>
      <c r="Z77" s="367"/>
      <c r="AA77" s="367"/>
      <c r="AB77" s="2737"/>
      <c r="AC77" s="2737"/>
      <c r="AD77" s="2737"/>
      <c r="AE77" s="2737"/>
      <c r="AF77" s="2737"/>
      <c r="AG77" s="2737"/>
      <c r="AH77" s="2737"/>
      <c r="AI77" s="2737"/>
      <c r="AJ77" s="2737"/>
    </row>
    <row r="78" s="2424" customFormat="1" ht="24.75" customHeight="1" spans="1:36">
      <c r="A78" s="2617" t="s">
        <v>764</v>
      </c>
      <c r="B78" s="410" t="s">
        <v>765</v>
      </c>
      <c r="C78" s="2644">
        <f ca="1">ROUND(D45*D78/(1+'数据-取费表'!F30),0)</f>
        <v>62664</v>
      </c>
      <c r="D78" s="2645">
        <f>'数据-取费表'!E31</f>
        <v>0.006</v>
      </c>
      <c r="E78" s="2646" t="s">
        <v>766</v>
      </c>
      <c r="F78" s="2647"/>
      <c r="G78" s="2647"/>
      <c r="H78" s="2648"/>
      <c r="I78" s="2877"/>
      <c r="J78" s="2878"/>
      <c r="K78" s="367"/>
      <c r="L78" s="367"/>
      <c r="M78" s="367"/>
      <c r="N78" s="367"/>
      <c r="O78" s="367"/>
      <c r="P78" s="367"/>
      <c r="Q78" s="367"/>
      <c r="R78" s="367"/>
      <c r="S78" s="367"/>
      <c r="T78" s="367"/>
      <c r="U78" s="367"/>
      <c r="V78" s="367"/>
      <c r="W78" s="367"/>
      <c r="X78" s="367"/>
      <c r="Y78" s="367"/>
      <c r="Z78" s="367"/>
      <c r="AA78" s="367"/>
      <c r="AB78" s="2737"/>
      <c r="AC78" s="2737"/>
      <c r="AD78" s="2737"/>
      <c r="AE78" s="2737"/>
      <c r="AF78" s="2737"/>
      <c r="AG78" s="2737"/>
      <c r="AH78" s="2737"/>
      <c r="AI78" s="2737"/>
      <c r="AJ78" s="2737"/>
    </row>
    <row r="79" s="2424" customFormat="1" ht="14.25" spans="1:36">
      <c r="A79" s="2621" t="s">
        <v>740</v>
      </c>
      <c r="B79" s="516" t="s">
        <v>767</v>
      </c>
      <c r="C79" s="2624">
        <f ca="1">C72-C73</f>
        <v>10381387</v>
      </c>
      <c r="D79" s="410" t="s">
        <v>121</v>
      </c>
      <c r="E79" s="2149"/>
      <c r="F79" s="2150"/>
      <c r="G79" s="2150"/>
      <c r="H79" s="2635"/>
      <c r="I79" s="2875"/>
      <c r="J79" s="2876"/>
      <c r="K79" s="367"/>
      <c r="L79" s="367"/>
      <c r="M79" s="367"/>
      <c r="N79" s="367"/>
      <c r="O79" s="367"/>
      <c r="P79" s="367"/>
      <c r="Q79" s="367"/>
      <c r="R79" s="367"/>
      <c r="S79" s="367"/>
      <c r="T79" s="367"/>
      <c r="U79" s="367"/>
      <c r="V79" s="367"/>
      <c r="W79" s="367"/>
      <c r="X79" s="367"/>
      <c r="Y79" s="367"/>
      <c r="Z79" s="367"/>
      <c r="AA79" s="367"/>
      <c r="AB79" s="2737"/>
      <c r="AC79" s="2737"/>
      <c r="AD79" s="2737"/>
      <c r="AE79" s="2737"/>
      <c r="AF79" s="2737"/>
      <c r="AG79" s="2737"/>
      <c r="AH79" s="2737"/>
      <c r="AI79" s="2737"/>
      <c r="AJ79" s="2737"/>
    </row>
    <row r="80" s="2424" customFormat="1" ht="24" spans="1:36">
      <c r="A80" s="2621" t="s">
        <v>743</v>
      </c>
      <c r="B80" s="516" t="s">
        <v>768</v>
      </c>
      <c r="C80" s="2649">
        <f ca="1">IF(C79&lt;=0,0,C79/C73)</f>
        <v>165.667480531086</v>
      </c>
      <c r="D80" s="410" t="s">
        <v>121</v>
      </c>
      <c r="E80" s="2228" t="str">
        <f ca="1">IF(C80&gt;=200%,"增值额超过扣除项目金额200%",IF(C80&gt;=100%,"增值额超过扣除项目金额100%，未超过200%",IF(C80&gt;=50%,"增值额超过扣除项目金额50%，未超过100%",IF(C80&lt;50%,"增值额未超过扣除项目金额50%"))))</f>
        <v>增值额超过扣除项目金额200%</v>
      </c>
      <c r="F80" s="2150"/>
      <c r="G80" s="2150"/>
      <c r="H80" s="2635"/>
      <c r="I80" s="2875"/>
      <c r="J80" s="2876"/>
      <c r="K80" s="367"/>
      <c r="L80" s="367"/>
      <c r="M80" s="367"/>
      <c r="N80" s="367"/>
      <c r="O80" s="367"/>
      <c r="P80" s="367"/>
      <c r="Q80" s="367"/>
      <c r="R80" s="367"/>
      <c r="S80" s="367"/>
      <c r="T80" s="367"/>
      <c r="U80" s="367"/>
      <c r="V80" s="367"/>
      <c r="W80" s="367"/>
      <c r="X80" s="367"/>
      <c r="Y80" s="367"/>
      <c r="Z80" s="367"/>
      <c r="AA80" s="367"/>
      <c r="AB80" s="2737"/>
      <c r="AC80" s="2737"/>
      <c r="AD80" s="2737"/>
      <c r="AE80" s="2737"/>
      <c r="AF80" s="2737"/>
      <c r="AG80" s="2737"/>
      <c r="AH80" s="2737"/>
      <c r="AI80" s="2737"/>
      <c r="AJ80" s="2737"/>
    </row>
    <row r="81" s="2424" customFormat="1" ht="24.75" spans="1:36">
      <c r="A81" s="2625" t="s">
        <v>769</v>
      </c>
      <c r="B81" s="537" t="s">
        <v>770</v>
      </c>
      <c r="C81" s="2650">
        <f ca="1">ROUND(IF(C79&lt;=0,0,IF(C80&gt;=200%,C79*60%-C73*35%,IF(C80&gt;=100%,C79*50%-C73*15%,IF(C80&gt;=50%,C79*40%-C73*5%,IF(C80&lt;50%,C79*30%,0))))),0)</f>
        <v>6206900</v>
      </c>
      <c r="D81" s="456" t="s">
        <v>121</v>
      </c>
      <c r="E81" s="255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1"/>
      <c r="G81" s="2651"/>
      <c r="H81" s="2652"/>
      <c r="I81" s="2875"/>
      <c r="J81" s="2876"/>
      <c r="K81" s="367"/>
      <c r="L81" s="367"/>
      <c r="M81" s="367"/>
      <c r="N81" s="367"/>
      <c r="O81" s="367"/>
      <c r="P81" s="367"/>
      <c r="Q81" s="367"/>
      <c r="R81" s="367"/>
      <c r="S81" s="367"/>
      <c r="T81" s="367"/>
      <c r="U81" s="367"/>
      <c r="V81" s="367"/>
      <c r="W81" s="367"/>
      <c r="X81" s="367"/>
      <c r="Y81" s="367"/>
      <c r="Z81" s="367"/>
      <c r="AA81" s="367"/>
      <c r="AB81" s="2737"/>
      <c r="AC81" s="2737"/>
      <c r="AD81" s="2737"/>
      <c r="AE81" s="2737"/>
      <c r="AF81" s="2737"/>
      <c r="AG81" s="2737"/>
      <c r="AH81" s="2737"/>
      <c r="AI81" s="2737"/>
      <c r="AJ81" s="2737"/>
    </row>
    <row r="82" s="2424" customFormat="1" ht="7.5" customHeight="1" spans="1:36">
      <c r="A82" s="2868"/>
      <c r="B82" s="544"/>
      <c r="C82" s="2741"/>
      <c r="D82" s="2741"/>
      <c r="E82" s="544"/>
      <c r="F82" s="544"/>
      <c r="G82" s="544"/>
      <c r="H82" s="2653"/>
      <c r="I82" s="2877"/>
      <c r="J82" s="2878"/>
      <c r="K82" s="367"/>
      <c r="L82" s="367"/>
      <c r="M82" s="367"/>
      <c r="N82" s="367"/>
      <c r="O82" s="367"/>
      <c r="P82" s="367"/>
      <c r="Q82" s="367"/>
      <c r="R82" s="367"/>
      <c r="S82" s="367"/>
      <c r="T82" s="367"/>
      <c r="U82" s="367"/>
      <c r="V82" s="367"/>
      <c r="W82" s="367"/>
      <c r="X82" s="367"/>
      <c r="Y82" s="367"/>
      <c r="Z82" s="367"/>
      <c r="AA82" s="367"/>
      <c r="AB82" s="2737"/>
      <c r="AC82" s="2737"/>
      <c r="AD82" s="2737"/>
      <c r="AE82" s="2737"/>
      <c r="AF82" s="2737"/>
      <c r="AG82" s="2737"/>
      <c r="AH82" s="2737"/>
      <c r="AI82" s="2737"/>
      <c r="AJ82" s="2737"/>
    </row>
    <row r="83" s="2424" customFormat="1" ht="15" spans="1:36">
      <c r="A83" s="2866" t="s">
        <v>771</v>
      </c>
      <c r="B83" s="2867"/>
      <c r="C83" s="2867"/>
      <c r="D83" s="2867"/>
      <c r="E83" s="2867"/>
      <c r="F83" s="2867"/>
      <c r="G83" s="2867"/>
      <c r="H83" s="2867"/>
      <c r="I83" s="2741"/>
      <c r="J83" s="2742"/>
      <c r="K83" s="367"/>
      <c r="L83" s="367"/>
      <c r="M83" s="367"/>
      <c r="N83" s="367"/>
      <c r="O83" s="367"/>
      <c r="P83" s="367"/>
      <c r="Q83" s="367"/>
      <c r="R83" s="367"/>
      <c r="S83" s="367"/>
      <c r="T83" s="367"/>
      <c r="U83" s="367"/>
      <c r="V83" s="367"/>
      <c r="W83" s="367"/>
      <c r="X83" s="367"/>
      <c r="Y83" s="367"/>
      <c r="Z83" s="367"/>
      <c r="AA83" s="367"/>
      <c r="AB83" s="2737"/>
      <c r="AC83" s="2737"/>
      <c r="AD83" s="2737"/>
      <c r="AE83" s="2737"/>
      <c r="AF83" s="2737"/>
      <c r="AG83" s="2737"/>
      <c r="AH83" s="2737"/>
      <c r="AI83" s="2737"/>
      <c r="AJ83" s="2737"/>
    </row>
    <row r="84" s="2424" customFormat="1" ht="14.25" spans="1:36">
      <c r="A84" s="459" t="s">
        <v>723</v>
      </c>
      <c r="B84" s="425"/>
      <c r="C84" s="425"/>
      <c r="D84" s="425" t="s">
        <v>724</v>
      </c>
      <c r="E84" s="2631" t="s">
        <v>675</v>
      </c>
      <c r="F84" s="2632"/>
      <c r="G84" s="2632"/>
      <c r="H84" s="2654"/>
      <c r="I84" s="2741"/>
      <c r="J84" s="2742"/>
      <c r="K84" s="367"/>
      <c r="L84" s="367"/>
      <c r="M84" s="367"/>
      <c r="N84" s="367"/>
      <c r="O84" s="367"/>
      <c r="P84" s="367"/>
      <c r="Q84" s="367"/>
      <c r="R84" s="367"/>
      <c r="S84" s="367"/>
      <c r="T84" s="367"/>
      <c r="U84" s="367"/>
      <c r="V84" s="367"/>
      <c r="W84" s="367"/>
      <c r="X84" s="367"/>
      <c r="Y84" s="367"/>
      <c r="Z84" s="367"/>
      <c r="AA84" s="367"/>
      <c r="AB84" s="2737"/>
      <c r="AC84" s="2737"/>
      <c r="AD84" s="2737"/>
      <c r="AE84" s="2737"/>
      <c r="AF84" s="2737"/>
      <c r="AG84" s="2737"/>
      <c r="AH84" s="2737"/>
      <c r="AI84" s="2737"/>
      <c r="AJ84" s="2737"/>
    </row>
    <row r="85" s="2424" customFormat="1" ht="24" spans="1:36">
      <c r="A85" s="2634">
        <v>1</v>
      </c>
      <c r="B85" s="516" t="s">
        <v>747</v>
      </c>
      <c r="C85" s="2624">
        <f ca="1">ROUND(D45/(1+'数据-取费表'!F30),0)</f>
        <v>10444051</v>
      </c>
      <c r="D85" s="410" t="s">
        <v>121</v>
      </c>
      <c r="E85" s="2149" t="s">
        <v>748</v>
      </c>
      <c r="F85" s="2150"/>
      <c r="G85" s="2150"/>
      <c r="H85" s="2655"/>
      <c r="I85" s="2741"/>
      <c r="J85" s="2742"/>
      <c r="K85" s="367"/>
      <c r="L85" s="367"/>
      <c r="M85" s="367"/>
      <c r="N85" s="367"/>
      <c r="O85" s="367"/>
      <c r="P85" s="367"/>
      <c r="Q85" s="367"/>
      <c r="R85" s="367"/>
      <c r="S85" s="367"/>
      <c r="T85" s="367"/>
      <c r="U85" s="367"/>
      <c r="V85" s="367"/>
      <c r="W85" s="367"/>
      <c r="X85" s="367"/>
      <c r="Y85" s="367"/>
      <c r="Z85" s="367"/>
      <c r="AA85" s="367"/>
      <c r="AB85" s="2737"/>
      <c r="AC85" s="2737"/>
      <c r="AD85" s="2737"/>
      <c r="AE85" s="2737"/>
      <c r="AF85" s="2737"/>
      <c r="AG85" s="2737"/>
      <c r="AH85" s="2737"/>
      <c r="AI85" s="2737"/>
      <c r="AJ85" s="2737"/>
    </row>
    <row r="86" s="2424" customFormat="1" ht="14.25" spans="1:36">
      <c r="A86" s="2636">
        <v>2</v>
      </c>
      <c r="B86" s="2327" t="s">
        <v>749</v>
      </c>
      <c r="C86" s="2624">
        <f ca="1">IF(H88="仅含出让金",C87+C90+C91+C92+C93+C94,C87+C91+C92+C93+C94)</f>
        <v>62664</v>
      </c>
      <c r="D86" s="2656"/>
      <c r="E86" s="2149"/>
      <c r="F86" s="2150"/>
      <c r="G86" s="2150"/>
      <c r="H86" s="2655"/>
      <c r="I86" s="2741"/>
      <c r="J86" s="2742"/>
      <c r="K86" s="367"/>
      <c r="L86" s="367"/>
      <c r="M86" s="367"/>
      <c r="N86" s="367"/>
      <c r="O86" s="367"/>
      <c r="P86" s="367"/>
      <c r="Q86" s="367"/>
      <c r="R86" s="367"/>
      <c r="S86" s="367"/>
      <c r="T86" s="367"/>
      <c r="U86" s="367"/>
      <c r="V86" s="367"/>
      <c r="W86" s="367"/>
      <c r="X86" s="367"/>
      <c r="Y86" s="367"/>
      <c r="Z86" s="367"/>
      <c r="AA86" s="367"/>
      <c r="AB86" s="2737"/>
      <c r="AC86" s="2737"/>
      <c r="AD86" s="2737"/>
      <c r="AE86" s="2737"/>
      <c r="AF86" s="2737"/>
      <c r="AG86" s="2737"/>
      <c r="AH86" s="2737"/>
      <c r="AI86" s="2737"/>
      <c r="AJ86" s="2737"/>
    </row>
    <row r="87" s="2424" customFormat="1" ht="14.25" spans="1:36">
      <c r="A87" s="2617" t="s">
        <v>750</v>
      </c>
      <c r="B87" s="410" t="s">
        <v>772</v>
      </c>
      <c r="C87" s="2644">
        <f>C88+C89</f>
        <v>0</v>
      </c>
      <c r="D87" s="2645"/>
      <c r="E87" s="2646"/>
      <c r="F87" s="2647"/>
      <c r="G87" s="2647"/>
      <c r="H87" s="2648"/>
      <c r="I87" s="2741"/>
      <c r="J87" s="2742"/>
      <c r="K87" s="367"/>
      <c r="L87" s="367"/>
      <c r="M87" s="367"/>
      <c r="N87" s="367"/>
      <c r="O87" s="367"/>
      <c r="P87" s="367"/>
      <c r="Q87" s="367"/>
      <c r="R87" s="367"/>
      <c r="S87" s="367"/>
      <c r="T87" s="367"/>
      <c r="U87" s="367"/>
      <c r="V87" s="367"/>
      <c r="W87" s="367"/>
      <c r="X87" s="367"/>
      <c r="Y87" s="367"/>
      <c r="Z87" s="367"/>
      <c r="AA87" s="367"/>
      <c r="AB87" s="2737"/>
      <c r="AC87" s="2737"/>
      <c r="AD87" s="2737"/>
      <c r="AE87" s="2737"/>
      <c r="AF87" s="2737"/>
      <c r="AG87" s="2737"/>
      <c r="AH87" s="2737"/>
      <c r="AI87" s="2737"/>
      <c r="AJ87" s="2737"/>
    </row>
    <row r="88" s="2424" customFormat="1" ht="14.25" spans="1:36">
      <c r="A88" s="2617" t="s">
        <v>752</v>
      </c>
      <c r="B88" s="410" t="s">
        <v>773</v>
      </c>
      <c r="C88" s="2657"/>
      <c r="D88" s="2645"/>
      <c r="E88" s="2589" t="s">
        <v>774</v>
      </c>
      <c r="F88" s="2647"/>
      <c r="G88" s="2658" t="s">
        <v>775</v>
      </c>
      <c r="H88" s="2659"/>
      <c r="I88" s="2741"/>
      <c r="J88" s="2742"/>
      <c r="K88" s="2736" t="s">
        <v>776</v>
      </c>
      <c r="L88" s="2737"/>
      <c r="M88" s="2737"/>
      <c r="N88" s="2737"/>
      <c r="O88" s="2737"/>
      <c r="P88" s="2737"/>
      <c r="Q88" s="2737"/>
      <c r="R88" s="2737"/>
      <c r="S88" s="2737"/>
      <c r="T88" s="367"/>
      <c r="U88" s="367"/>
      <c r="V88" s="367"/>
      <c r="W88" s="367"/>
      <c r="X88" s="367"/>
      <c r="Y88" s="367"/>
      <c r="Z88" s="367"/>
      <c r="AA88" s="367"/>
      <c r="AB88" s="2737"/>
      <c r="AC88" s="2737"/>
      <c r="AD88" s="2737"/>
      <c r="AE88" s="2737"/>
      <c r="AF88" s="2737"/>
      <c r="AG88" s="2737"/>
      <c r="AH88" s="2737"/>
      <c r="AI88" s="2737"/>
      <c r="AJ88" s="2737"/>
    </row>
    <row r="89" s="2424" customFormat="1" ht="14.25" spans="1:36">
      <c r="A89" s="2617" t="s">
        <v>757</v>
      </c>
      <c r="B89" s="410" t="s">
        <v>761</v>
      </c>
      <c r="C89" s="2644">
        <f>ROUND(C88*D89,0)</f>
        <v>0</v>
      </c>
      <c r="D89" s="2645">
        <f>'数据-取费表'!E36+'数据-取费表'!E37</f>
        <v>0.0305</v>
      </c>
      <c r="E89" s="2589" t="s">
        <v>777</v>
      </c>
      <c r="F89" s="2647"/>
      <c r="G89" s="2647"/>
      <c r="H89" s="2648"/>
      <c r="I89" s="2741"/>
      <c r="J89" s="2742"/>
      <c r="K89" s="367"/>
      <c r="L89" s="367"/>
      <c r="M89" s="367"/>
      <c r="N89" s="367"/>
      <c r="O89" s="367"/>
      <c r="P89" s="367"/>
      <c r="Q89" s="367"/>
      <c r="R89" s="367"/>
      <c r="S89" s="367"/>
      <c r="T89" s="367"/>
      <c r="U89" s="367"/>
      <c r="V89" s="367"/>
      <c r="W89" s="367"/>
      <c r="X89" s="367"/>
      <c r="Y89" s="367"/>
      <c r="Z89" s="367"/>
      <c r="AA89" s="367"/>
      <c r="AB89" s="2737"/>
      <c r="AC89" s="2737"/>
      <c r="AD89" s="2737"/>
      <c r="AE89" s="2737"/>
      <c r="AF89" s="2737"/>
      <c r="AG89" s="2737"/>
      <c r="AH89" s="2737"/>
      <c r="AI89" s="2737"/>
      <c r="AJ89" s="2737"/>
    </row>
    <row r="90" s="2424" customFormat="1" ht="24" customHeight="1" spans="1:36">
      <c r="A90" s="2617" t="s">
        <v>764</v>
      </c>
      <c r="B90" s="410" t="s">
        <v>778</v>
      </c>
      <c r="C90" s="2657"/>
      <c r="D90" s="2645"/>
      <c r="E90" s="2589" t="str">
        <f>IF(H88="-","土地取得成本中已包含该笔费用"," ")</f>
        <v> </v>
      </c>
      <c r="F90" s="2647"/>
      <c r="G90" s="2660" t="s">
        <v>779</v>
      </c>
      <c r="H90" s="2660"/>
      <c r="I90" s="2741"/>
      <c r="J90" s="2742"/>
      <c r="K90" s="2736" t="s">
        <v>780</v>
      </c>
      <c r="L90" s="2737"/>
      <c r="M90" s="2737"/>
      <c r="N90" s="2737"/>
      <c r="O90" s="2737"/>
      <c r="P90" s="2737"/>
      <c r="Q90" s="2737"/>
      <c r="R90" s="2737"/>
      <c r="S90" s="2737"/>
      <c r="T90" s="2737"/>
      <c r="U90" s="367"/>
      <c r="V90" s="367"/>
      <c r="W90" s="367"/>
      <c r="X90" s="367"/>
      <c r="Y90" s="367"/>
      <c r="Z90" s="367"/>
      <c r="AA90" s="367"/>
      <c r="AB90" s="2737"/>
      <c r="AC90" s="2737"/>
      <c r="AD90" s="2737"/>
      <c r="AE90" s="2737"/>
      <c r="AF90" s="2737"/>
      <c r="AG90" s="2737"/>
      <c r="AH90" s="2737"/>
      <c r="AI90" s="2737"/>
      <c r="AJ90" s="2737"/>
    </row>
    <row r="91" s="2424" customFormat="1" ht="30.75" customHeight="1" spans="1:36">
      <c r="A91" s="2617" t="s">
        <v>781</v>
      </c>
      <c r="B91" s="410" t="s">
        <v>782</v>
      </c>
      <c r="C91" s="2644">
        <f>IF(H91="——",成本法!C33,I91)</f>
        <v>0</v>
      </c>
      <c r="D91" s="2645"/>
      <c r="E91" s="2646" t="s">
        <v>783</v>
      </c>
      <c r="F91" s="2647"/>
      <c r="G91" s="2647"/>
      <c r="H91" s="2662" t="s">
        <v>784</v>
      </c>
      <c r="I91" s="2879"/>
      <c r="J91" s="2880"/>
      <c r="K91" s="367"/>
      <c r="L91" s="367"/>
      <c r="M91" s="367"/>
      <c r="N91" s="367"/>
      <c r="O91" s="367"/>
      <c r="P91" s="367"/>
      <c r="Q91" s="367"/>
      <c r="R91" s="367"/>
      <c r="S91" s="367"/>
      <c r="T91" s="367"/>
      <c r="U91" s="367"/>
      <c r="V91" s="367"/>
      <c r="W91" s="367"/>
      <c r="X91" s="367"/>
      <c r="Y91" s="367"/>
      <c r="Z91" s="367"/>
      <c r="AA91" s="367"/>
      <c r="AB91" s="2737"/>
      <c r="AC91" s="2737"/>
      <c r="AD91" s="2737"/>
      <c r="AE91" s="2737"/>
      <c r="AF91" s="2737"/>
      <c r="AG91" s="2737"/>
      <c r="AH91" s="2737"/>
      <c r="AI91" s="2737"/>
      <c r="AJ91" s="2737"/>
    </row>
    <row r="92" s="2424" customFormat="1" ht="25.5" customHeight="1" spans="1:36">
      <c r="A92" s="2617" t="s">
        <v>785</v>
      </c>
      <c r="B92" s="410" t="s">
        <v>786</v>
      </c>
      <c r="C92" s="2644">
        <f>ROUND((C87+C90+C91)*D92,0)</f>
        <v>0</v>
      </c>
      <c r="D92" s="2869">
        <v>0.1</v>
      </c>
      <c r="E92" s="2646" t="s">
        <v>787</v>
      </c>
      <c r="F92" s="2647"/>
      <c r="G92" s="2647"/>
      <c r="H92" s="2648"/>
      <c r="I92" s="2741"/>
      <c r="J92" s="2742"/>
      <c r="K92" s="2740" t="s">
        <v>788</v>
      </c>
      <c r="L92" s="2737"/>
      <c r="M92" s="2737"/>
      <c r="N92" s="2737"/>
      <c r="O92" s="2737"/>
      <c r="P92" s="2737"/>
      <c r="Q92" s="367"/>
      <c r="R92" s="367"/>
      <c r="S92" s="367"/>
      <c r="T92" s="367"/>
      <c r="U92" s="367"/>
      <c r="V92" s="367"/>
      <c r="W92" s="367"/>
      <c r="X92" s="367"/>
      <c r="Y92" s="367"/>
      <c r="Z92" s="367"/>
      <c r="AA92" s="367"/>
      <c r="AB92" s="2737"/>
      <c r="AC92" s="2737"/>
      <c r="AD92" s="2737"/>
      <c r="AE92" s="2737"/>
      <c r="AF92" s="2737"/>
      <c r="AG92" s="2737"/>
      <c r="AH92" s="2737"/>
      <c r="AI92" s="2737"/>
      <c r="AJ92" s="2737"/>
    </row>
    <row r="93" s="2424" customFormat="1" ht="25.5" customHeight="1" spans="1:36">
      <c r="A93" s="2617" t="s">
        <v>789</v>
      </c>
      <c r="B93" s="410" t="s">
        <v>765</v>
      </c>
      <c r="C93" s="2644">
        <f ca="1">ROUND(D45*D93/(1+'数据-取费表'!F30),0)</f>
        <v>62664</v>
      </c>
      <c r="D93" s="2645">
        <f>'数据-取费表'!E31</f>
        <v>0.006</v>
      </c>
      <c r="E93" s="2646" t="s">
        <v>766</v>
      </c>
      <c r="F93" s="2647"/>
      <c r="G93" s="2647"/>
      <c r="H93" s="2648"/>
      <c r="I93" s="2741"/>
      <c r="J93" s="2742"/>
      <c r="K93" s="367"/>
      <c r="L93" s="367"/>
      <c r="M93" s="367"/>
      <c r="N93" s="367"/>
      <c r="O93" s="367"/>
      <c r="P93" s="367"/>
      <c r="Q93" s="367"/>
      <c r="R93" s="367"/>
      <c r="S93" s="367"/>
      <c r="T93" s="367"/>
      <c r="U93" s="367"/>
      <c r="V93" s="367"/>
      <c r="W93" s="367"/>
      <c r="X93" s="367"/>
      <c r="Y93" s="367"/>
      <c r="Z93" s="367"/>
      <c r="AA93" s="367"/>
      <c r="AB93" s="2737"/>
      <c r="AC93" s="2737"/>
      <c r="AD93" s="2737"/>
      <c r="AE93" s="2737"/>
      <c r="AF93" s="2737"/>
      <c r="AG93" s="2737"/>
      <c r="AH93" s="2737"/>
      <c r="AI93" s="2737"/>
      <c r="AJ93" s="2737"/>
    </row>
    <row r="94" s="2424" customFormat="1" ht="25.5" customHeight="1" spans="1:36">
      <c r="A94" s="2617" t="s">
        <v>790</v>
      </c>
      <c r="B94" s="410" t="s">
        <v>791</v>
      </c>
      <c r="C94" s="2644">
        <f>ROUND((C87+C90+C91)*D94,0)</f>
        <v>0</v>
      </c>
      <c r="D94" s="2645">
        <v>0.2</v>
      </c>
      <c r="E94" s="2646" t="s">
        <v>792</v>
      </c>
      <c r="F94" s="2647"/>
      <c r="G94" s="2647"/>
      <c r="H94" s="2648"/>
      <c r="I94" s="2741"/>
      <c r="J94" s="2742"/>
      <c r="K94" s="367"/>
      <c r="L94" s="367"/>
      <c r="M94" s="367"/>
      <c r="N94" s="367"/>
      <c r="O94" s="367"/>
      <c r="P94" s="367"/>
      <c r="Q94" s="367"/>
      <c r="R94" s="367"/>
      <c r="S94" s="367"/>
      <c r="T94" s="367"/>
      <c r="U94" s="367"/>
      <c r="V94" s="367"/>
      <c r="W94" s="367"/>
      <c r="X94" s="367"/>
      <c r="Y94" s="367"/>
      <c r="Z94" s="367"/>
      <c r="AA94" s="367"/>
      <c r="AB94" s="2737"/>
      <c r="AC94" s="2737"/>
      <c r="AD94" s="2737"/>
      <c r="AE94" s="2737"/>
      <c r="AF94" s="2737"/>
      <c r="AG94" s="2737"/>
      <c r="AH94" s="2737"/>
      <c r="AI94" s="2737"/>
      <c r="AJ94" s="2737"/>
    </row>
    <row r="95" s="2424" customFormat="1" ht="14.25" spans="1:36">
      <c r="A95" s="2621" t="s">
        <v>740</v>
      </c>
      <c r="B95" s="516" t="s">
        <v>767</v>
      </c>
      <c r="C95" s="2624">
        <f ca="1">ROUND(C85-C86,0)</f>
        <v>10381387</v>
      </c>
      <c r="D95" s="410" t="s">
        <v>121</v>
      </c>
      <c r="E95" s="2149"/>
      <c r="F95" s="2150"/>
      <c r="G95" s="2150"/>
      <c r="H95" s="2655"/>
      <c r="I95" s="2741"/>
      <c r="J95" s="2742"/>
      <c r="K95" s="367"/>
      <c r="L95" s="367"/>
      <c r="M95" s="367"/>
      <c r="N95" s="367"/>
      <c r="O95" s="367"/>
      <c r="P95" s="367"/>
      <c r="Q95" s="367"/>
      <c r="R95" s="367"/>
      <c r="S95" s="367"/>
      <c r="T95" s="367"/>
      <c r="U95" s="367"/>
      <c r="V95" s="367"/>
      <c r="W95" s="367"/>
      <c r="X95" s="367"/>
      <c r="Y95" s="367"/>
      <c r="Z95" s="367"/>
      <c r="AA95" s="367"/>
      <c r="AB95" s="2737"/>
      <c r="AC95" s="2737"/>
      <c r="AD95" s="2737"/>
      <c r="AE95" s="2737"/>
      <c r="AF95" s="2737"/>
      <c r="AG95" s="2737"/>
      <c r="AH95" s="2737"/>
      <c r="AI95" s="2737"/>
      <c r="AJ95" s="2737"/>
    </row>
    <row r="96" s="2424" customFormat="1" ht="24" spans="1:36">
      <c r="A96" s="2621" t="s">
        <v>743</v>
      </c>
      <c r="B96" s="516" t="s">
        <v>768</v>
      </c>
      <c r="C96" s="2649">
        <f ca="1">IF(C95&lt;=0,0,C95/C86)</f>
        <v>165.667480531086</v>
      </c>
      <c r="D96" s="410" t="s">
        <v>121</v>
      </c>
      <c r="E96" s="2228" t="str">
        <f ca="1">IF(C96&gt;=200%,"增值额超过扣除项目金额200%",IF(C96&gt;=100%,"增值额超过扣除项目金额100%，未超过200%",IF(C96&gt;=50%,"增值额超过扣除项目金额50%，未超过100%",IF(C96&lt;50%,"增值额未超过扣除项目金额50%"))))</f>
        <v>增值额超过扣除项目金额200%</v>
      </c>
      <c r="F96" s="2150"/>
      <c r="G96" s="2150"/>
      <c r="H96" s="2655"/>
      <c r="I96" s="2741"/>
      <c r="J96" s="2742"/>
      <c r="K96" s="367"/>
      <c r="L96" s="367"/>
      <c r="M96" s="367"/>
      <c r="N96" s="367"/>
      <c r="O96" s="367"/>
      <c r="P96" s="367"/>
      <c r="Q96" s="367"/>
      <c r="R96" s="367"/>
      <c r="S96" s="367"/>
      <c r="T96" s="367"/>
      <c r="U96" s="367"/>
      <c r="V96" s="367"/>
      <c r="W96" s="367"/>
      <c r="X96" s="367"/>
      <c r="Y96" s="367"/>
      <c r="Z96" s="367"/>
      <c r="AA96" s="367"/>
      <c r="AB96" s="2737"/>
      <c r="AC96" s="2737"/>
      <c r="AD96" s="2737"/>
      <c r="AE96" s="2737"/>
      <c r="AF96" s="2737"/>
      <c r="AG96" s="2737"/>
      <c r="AH96" s="2737"/>
      <c r="AI96" s="2737"/>
      <c r="AJ96" s="2737"/>
    </row>
    <row r="97" s="2424" customFormat="1" ht="24.75" spans="1:36">
      <c r="A97" s="2625" t="s">
        <v>769</v>
      </c>
      <c r="B97" s="537" t="s">
        <v>770</v>
      </c>
      <c r="C97" s="2650">
        <f ca="1">ROUND(IF(C95&lt;=0,0,IF(C96&gt;=200%,C95*60%-C86*35%,IF(C96&gt;=100%,C95*50%-C86*15%,IF(C96&gt;=50%,C95*40%-C86*5%,IF(C96&lt;50%,C95*30%,0))))),0)</f>
        <v>6206900</v>
      </c>
      <c r="D97" s="456" t="s">
        <v>121</v>
      </c>
      <c r="E97" s="255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1"/>
      <c r="G97" s="2651"/>
      <c r="H97" s="2666"/>
      <c r="I97" s="2741"/>
      <c r="J97" s="2742"/>
      <c r="K97" s="367"/>
      <c r="L97" s="367"/>
      <c r="M97" s="367"/>
      <c r="N97" s="367"/>
      <c r="O97" s="367"/>
      <c r="P97" s="367"/>
      <c r="Q97" s="367"/>
      <c r="R97" s="367"/>
      <c r="S97" s="367"/>
      <c r="T97" s="367"/>
      <c r="U97" s="367"/>
      <c r="V97" s="367"/>
      <c r="W97" s="367"/>
      <c r="X97" s="367"/>
      <c r="Y97" s="367"/>
      <c r="Z97" s="367"/>
      <c r="AA97" s="367"/>
      <c r="AB97" s="2737"/>
      <c r="AC97" s="2737"/>
      <c r="AD97" s="2737"/>
      <c r="AE97" s="2737"/>
      <c r="AF97" s="2737"/>
      <c r="AG97" s="2737"/>
      <c r="AH97" s="2737"/>
      <c r="AI97" s="2737"/>
      <c r="AJ97" s="2737"/>
    </row>
    <row r="98" customHeight="1" spans="1:9">
      <c r="A98" s="2513" t="s">
        <v>793</v>
      </c>
      <c r="B98" s="2429"/>
      <c r="C98" s="2429"/>
      <c r="D98" s="2429"/>
      <c r="E98" s="2667"/>
      <c r="F98" s="2667"/>
      <c r="G98" s="2667"/>
      <c r="H98" s="2668"/>
      <c r="I98" s="2429"/>
    </row>
    <row r="99" ht="15.75" spans="1:10">
      <c r="A99" s="2669" t="s">
        <v>794</v>
      </c>
      <c r="B99" s="2670"/>
      <c r="C99" s="2670"/>
      <c r="D99" s="2671"/>
      <c r="E99" s="2429"/>
      <c r="F99" s="2870" t="s">
        <v>795</v>
      </c>
      <c r="G99" s="2871"/>
      <c r="H99" s="2871"/>
      <c r="I99" s="2881"/>
      <c r="J99" s="2882"/>
    </row>
    <row r="100" ht="15" spans="1:10">
      <c r="A100" s="2674" t="s">
        <v>796</v>
      </c>
      <c r="B100" s="2675"/>
      <c r="C100" s="2682" t="str">
        <f>C4</f>
        <v>收益法</v>
      </c>
      <c r="D100" s="2683" t="str">
        <f>D4</f>
        <v>比较法-住宅</v>
      </c>
      <c r="E100" s="2429"/>
      <c r="F100" s="2678" t="s">
        <v>797</v>
      </c>
      <c r="G100" s="2679"/>
      <c r="H100" s="2678" t="s">
        <v>798</v>
      </c>
      <c r="I100" s="2745"/>
      <c r="J100" s="2746"/>
    </row>
    <row r="101" ht="13.5" spans="1:10">
      <c r="A101" s="551" t="s">
        <v>799</v>
      </c>
      <c r="B101" s="518" t="str">
        <f>IF(H19="元","总价（元）","总价（万元）")</f>
        <v>总价（元）</v>
      </c>
      <c r="C101" s="2682">
        <f ca="1">C19</f>
        <v>6047099</v>
      </c>
      <c r="D101" s="2683">
        <f ca="1">D19</f>
        <v>12196113</v>
      </c>
      <c r="E101" s="2429"/>
      <c r="F101" s="2678" t="str">
        <f>项目基本情况!I1</f>
        <v>北京市房地产</v>
      </c>
      <c r="G101" s="2679"/>
      <c r="H101" s="2686">
        <f>项目基本情况!C12</f>
        <v>164.75</v>
      </c>
      <c r="I101" s="2745"/>
      <c r="J101" s="2746"/>
    </row>
    <row r="102" ht="13.5" spans="1:10">
      <c r="A102" s="551"/>
      <c r="B102" s="518" t="s">
        <v>800</v>
      </c>
      <c r="C102" s="2687">
        <f ca="1">C20</f>
        <v>36705</v>
      </c>
      <c r="D102" s="2688">
        <f ca="1">D20</f>
        <v>74028</v>
      </c>
      <c r="E102" s="2429"/>
      <c r="F102" s="2636" t="s">
        <v>801</v>
      </c>
      <c r="G102" s="2327"/>
      <c r="H102" s="2689" t="str">
        <f>C106</f>
        <v>总价（元）</v>
      </c>
      <c r="I102" s="2706">
        <f ca="1">H121</f>
        <v>10966254</v>
      </c>
      <c r="J102" s="2746"/>
    </row>
    <row r="103" ht="13.5" spans="1:10">
      <c r="A103" s="551" t="s">
        <v>802</v>
      </c>
      <c r="B103" s="519" t="str">
        <f>B101</f>
        <v>总价（元）</v>
      </c>
      <c r="C103" s="2693">
        <f ca="1">H121</f>
        <v>10966254</v>
      </c>
      <c r="D103" s="2690"/>
      <c r="E103" s="2429"/>
      <c r="F103" s="2636"/>
      <c r="G103" s="2327"/>
      <c r="H103" s="2689" t="s">
        <v>800</v>
      </c>
      <c r="I103" s="2619">
        <f ca="1">I121</f>
        <v>66563</v>
      </c>
      <c r="J103" s="2563"/>
    </row>
    <row r="104" ht="14.25" spans="1:10">
      <c r="A104" s="567"/>
      <c r="B104" s="2698" t="s">
        <v>800</v>
      </c>
      <c r="C104" s="2699">
        <f ca="1">I121</f>
        <v>66563</v>
      </c>
      <c r="D104" s="2700"/>
      <c r="E104" s="2429"/>
      <c r="F104" s="2636"/>
      <c r="G104" s="2327"/>
      <c r="H104" s="2689"/>
      <c r="I104" s="2747"/>
      <c r="J104" s="2748"/>
    </row>
    <row r="105" ht="15" spans="1:10">
      <c r="A105" s="2669" t="s">
        <v>803</v>
      </c>
      <c r="B105" s="2670"/>
      <c r="C105" s="2670"/>
      <c r="D105" s="2671"/>
      <c r="E105" s="2429"/>
      <c r="F105" s="2695" t="s">
        <v>804</v>
      </c>
      <c r="G105" s="2696"/>
      <c r="H105" s="2697" t="str">
        <f>C108</f>
        <v>总额（元）</v>
      </c>
      <c r="I105" s="2706">
        <f>SUMIF(I106:I108,"&lt;9E307")</f>
        <v>0</v>
      </c>
      <c r="J105" s="2746"/>
    </row>
    <row r="106" ht="14.25" spans="1:17">
      <c r="A106" s="2636" t="s">
        <v>801</v>
      </c>
      <c r="B106" s="2327"/>
      <c r="C106" s="2689" t="str">
        <f>B101</f>
        <v>总价（元）</v>
      </c>
      <c r="D106" s="2706">
        <f ca="1">H121</f>
        <v>10966254</v>
      </c>
      <c r="E106" s="2429"/>
      <c r="F106" s="2701" t="s">
        <v>805</v>
      </c>
      <c r="G106" s="2702"/>
      <c r="H106" s="2697" t="str">
        <f>C109</f>
        <v>总额（元）</v>
      </c>
      <c r="I106" s="2749">
        <f>IF(D36="同一抵押权人同一抵押物续贷",C36&amp;"（续贷，未扣减，详见特别提示）",C36)</f>
        <v>0</v>
      </c>
      <c r="J106" s="2563"/>
      <c r="L106" s="2750" t="str">
        <f>IF(D123=0,"本次评估不存在"&amp;A123&amp;"。","本次评估"&amp;A123&amp;"为"&amp;D123&amp;"元人民币。")</f>
        <v>本次评估不存在估价师所知悉的法定优先受偿款。</v>
      </c>
      <c r="M106" s="2429"/>
      <c r="N106" s="2429"/>
      <c r="O106" s="2429"/>
      <c r="P106" s="2429"/>
      <c r="Q106" s="2429"/>
    </row>
    <row r="107" ht="13.5" spans="1:10">
      <c r="A107" s="2636"/>
      <c r="B107" s="2327"/>
      <c r="C107" s="2689" t="s">
        <v>800</v>
      </c>
      <c r="D107" s="2619">
        <f ca="1">I121</f>
        <v>66563</v>
      </c>
      <c r="E107" s="2429"/>
      <c r="F107" s="2701" t="s">
        <v>806</v>
      </c>
      <c r="G107" s="2702"/>
      <c r="H107" s="2697" t="str">
        <f>C110</f>
        <v>总额（元）</v>
      </c>
      <c r="I107" s="2619">
        <f>C37</f>
        <v>0</v>
      </c>
      <c r="J107" s="2563"/>
    </row>
    <row r="108" ht="13.5" spans="1:10">
      <c r="A108" s="2707" t="s">
        <v>804</v>
      </c>
      <c r="B108" s="2708"/>
      <c r="C108" s="2697" t="str">
        <f>IF(H19="元","总额（元）","总额（万元）")</f>
        <v>总额（元）</v>
      </c>
      <c r="D108" s="2706">
        <f>IF(D36="正常操作",I106+I107+I108,I107+I108)</f>
        <v>0</v>
      </c>
      <c r="E108" s="2429"/>
      <c r="F108" s="2701" t="s">
        <v>807</v>
      </c>
      <c r="G108" s="2702"/>
      <c r="H108" s="2697" t="str">
        <f>C111</f>
        <v>总额（元）</v>
      </c>
      <c r="I108" s="2619">
        <f>C38</f>
        <v>0</v>
      </c>
      <c r="J108" s="2563"/>
    </row>
    <row r="109" ht="13.5" spans="1:10">
      <c r="A109" s="2701" t="s">
        <v>805</v>
      </c>
      <c r="B109" s="2702"/>
      <c r="C109" s="2697" t="str">
        <f>C108</f>
        <v>总额（元）</v>
      </c>
      <c r="D109" s="2619">
        <f>IF(D36="同一抵押权人同一抵押物续贷",C36&amp;"（未扣减，详见特别提示）",C36)</f>
        <v>0</v>
      </c>
      <c r="E109" s="2429"/>
      <c r="F109" s="2636"/>
      <c r="G109" s="2327"/>
      <c r="H109" s="552"/>
      <c r="I109" s="2751"/>
      <c r="J109" s="2752"/>
    </row>
    <row r="110" ht="28.5" customHeight="1" spans="1:10">
      <c r="A110" s="2701" t="s">
        <v>806</v>
      </c>
      <c r="B110" s="2702"/>
      <c r="C110" s="2697" t="str">
        <f>C108</f>
        <v>总额（元）</v>
      </c>
      <c r="D110" s="2619">
        <f>C37</f>
        <v>0</v>
      </c>
      <c r="E110" s="2429"/>
      <c r="F110" s="2709" t="str">
        <f>IF(项目基本情况!F5="已注销","——","3.房地产抵押价值")</f>
        <v>3.房地产抵押价值</v>
      </c>
      <c r="G110" s="2518"/>
      <c r="H110" s="2872" t="str">
        <f>C112</f>
        <v>总价（元）</v>
      </c>
      <c r="I110" s="2706">
        <f ca="1">IF(F110="——","——",I102-I105)</f>
        <v>10966254</v>
      </c>
      <c r="J110" s="2746"/>
    </row>
    <row r="111" ht="13.5" spans="1:10">
      <c r="A111" s="2701" t="s">
        <v>807</v>
      </c>
      <c r="B111" s="2702"/>
      <c r="C111" s="2697" t="str">
        <f>C108</f>
        <v>总额（元）</v>
      </c>
      <c r="D111" s="2619">
        <f>C38</f>
        <v>0</v>
      </c>
      <c r="E111" s="2429"/>
      <c r="F111" s="2710"/>
      <c r="G111" s="2527"/>
      <c r="H111" s="2689" t="s">
        <v>800</v>
      </c>
      <c r="I111" s="2753">
        <f ca="1">D113</f>
        <v>66563</v>
      </c>
      <c r="J111" s="2754"/>
    </row>
    <row r="112" ht="26.25" customHeight="1" spans="1:10">
      <c r="A112" s="2636" t="str">
        <f>IF(项目基本情况!F5="已注销","——","3.房地产抵押价值")</f>
        <v>3.房地产抵押价值</v>
      </c>
      <c r="B112" s="2327"/>
      <c r="C112" s="2689" t="str">
        <f>B101</f>
        <v>总价（元）</v>
      </c>
      <c r="D112" s="2706">
        <f ca="1">IF(A112="——","——",D106-D108)</f>
        <v>10966254</v>
      </c>
      <c r="E112" s="2429"/>
      <c r="F112" s="2709" t="str">
        <f>IF(项目基本情况!F5="已注销及未注销","4.抵押担保权已注销时的房地产抵押价值",IF(项目基本情况!F5="已注销","3.抵押担保权已注销时的房地产抵押价值","——"))</f>
        <v>——</v>
      </c>
      <c r="G112" s="2518"/>
      <c r="H112" s="2872" t="str">
        <f>C114</f>
        <v>总价（元）</v>
      </c>
      <c r="I112" s="2706" t="str">
        <f ca="1">IF(F112="——","——",I102-I107-I108)</f>
        <v>——</v>
      </c>
      <c r="J112" s="2746"/>
    </row>
    <row r="113" ht="13.5" spans="1:10">
      <c r="A113" s="2636"/>
      <c r="B113" s="2327"/>
      <c r="C113" s="2689" t="s">
        <v>800</v>
      </c>
      <c r="D113" s="2619">
        <f ca="1">ROUND(IF(D112=D106,D107,IF(H19="元",D112/项目基本情况!C12,D112*10000/项目基本情况!C12)),0)</f>
        <v>66563</v>
      </c>
      <c r="E113" s="2429"/>
      <c r="F113" s="2710"/>
      <c r="G113" s="2527"/>
      <c r="H113" s="2689" t="s">
        <v>800</v>
      </c>
      <c r="I113" s="2619" t="str">
        <f ca="1">D115</f>
        <v>——</v>
      </c>
      <c r="J113" s="2563"/>
    </row>
    <row r="114" ht="13.5" spans="1:10">
      <c r="A114" s="2636" t="str">
        <f>IF(项目基本情况!F5="已注销及未注销","4.抵押担保权已注销时的房地产抵押价值",IF(项目基本情况!F5="已注销","3.抵押担保权已注销时的房地产抵押价值","——"))</f>
        <v>——</v>
      </c>
      <c r="B114" s="2327"/>
      <c r="C114" s="2689" t="str">
        <f>B101</f>
        <v>总价（元）</v>
      </c>
      <c r="D114" s="2706" t="str">
        <f ca="1">IF(A114="——","——",D106-D110-D111)</f>
        <v>——</v>
      </c>
      <c r="E114" s="2429"/>
      <c r="F114" s="2709" t="str">
        <f>IF(项目基本情况!G5="抵押净值",IF(OR(项目基本情况!F5="已注销",项目基本情况!F5="房地产抵押价值"),"4.抵押净值","5.抵押净值"),"——")</f>
        <v>——</v>
      </c>
      <c r="G114" s="2518"/>
      <c r="H114" s="2689" t="str">
        <f>C116</f>
        <v>总价（元）</v>
      </c>
      <c r="I114" s="2706" t="str">
        <f ca="1">IF(F114="——","——",O59)</f>
        <v>——</v>
      </c>
      <c r="J114" s="2746"/>
    </row>
    <row r="115" ht="14.25" spans="1:10">
      <c r="A115" s="2636"/>
      <c r="B115" s="2327"/>
      <c r="C115" s="2689" t="s">
        <v>800</v>
      </c>
      <c r="D115" s="2619" t="str">
        <f ca="1">IF(A114="——","——",ROUND(IF(D114=D106,D107,IF(H19="元",D114/项目基本情况!C12,D114*10000/项目基本情况!C12)),0))</f>
        <v>——</v>
      </c>
      <c r="E115" s="2429"/>
      <c r="F115" s="2711"/>
      <c r="G115" s="2712"/>
      <c r="H115" s="2713" t="s">
        <v>800</v>
      </c>
      <c r="I115" s="2717" t="str">
        <f ca="1">D117</f>
        <v>——</v>
      </c>
      <c r="J115" s="2563"/>
    </row>
    <row r="116" ht="15.75" spans="1:16">
      <c r="A116" s="2636" t="str">
        <f>IF(项目基本情况!G5="抵押净值",IF(OR(项目基本情况!F5="已注销",项目基本情况!F5="房地产抵押价值"),"4.抵押净值","5.抵押净值"),"——")</f>
        <v>——</v>
      </c>
      <c r="B116" s="2327"/>
      <c r="C116" s="2689" t="str">
        <f>B101</f>
        <v>总价（元）</v>
      </c>
      <c r="D116" s="2706" t="str">
        <f ca="1">IF(A116="——","——",O59)</f>
        <v>——</v>
      </c>
      <c r="E116" s="2429"/>
      <c r="F116" s="2714"/>
      <c r="G116" s="2714"/>
      <c r="H116" s="2715"/>
      <c r="I116" s="2715"/>
      <c r="J116" s="2755"/>
      <c r="O116" s="1709"/>
      <c r="P116" s="1709"/>
    </row>
    <row r="117" ht="14.25" spans="1:16">
      <c r="A117" s="2716"/>
      <c r="B117" s="2650"/>
      <c r="C117" s="2713" t="s">
        <v>800</v>
      </c>
      <c r="D117" s="2717" t="str">
        <f ca="1">IF(D116=D112,D113,IF(A116="——","——",O61))</f>
        <v>——</v>
      </c>
      <c r="E117" s="2429"/>
      <c r="F117" s="2873" t="str">
        <f>IF(B32="总价","（以上估价结果中单价为总价除以建筑面积得出）","（以上估价结果中总价为楼面单价乘以建筑面积得出）")</f>
        <v>（以上估价结果中总价为楼面单价乘以建筑面积得出）</v>
      </c>
      <c r="G117" s="2873"/>
      <c r="H117" s="2873"/>
      <c r="I117" s="2873"/>
      <c r="J117" s="2756"/>
      <c r="O117" s="1709"/>
      <c r="P117" s="1709"/>
    </row>
    <row r="118" ht="15" spans="1:10">
      <c r="A118" s="2718" t="s">
        <v>808</v>
      </c>
      <c r="B118" s="2719"/>
      <c r="C118" s="2719"/>
      <c r="D118" s="2719"/>
      <c r="E118" s="2719"/>
      <c r="F118" s="2719"/>
      <c r="G118" s="2719"/>
      <c r="H118" s="2719"/>
      <c r="I118" s="2719"/>
      <c r="J118" s="2757"/>
    </row>
    <row r="119" ht="13.5" spans="1:10">
      <c r="A119" s="2543" t="s">
        <v>809</v>
      </c>
      <c r="B119" s="2177" t="s">
        <v>356</v>
      </c>
      <c r="C119" s="2177" t="s">
        <v>810</v>
      </c>
      <c r="D119" s="2720" t="s">
        <v>811</v>
      </c>
      <c r="E119" s="2721"/>
      <c r="F119" s="2171" t="s">
        <v>653</v>
      </c>
      <c r="G119" s="2171"/>
      <c r="H119" s="2171" t="s">
        <v>812</v>
      </c>
      <c r="I119" s="2619"/>
      <c r="J119" s="2563"/>
    </row>
    <row r="120" ht="13.5" spans="1:10">
      <c r="A120" s="2543"/>
      <c r="B120" s="447"/>
      <c r="C120" s="447"/>
      <c r="D120" s="2171" t="s">
        <v>813</v>
      </c>
      <c r="E120" s="2171" t="s">
        <v>814</v>
      </c>
      <c r="F120" s="2171" t="s">
        <v>813</v>
      </c>
      <c r="G120" s="2171" t="s">
        <v>814</v>
      </c>
      <c r="H120" s="2171" t="s">
        <v>813</v>
      </c>
      <c r="I120" s="2619" t="s">
        <v>814</v>
      </c>
      <c r="J120" s="2563"/>
    </row>
    <row r="121" ht="13.5" spans="1:10">
      <c r="A121" s="2543" t="str">
        <f>项目基本情况!I1</f>
        <v>北京市房地产</v>
      </c>
      <c r="B121" s="2171">
        <f>项目基本情况!C12</f>
        <v>164.75</v>
      </c>
      <c r="C121" s="2171">
        <f>项目基本情况!C13</f>
        <v>0</v>
      </c>
      <c r="D121" s="2171">
        <f ca="1">ROUND(IF(B32="总价",C34,IF('数据-取费表'!B3="万元",E121*B121/10000,E121*B121)),0)</f>
        <v>9869678</v>
      </c>
      <c r="E121" s="2171">
        <f ca="1">ROUND(IF(B32="楼面单价",C34,IF(H19="元",D121/B121,D121*10000/B121)),0)</f>
        <v>59907</v>
      </c>
      <c r="F121" s="2171">
        <f ca="1">ROUND(IF(B32="总价",C35,IF('数据-取费表'!B3="万元",G121*B121/10000,G121*B121)),0)</f>
        <v>1096576</v>
      </c>
      <c r="G121" s="2171">
        <f ca="1">ROUND(IF(B32="楼面单价",C35,IF(H19="元",F121/B121,F121*10000/B121)),0)</f>
        <v>6656</v>
      </c>
      <c r="H121" s="2171">
        <f ca="1">ROUND(IF(B32="总价",C32,IF('数据-取费表'!B3="万元",I121*B121/10000,I121*B121)),0)</f>
        <v>10966254</v>
      </c>
      <c r="I121" s="2619">
        <f ca="1">ROUND(IF(B32="楼面单价",C32,IF(H19="元",H121/B121,H121*10000/B121)),0)</f>
        <v>66563</v>
      </c>
      <c r="J121" s="2563"/>
    </row>
    <row r="122" ht="13.5" spans="1:10">
      <c r="A122" s="2543" t="s">
        <v>815</v>
      </c>
      <c r="B122" s="2171"/>
      <c r="C122" s="2171"/>
      <c r="D122" s="2723" t="str">
        <f ca="1">IF(H19="元",NUMBERSTRING(INT(D121),2)&amp;"元整",NUMBERSTRING(INT(D121*10000),2)&amp;"元整")</f>
        <v>玖佰捌拾陆万玖仟陆佰柒拾捌元整</v>
      </c>
      <c r="E122" s="2724"/>
      <c r="F122" s="2723" t="str">
        <f ca="1">IF(H19="元",NUMBERSTRING(INT(F121),2)&amp;"元整",NUMBERSTRING(INT(F121*10000),2)&amp;"元整")</f>
        <v>壹佰零玖万陆仟伍佰柒拾陆元整</v>
      </c>
      <c r="G122" s="2724"/>
      <c r="H122" s="2723" t="str">
        <f ca="1">IF(H19="元",NUMBERSTRING(INT(H121),2)&amp;"元整",NUMBERSTRING(INT(H121*10000),2)&amp;"元整")</f>
        <v>壹仟零玖拾陆万陆仟贰佰伍拾肆元整</v>
      </c>
      <c r="I122" s="2758"/>
      <c r="J122" s="2759"/>
    </row>
    <row r="123" ht="13.5" spans="1:10">
      <c r="A123" s="2678" t="str">
        <f>IF(项目基本情况!D5="房地产市场价值","——",MID(A108,3,LEN(A108)-2))</f>
        <v>估价师所知悉的法定优先受偿款</v>
      </c>
      <c r="B123" s="2680"/>
      <c r="C123" s="2679"/>
      <c r="D123" s="2686">
        <f>I105</f>
        <v>0</v>
      </c>
      <c r="E123" s="2680"/>
      <c r="F123" s="2680"/>
      <c r="G123" s="2680"/>
      <c r="H123" s="2680"/>
      <c r="I123" s="2745"/>
      <c r="J123" s="2746"/>
    </row>
    <row r="124" ht="13.5" spans="1:10">
      <c r="A124" s="2725" t="s">
        <v>815</v>
      </c>
      <c r="B124" s="2150"/>
      <c r="C124" s="2546"/>
      <c r="D124" s="2726">
        <f>H109</f>
        <v>0</v>
      </c>
      <c r="E124" s="2727"/>
      <c r="F124" s="2727"/>
      <c r="G124" s="2727"/>
      <c r="H124" s="2727"/>
      <c r="I124" s="2760"/>
      <c r="J124" s="2761"/>
    </row>
    <row r="125" ht="13.5" spans="1:10">
      <c r="A125" s="2636" t="str">
        <f>IF(项目基本情况!D5="房地产市场价值","——",MID(A112,3,LEN(A112)-2))</f>
        <v>房地产抵押价值</v>
      </c>
      <c r="B125" s="2327"/>
      <c r="C125" s="2327"/>
      <c r="D125" s="2686">
        <f ca="1">I110</f>
        <v>10966254</v>
      </c>
      <c r="E125" s="2680"/>
      <c r="F125" s="2680"/>
      <c r="G125" s="2680"/>
      <c r="H125" s="2680"/>
      <c r="I125" s="2745"/>
      <c r="J125" s="2746"/>
    </row>
    <row r="126" ht="13.5" spans="1:10">
      <c r="A126" s="2543" t="s">
        <v>815</v>
      </c>
      <c r="B126" s="2171"/>
      <c r="C126" s="2171"/>
      <c r="D126" s="2726">
        <f ca="1">I111</f>
        <v>66563</v>
      </c>
      <c r="E126" s="2727"/>
      <c r="F126" s="2727"/>
      <c r="G126" s="2727"/>
      <c r="H126" s="2727"/>
      <c r="I126" s="2760"/>
      <c r="J126" s="2761"/>
    </row>
    <row r="127" ht="14.25" spans="1:10">
      <c r="A127" s="2636" t="str">
        <f>IF(项目基本情况!D5="房地产市场价值","——",MID(A114,3,LEN(A114)-2))</f>
        <v/>
      </c>
      <c r="B127" s="2327"/>
      <c r="C127" s="2327"/>
      <c r="D127" s="2516" t="str">
        <f ca="1">I112</f>
        <v>——</v>
      </c>
      <c r="E127" s="2517"/>
      <c r="F127" s="2517"/>
      <c r="G127" s="2517"/>
      <c r="H127" s="2517"/>
      <c r="I127" s="2784"/>
      <c r="J127" s="2746"/>
    </row>
    <row r="128" ht="15" spans="1:10">
      <c r="A128" s="2543" t="s">
        <v>815</v>
      </c>
      <c r="B128" s="2171"/>
      <c r="C128" s="2149"/>
      <c r="D128" s="2762" t="str">
        <f ca="1">I113</f>
        <v>——</v>
      </c>
      <c r="E128" s="2762"/>
      <c r="F128" s="2762"/>
      <c r="G128" s="2762"/>
      <c r="H128" s="2762"/>
      <c r="I128" s="2762"/>
      <c r="J128" s="2761"/>
    </row>
    <row r="129" ht="15" spans="1:10">
      <c r="A129" s="2636" t="str">
        <f>IF(项目基本情况!D5="房地产市场价值","——",MID(F114,3,LEN(F114)-2))</f>
        <v/>
      </c>
      <c r="B129" s="2327"/>
      <c r="C129" s="2686"/>
      <c r="D129" s="2763" t="str">
        <f ca="1">I114</f>
        <v>——</v>
      </c>
      <c r="E129" s="2763"/>
      <c r="F129" s="2763"/>
      <c r="G129" s="2763"/>
      <c r="H129" s="2763"/>
      <c r="I129" s="2763"/>
      <c r="J129" s="2746"/>
    </row>
    <row r="130" ht="15" spans="1:10">
      <c r="A130" s="2551" t="s">
        <v>815</v>
      </c>
      <c r="B130" s="2552"/>
      <c r="C130" s="2552"/>
      <c r="D130" s="2764">
        <f>H116</f>
        <v>0</v>
      </c>
      <c r="E130" s="2765"/>
      <c r="F130" s="2765"/>
      <c r="G130" s="2765"/>
      <c r="H130" s="2765"/>
      <c r="I130" s="2785"/>
      <c r="J130" s="2761"/>
    </row>
    <row r="131" ht="13.5" spans="1:10">
      <c r="A131" s="2511" t="str">
        <f>IF(H19="元","单位：平方米、元、元/平方米（币种：人民币）","单位：平方米、万元、元/平方米（币种：人民币）")</f>
        <v>单位：平方米、元、元/平方米（币种：人民币）</v>
      </c>
      <c r="B131" s="2511"/>
      <c r="C131" s="2511"/>
      <c r="D131" s="2511"/>
      <c r="E131" s="2511"/>
      <c r="F131" s="2511"/>
      <c r="G131" s="2511"/>
      <c r="H131" s="2511"/>
      <c r="I131" s="2511"/>
      <c r="J131" s="2786"/>
    </row>
    <row r="132" ht="14.25" spans="1:10">
      <c r="A132" s="2766" t="str">
        <f>IF(B32="总价","（以上估价结果中楼面单价为总价除以建筑面积得出）","（以上估价结果中总价为楼面单价乘以建筑面积得出）")</f>
        <v>（以上估价结果中总价为楼面单价乘以建筑面积得出）</v>
      </c>
      <c r="B132" s="2766"/>
      <c r="C132" s="2766"/>
      <c r="D132" s="2766"/>
      <c r="E132" s="2766"/>
      <c r="F132" s="2766"/>
      <c r="G132" s="2766"/>
      <c r="H132" s="2766"/>
      <c r="I132" s="2766"/>
      <c r="J132" s="2752"/>
    </row>
    <row r="133" customHeight="1" spans="1:10">
      <c r="A133" s="2767" t="s">
        <v>816</v>
      </c>
      <c r="B133" s="2768"/>
      <c r="C133" s="2769" t="s">
        <v>817</v>
      </c>
      <c r="D133" s="2770"/>
      <c r="E133" s="2770"/>
      <c r="F133" s="2770"/>
      <c r="G133" s="2770"/>
      <c r="H133" s="2771"/>
      <c r="I133" s="2787"/>
      <c r="J133" s="2788"/>
    </row>
    <row r="134" customHeight="1" spans="1:10">
      <c r="A134" s="2772">
        <v>1</v>
      </c>
      <c r="B134" s="2773"/>
      <c r="C134" s="2773"/>
      <c r="D134" s="2770"/>
      <c r="E134" s="2770"/>
      <c r="F134" s="2770"/>
      <c r="G134" s="2770"/>
      <c r="H134" s="2771"/>
      <c r="I134" s="2787"/>
      <c r="J134" s="2788"/>
    </row>
    <row r="135" customHeight="1" spans="1:10">
      <c r="A135" s="2772">
        <v>2</v>
      </c>
      <c r="B135" s="2773"/>
      <c r="C135" s="2773"/>
      <c r="D135" s="2770"/>
      <c r="E135" s="2770"/>
      <c r="F135" s="2770"/>
      <c r="G135" s="2770"/>
      <c r="H135" s="2771"/>
      <c r="I135" s="2787"/>
      <c r="J135" s="2788"/>
    </row>
    <row r="136" customHeight="1" spans="1:10">
      <c r="A136" s="2772">
        <v>3</v>
      </c>
      <c r="B136" s="2773"/>
      <c r="C136" s="2773"/>
      <c r="D136" s="2770"/>
      <c r="E136" s="2770"/>
      <c r="F136" s="1709"/>
      <c r="G136" s="1709"/>
      <c r="H136" s="1709"/>
      <c r="I136" s="1709"/>
      <c r="J136" s="2789"/>
    </row>
    <row r="137" customHeight="1" spans="1:10">
      <c r="A137" s="2774"/>
      <c r="B137" s="2775"/>
      <c r="C137" s="2775"/>
      <c r="D137" s="2776"/>
      <c r="E137" s="2776"/>
      <c r="F137" s="2776"/>
      <c r="G137" s="2776"/>
      <c r="H137" s="2777"/>
      <c r="I137" s="2790"/>
      <c r="J137" s="2788"/>
    </row>
    <row r="138" customHeight="1" spans="1:10">
      <c r="A138" s="2773"/>
      <c r="B138" s="2773"/>
      <c r="C138" s="2773"/>
      <c r="D138" s="2770"/>
      <c r="E138" s="2770"/>
      <c r="F138" s="2770"/>
      <c r="G138" s="2770"/>
      <c r="H138" s="2771"/>
      <c r="I138" s="1712"/>
      <c r="J138" s="2789"/>
    </row>
    <row r="139" customHeight="1" spans="1:10">
      <c r="A139" s="1712"/>
      <c r="B139" s="1712"/>
      <c r="C139" s="1712"/>
      <c r="D139" s="1712"/>
      <c r="E139" s="1712"/>
      <c r="F139" s="2778" t="s">
        <v>818</v>
      </c>
      <c r="G139" s="2779"/>
      <c r="H139" s="2779"/>
      <c r="I139" s="2791" t="s">
        <v>819</v>
      </c>
      <c r="J139" s="2792"/>
    </row>
    <row r="140" customHeight="1" spans="1:10">
      <c r="A140" s="1712"/>
      <c r="B140" s="2780" t="s">
        <v>820</v>
      </c>
      <c r="C140" s="1712"/>
      <c r="D140" s="1712"/>
      <c r="E140" s="1712"/>
      <c r="F140" s="1712"/>
      <c r="G140" s="1712"/>
      <c r="H140" s="1712"/>
      <c r="I140" s="1712"/>
      <c r="J140" s="2789"/>
    </row>
    <row r="141" customHeight="1" spans="1:10">
      <c r="A141" s="1712"/>
      <c r="B141" s="1712"/>
      <c r="C141" s="1712"/>
      <c r="D141" s="1712"/>
      <c r="E141" s="1712"/>
      <c r="F141" s="1712"/>
      <c r="G141" s="1712"/>
      <c r="H141" s="1712"/>
      <c r="I141" s="1712"/>
      <c r="J141" s="2789"/>
    </row>
    <row r="142" customHeight="1" spans="1:10">
      <c r="A142" s="1712"/>
      <c r="B142" s="2779"/>
      <c r="C142" s="2779"/>
      <c r="D142" s="2779"/>
      <c r="E142" s="2779"/>
      <c r="F142" s="2779"/>
      <c r="G142" s="2779"/>
      <c r="H142" s="2779"/>
      <c r="I142" s="2791" t="s">
        <v>821</v>
      </c>
      <c r="J142" s="2792"/>
    </row>
    <row r="143" customHeight="1" spans="1:10">
      <c r="A143" s="1712"/>
      <c r="B143" s="2780" t="s">
        <v>822</v>
      </c>
      <c r="C143" s="1712"/>
      <c r="D143" s="1712"/>
      <c r="E143" s="1712"/>
      <c r="F143" s="1712"/>
      <c r="G143" s="1712"/>
      <c r="H143" s="1712"/>
      <c r="I143" s="1712"/>
      <c r="J143" s="2789"/>
    </row>
    <row r="144" customHeight="1" spans="1:10">
      <c r="A144" s="1712"/>
      <c r="B144" s="2780"/>
      <c r="C144" s="1712"/>
      <c r="D144" s="1712"/>
      <c r="E144" s="1712"/>
      <c r="F144" s="1712"/>
      <c r="G144" s="1712"/>
      <c r="H144" s="1712"/>
      <c r="I144" s="1712"/>
      <c r="J144" s="2789"/>
    </row>
    <row r="145" customHeight="1" spans="1:10">
      <c r="A145" s="1712"/>
      <c r="B145" s="2779"/>
      <c r="C145" s="2779"/>
      <c r="D145" s="2779"/>
      <c r="E145" s="2779"/>
      <c r="F145" s="2779"/>
      <c r="G145" s="2779"/>
      <c r="H145" s="2779"/>
      <c r="I145" s="2791" t="s">
        <v>821</v>
      </c>
      <c r="J145" s="2792"/>
    </row>
    <row r="146" customHeight="1" spans="1:10">
      <c r="A146" s="1712"/>
      <c r="B146" s="2780"/>
      <c r="C146" s="2781"/>
      <c r="D146" s="2782"/>
      <c r="E146" s="2782"/>
      <c r="F146" s="2783"/>
      <c r="G146" s="1712"/>
      <c r="H146" s="1712"/>
      <c r="I146" s="1712"/>
      <c r="J146" s="2789"/>
    </row>
    <row r="147" s="1709" customFormat="1" customHeight="1" spans="1:36">
      <c r="A147" s="1712"/>
      <c r="B147" s="2780"/>
      <c r="C147" s="2781"/>
      <c r="D147" s="2782"/>
      <c r="E147" s="2782"/>
      <c r="F147" s="1712"/>
      <c r="G147" s="1712"/>
      <c r="H147" s="1712"/>
      <c r="I147" s="1712"/>
      <c r="J147" s="2789"/>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89"/>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89"/>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89"/>
    </row>
    <row r="151" s="1712" customFormat="1" customHeight="1" spans="10:10">
      <c r="J151" s="2789"/>
    </row>
    <row r="152" s="1712" customFormat="1" customHeight="1" spans="10:10">
      <c r="J152" s="2789"/>
    </row>
    <row r="153" s="1712" customFormat="1" customHeight="1" spans="10:10">
      <c r="J153" s="2789"/>
    </row>
    <row r="154" s="1712" customFormat="1" customHeight="1" spans="10:10">
      <c r="J154" s="2789"/>
    </row>
    <row r="155" s="1712" customFormat="1" customHeight="1" spans="10:10">
      <c r="J155" s="2789"/>
    </row>
    <row r="156" s="1712" customFormat="1" customHeight="1" spans="10:10">
      <c r="J156" s="2789"/>
    </row>
    <row r="157" s="1712" customFormat="1" customHeight="1" spans="10:10">
      <c r="J157" s="2789"/>
    </row>
    <row r="158" s="1712" customFormat="1" customHeight="1" spans="10:10">
      <c r="J158" s="2789"/>
    </row>
    <row r="159" s="1712" customFormat="1" customHeight="1" spans="10:10">
      <c r="J159" s="2789"/>
    </row>
    <row r="160" s="1712" customFormat="1" customHeight="1" spans="10:10">
      <c r="J160" s="2789"/>
    </row>
    <row r="161" s="1712" customFormat="1" customHeight="1" spans="10:10">
      <c r="J161" s="2789"/>
    </row>
    <row r="162" s="1712" customFormat="1" customHeight="1" spans="10:10">
      <c r="J162" s="2789"/>
    </row>
    <row r="163" s="1712" customFormat="1" customHeight="1" spans="10:10">
      <c r="J163" s="2789"/>
    </row>
    <row r="164" s="1712" customFormat="1" customHeight="1" spans="10:10">
      <c r="J164" s="2789"/>
    </row>
    <row r="165" s="1712" customFormat="1" customHeight="1" spans="10:10">
      <c r="J165" s="2789"/>
    </row>
    <row r="166" s="1712" customFormat="1" customHeight="1" spans="10:10">
      <c r="J166" s="2789"/>
    </row>
    <row r="167" s="1712" customFormat="1" customHeight="1" spans="10:10">
      <c r="J167" s="2789"/>
    </row>
    <row r="168" s="1712" customFormat="1" customHeight="1" spans="10:10">
      <c r="J168" s="2789"/>
    </row>
    <row r="169" s="1712" customFormat="1" customHeight="1" spans="10:10">
      <c r="J169" s="2789"/>
    </row>
    <row r="170" s="1712" customFormat="1" customHeight="1" spans="10:10">
      <c r="J170" s="2789"/>
    </row>
    <row r="171" s="1712" customFormat="1" customHeight="1" spans="10:10">
      <c r="J171" s="2789"/>
    </row>
    <row r="172" s="1712" customFormat="1" customHeight="1" spans="10:10">
      <c r="J172" s="2789"/>
    </row>
    <row r="173" s="1712" customFormat="1" customHeight="1" spans="10:10">
      <c r="J173" s="2789"/>
    </row>
    <row r="174" s="1712" customFormat="1" customHeight="1" spans="10:10">
      <c r="J174" s="2789"/>
    </row>
    <row r="175" s="1712" customFormat="1" customHeight="1" spans="10:10">
      <c r="J175" s="2789"/>
    </row>
    <row r="176" s="1712" customFormat="1" customHeight="1" spans="10:10">
      <c r="J176" s="2789"/>
    </row>
    <row r="177" s="1712" customFormat="1" customHeight="1" spans="10:10">
      <c r="J177" s="2789"/>
    </row>
    <row r="178" s="1712" customFormat="1" customHeight="1" spans="10:10">
      <c r="J178" s="2789"/>
    </row>
    <row r="179" s="1712" customFormat="1" customHeight="1" spans="10:10">
      <c r="J179" s="2789"/>
    </row>
    <row r="180" s="1712" customFormat="1" customHeight="1" spans="10:10">
      <c r="J180" s="2789"/>
    </row>
    <row r="181" s="1712" customFormat="1" customHeight="1" spans="10:10">
      <c r="J181" s="2789"/>
    </row>
    <row r="182" s="1712" customFormat="1" customHeight="1" spans="10:10">
      <c r="J182" s="2789"/>
    </row>
    <row r="183" s="1712" customFormat="1" customHeight="1" spans="10:10">
      <c r="J183" s="2789"/>
    </row>
    <row r="184" s="1712" customFormat="1" customHeight="1" spans="10:10">
      <c r="J184" s="2789"/>
    </row>
    <row r="185" s="1712" customFormat="1" customHeight="1" spans="10:10">
      <c r="J185" s="2789"/>
    </row>
    <row r="186" s="1712" customFormat="1" customHeight="1" spans="10:10">
      <c r="J186" s="2789"/>
    </row>
    <row r="187" s="1712" customFormat="1" customHeight="1" spans="10:10">
      <c r="J187" s="2789"/>
    </row>
    <row r="188" s="1712" customFormat="1" customHeight="1" spans="10:10">
      <c r="J188" s="2789"/>
    </row>
    <row r="189" s="1712" customFormat="1" customHeight="1" spans="10:10">
      <c r="J189" s="2789"/>
    </row>
    <row r="190" s="1712" customFormat="1" customHeight="1" spans="10:10">
      <c r="J190" s="2789"/>
    </row>
    <row r="191" s="1712" customFormat="1" customHeight="1" spans="10:10">
      <c r="J191" s="2789"/>
    </row>
    <row r="192" s="1712" customFormat="1" customHeight="1" spans="10:10">
      <c r="J192" s="2789"/>
    </row>
    <row r="193" s="1712" customFormat="1" customHeight="1" spans="10:10">
      <c r="J193" s="2789"/>
    </row>
    <row r="194" s="1712" customFormat="1" customHeight="1" spans="10:10">
      <c r="J194" s="2789"/>
    </row>
    <row r="195" s="1712" customFormat="1" customHeight="1" spans="10:10">
      <c r="J195" s="2789"/>
    </row>
    <row r="196" s="1712" customFormat="1" customHeight="1" spans="10:10">
      <c r="J196" s="2789"/>
    </row>
    <row r="197" s="1712" customFormat="1" customHeight="1" spans="10:10">
      <c r="J197" s="2789"/>
    </row>
    <row r="198" s="1712" customFormat="1" customHeight="1" spans="10:10">
      <c r="J198" s="2789"/>
    </row>
    <row r="199" s="1712" customFormat="1" customHeight="1" spans="10:10">
      <c r="J199" s="2789"/>
    </row>
    <row r="200" s="1712" customFormat="1" customHeight="1" spans="10:10">
      <c r="J200" s="2789"/>
    </row>
    <row r="201" s="1712" customFormat="1" customHeight="1" spans="10:10">
      <c r="J201" s="2789"/>
    </row>
    <row r="202" s="1712" customFormat="1" customHeight="1" spans="10:10">
      <c r="J202" s="2789"/>
    </row>
    <row r="203" s="1712" customFormat="1" customHeight="1" spans="10:10">
      <c r="J203" s="2789"/>
    </row>
    <row r="204" s="1712" customFormat="1" customHeight="1" spans="10:10">
      <c r="J204" s="2789"/>
    </row>
    <row r="205" s="1712" customFormat="1" customHeight="1" spans="10:10">
      <c r="J205" s="2789"/>
    </row>
    <row r="206" s="1712" customFormat="1" customHeight="1" spans="10:10">
      <c r="J206" s="2789"/>
    </row>
    <row r="207" s="1712" customFormat="1" customHeight="1" spans="10:10">
      <c r="J207" s="2789"/>
    </row>
    <row r="208" s="1712" customFormat="1" customHeight="1" spans="10:10">
      <c r="J208" s="2789"/>
    </row>
    <row r="209" s="1712" customFormat="1" customHeight="1" spans="10:10">
      <c r="J209" s="2789"/>
    </row>
    <row r="210" s="1712" customFormat="1" customHeight="1" spans="10:10">
      <c r="J210" s="2789"/>
    </row>
    <row r="211" s="1712" customFormat="1" customHeight="1" spans="10:10">
      <c r="J211" s="2789"/>
    </row>
    <row r="212" s="1712" customFormat="1" customHeight="1" spans="10:10">
      <c r="J212" s="2789"/>
    </row>
    <row r="213" s="1712" customFormat="1" customHeight="1" spans="10:10">
      <c r="J213" s="2789"/>
    </row>
    <row r="214" s="1712" customFormat="1" customHeight="1" spans="10:10">
      <c r="J214" s="2789"/>
    </row>
    <row r="215" s="1712" customFormat="1" customHeight="1" spans="10:10">
      <c r="J215" s="2789"/>
    </row>
    <row r="216" s="1712" customFormat="1" customHeight="1" spans="10:10">
      <c r="J216" s="2789"/>
    </row>
    <row r="217" s="1712" customFormat="1" customHeight="1" spans="10:10">
      <c r="J217" s="2789"/>
    </row>
    <row r="218" s="1712" customFormat="1" customHeight="1" spans="10:10">
      <c r="J218" s="2789"/>
    </row>
    <row r="219" s="1712" customFormat="1" customHeight="1" spans="10:10">
      <c r="J219" s="2789"/>
    </row>
    <row r="220" s="1712" customFormat="1" customHeight="1" spans="10:10">
      <c r="J220" s="2789"/>
    </row>
    <row r="221" s="1712" customFormat="1" customHeight="1" spans="10:10">
      <c r="J221" s="2789"/>
    </row>
    <row r="222" s="1712" customFormat="1" customHeight="1" spans="10:10">
      <c r="J222" s="2789"/>
    </row>
    <row r="223" s="1712" customFormat="1" customHeight="1" spans="10:10">
      <c r="J223" s="2789"/>
    </row>
    <row r="224" s="1712" customFormat="1" customHeight="1" spans="10:10">
      <c r="J224" s="2789"/>
    </row>
    <row r="225" s="1712" customFormat="1" customHeight="1" spans="10:10">
      <c r="J225" s="2789"/>
    </row>
    <row r="226" s="1712" customFormat="1" customHeight="1" spans="10:10">
      <c r="J226" s="2789"/>
    </row>
    <row r="227" s="1712" customFormat="1" customHeight="1" spans="10:10">
      <c r="J227" s="2789"/>
    </row>
    <row r="228" s="1712" customFormat="1" customHeight="1" spans="10:10">
      <c r="J228" s="2789"/>
    </row>
    <row r="229" s="1712" customFormat="1" customHeight="1" spans="10:10">
      <c r="J229" s="2789"/>
    </row>
    <row r="230" s="1712" customFormat="1" customHeight="1" spans="10:10">
      <c r="J230" s="2789"/>
    </row>
    <row r="231" s="1712" customFormat="1" customHeight="1" spans="10:10">
      <c r="J231" s="2789"/>
    </row>
    <row r="232" s="1712" customFormat="1" customHeight="1" spans="10:10">
      <c r="J232" s="2789"/>
    </row>
    <row r="233" s="1712" customFormat="1" customHeight="1" spans="10:10">
      <c r="J233" s="2789"/>
    </row>
    <row r="234" s="1712" customFormat="1" customHeight="1" spans="10:10">
      <c r="J234" s="2789"/>
    </row>
    <row r="235" s="1712" customFormat="1" customHeight="1" spans="10:10">
      <c r="J235" s="2789"/>
    </row>
    <row r="236" s="1712" customFormat="1" customHeight="1" spans="10:10">
      <c r="J236" s="2789"/>
    </row>
    <row r="237" s="1712" customFormat="1" customHeight="1" spans="10:10">
      <c r="J237" s="2789"/>
    </row>
    <row r="238" s="1712" customFormat="1" customHeight="1" spans="10:10">
      <c r="J238" s="2789"/>
    </row>
    <row r="239" s="1712" customFormat="1" customHeight="1" spans="10:10">
      <c r="J239" s="2789"/>
    </row>
    <row r="240" s="1712" customFormat="1" customHeight="1" spans="10:10">
      <c r="J240" s="2789"/>
    </row>
    <row r="241" s="1712" customFormat="1" customHeight="1" spans="10:10">
      <c r="J241" s="2789"/>
    </row>
    <row r="242" s="1712" customFormat="1" customHeight="1" spans="10:10">
      <c r="J242" s="2789"/>
    </row>
    <row r="243" s="1712" customFormat="1" customHeight="1" spans="10:10">
      <c r="J243" s="2789"/>
    </row>
    <row r="244" s="1712" customFormat="1" customHeight="1" spans="10:10">
      <c r="J244" s="2789"/>
    </row>
    <row r="245" s="1712" customFormat="1" customHeight="1" spans="10:10">
      <c r="J245" s="2789"/>
    </row>
    <row r="246" s="1712" customFormat="1" customHeight="1" spans="10:10">
      <c r="J246" s="2789"/>
    </row>
    <row r="247" s="1712" customFormat="1" customHeight="1" spans="10:10">
      <c r="J247" s="2789"/>
    </row>
    <row r="248" s="1712" customFormat="1" customHeight="1" spans="10:10">
      <c r="J248" s="2789"/>
    </row>
    <row r="249" s="1712" customFormat="1" customHeight="1" spans="10:10">
      <c r="J249" s="2789"/>
    </row>
    <row r="250" s="1712" customFormat="1" customHeight="1" spans="10:10">
      <c r="J250" s="2789"/>
    </row>
    <row r="251" s="1712" customFormat="1" customHeight="1" spans="10:10">
      <c r="J251" s="2789"/>
    </row>
    <row r="252" s="1712" customFormat="1" customHeight="1" spans="10:10">
      <c r="J252" s="2789"/>
    </row>
    <row r="253" s="1712" customFormat="1" customHeight="1" spans="10:10">
      <c r="J253" s="2789"/>
    </row>
    <row r="254" s="1712" customFormat="1" customHeight="1" spans="10:10">
      <c r="J254" s="2789"/>
    </row>
    <row r="255" s="1712" customFormat="1" customHeight="1" spans="10:10">
      <c r="J255" s="2789"/>
    </row>
    <row r="256" s="1712" customFormat="1" customHeight="1" spans="10:10">
      <c r="J256" s="2789"/>
    </row>
    <row r="257" s="1712" customFormat="1" customHeight="1" spans="10:10">
      <c r="J257" s="2789"/>
    </row>
    <row r="258" s="1712" customFormat="1" customHeight="1" spans="10:10">
      <c r="J258" s="2789"/>
    </row>
    <row r="259" s="1712" customFormat="1" customHeight="1" spans="10:10">
      <c r="J259" s="2789"/>
    </row>
    <row r="260" s="1712" customFormat="1" customHeight="1" spans="10:10">
      <c r="J260" s="2789"/>
    </row>
    <row r="261" s="1712" customFormat="1" customHeight="1" spans="10:10">
      <c r="J261" s="2789"/>
    </row>
    <row r="262" s="1712" customFormat="1" customHeight="1" spans="10:10">
      <c r="J262" s="2789"/>
    </row>
    <row r="263" s="1712" customFormat="1" customHeight="1" spans="10:10">
      <c r="J263" s="2789"/>
    </row>
    <row r="264" s="1712" customFormat="1" customHeight="1" spans="10:10">
      <c r="J264" s="2789"/>
    </row>
    <row r="265" s="1712" customFormat="1" customHeight="1" spans="10:10">
      <c r="J265" s="2789"/>
    </row>
    <row r="266" s="1712" customFormat="1" customHeight="1" spans="10:10">
      <c r="J266" s="2789"/>
    </row>
    <row r="267" s="1712" customFormat="1" customHeight="1" spans="10:10">
      <c r="J267" s="2789"/>
    </row>
    <row r="268" s="1712" customFormat="1" customHeight="1" spans="10:10">
      <c r="J268" s="2789"/>
    </row>
    <row r="269" s="1712" customFormat="1" customHeight="1" spans="10:10">
      <c r="J269" s="2789"/>
    </row>
    <row r="270" s="1712" customFormat="1" customHeight="1" spans="10:10">
      <c r="J270" s="2789"/>
    </row>
    <row r="271" s="1712" customFormat="1" customHeight="1" spans="10:10">
      <c r="J271" s="2789"/>
    </row>
    <row r="272" s="1712" customFormat="1" customHeight="1" spans="10:10">
      <c r="J272" s="2789"/>
    </row>
    <row r="273" s="1712" customFormat="1" customHeight="1" spans="10:10">
      <c r="J273" s="2789"/>
    </row>
    <row r="274" s="1712" customFormat="1" customHeight="1" spans="10:10">
      <c r="J274" s="2789"/>
    </row>
    <row r="275" s="1712" customFormat="1" customHeight="1" spans="10:10">
      <c r="J275" s="2789"/>
    </row>
    <row r="276" s="1712" customFormat="1" customHeight="1" spans="10:10">
      <c r="J276" s="2789"/>
    </row>
    <row r="277" s="1712" customFormat="1" customHeight="1" spans="10:10">
      <c r="J277" s="2789"/>
    </row>
    <row r="278" s="1712" customFormat="1" customHeight="1" spans="10:10">
      <c r="J278" s="2789"/>
    </row>
    <row r="279" s="1712" customFormat="1" customHeight="1" spans="10:10">
      <c r="J279" s="2789"/>
    </row>
    <row r="280" s="1712" customFormat="1" customHeight="1" spans="10:10">
      <c r="J280" s="2789"/>
    </row>
    <row r="281" s="1712" customFormat="1" customHeight="1" spans="10:10">
      <c r="J281" s="2789"/>
    </row>
    <row r="282" s="1712" customFormat="1" customHeight="1" spans="10:10">
      <c r="J282" s="2789"/>
    </row>
    <row r="283" s="1712" customFormat="1" customHeight="1" spans="10:10">
      <c r="J283" s="2789"/>
    </row>
    <row r="284" s="1712" customFormat="1" customHeight="1" spans="10:10">
      <c r="J284" s="2789"/>
    </row>
    <row r="285" s="1712" customFormat="1" customHeight="1" spans="10:10">
      <c r="J285" s="2789"/>
    </row>
    <row r="286" s="1712" customFormat="1" customHeight="1" spans="10:10">
      <c r="J286" s="2789"/>
    </row>
    <row r="287" s="1712" customFormat="1" customHeight="1" spans="10:10">
      <c r="J287" s="2789"/>
    </row>
    <row r="288" s="1712" customFormat="1" customHeight="1" spans="10:10">
      <c r="J288" s="2789"/>
    </row>
    <row r="289" s="1712" customFormat="1" customHeight="1" spans="10:10">
      <c r="J289" s="2789"/>
    </row>
    <row r="290" s="1712" customFormat="1" customHeight="1" spans="10:10">
      <c r="J290" s="2789"/>
    </row>
    <row r="291" s="1712" customFormat="1" customHeight="1" spans="10:10">
      <c r="J291" s="2789"/>
    </row>
    <row r="292" s="1712" customFormat="1" customHeight="1" spans="10:10">
      <c r="J292" s="2789"/>
    </row>
    <row r="293" s="1712" customFormat="1" customHeight="1" spans="10:10">
      <c r="J293" s="2789"/>
    </row>
    <row r="294" s="1712" customFormat="1" customHeight="1" spans="10:10">
      <c r="J294" s="2789"/>
    </row>
    <row r="295" s="1712" customFormat="1" customHeight="1" spans="10:10">
      <c r="J295" s="2789"/>
    </row>
    <row r="296" s="1712" customFormat="1" customHeight="1" spans="10:10">
      <c r="J296" s="2789"/>
    </row>
    <row r="297" s="1712" customFormat="1" customHeight="1" spans="10:10">
      <c r="J297" s="2789"/>
    </row>
    <row r="298" s="1712" customFormat="1" customHeight="1" spans="10:10">
      <c r="J298" s="2789"/>
    </row>
    <row r="299" s="1712" customFormat="1" customHeight="1" spans="10:10">
      <c r="J299" s="2789"/>
    </row>
    <row r="300" s="1712" customFormat="1" customHeight="1" spans="10:10">
      <c r="J300" s="2789"/>
    </row>
    <row r="301" s="1712" customFormat="1" customHeight="1" spans="10:10">
      <c r="J301" s="2789"/>
    </row>
    <row r="302" s="1712" customFormat="1" customHeight="1" spans="10:10">
      <c r="J302" s="2789"/>
    </row>
    <row r="303" s="1712" customFormat="1" customHeight="1" spans="10:10">
      <c r="J303" s="2789"/>
    </row>
    <row r="304" s="1712" customFormat="1" customHeight="1" spans="10:10">
      <c r="J304" s="2789"/>
    </row>
    <row r="305" s="1712" customFormat="1" customHeight="1" spans="10:10">
      <c r="J305" s="2789"/>
    </row>
    <row r="306" s="1712" customFormat="1" customHeight="1" spans="10:10">
      <c r="J306" s="2789"/>
    </row>
    <row r="307" s="1712" customFormat="1" customHeight="1" spans="10:10">
      <c r="J307" s="2789"/>
    </row>
    <row r="308" s="1712" customFormat="1" customHeight="1" spans="10:10">
      <c r="J308" s="2789"/>
    </row>
    <row r="309" s="1712" customFormat="1" customHeight="1" spans="10:10">
      <c r="J309" s="2789"/>
    </row>
    <row r="310" s="1712" customFormat="1" customHeight="1" spans="10:10">
      <c r="J310" s="2789"/>
    </row>
    <row r="311" s="1712" customFormat="1" customHeight="1" spans="10:10">
      <c r="J311" s="2789"/>
    </row>
    <row r="312" s="1712" customFormat="1" customHeight="1" spans="10:10">
      <c r="J312" s="2789"/>
    </row>
    <row r="313" s="1712" customFormat="1" customHeight="1" spans="10:10">
      <c r="J313" s="2789"/>
    </row>
    <row r="314" s="1712" customFormat="1" customHeight="1" spans="10:10">
      <c r="J314" s="2789"/>
    </row>
    <row r="315" s="1712" customFormat="1" customHeight="1" spans="10:10">
      <c r="J315" s="2789"/>
    </row>
    <row r="316" s="1712" customFormat="1" customHeight="1" spans="10:10">
      <c r="J316" s="2789"/>
    </row>
    <row r="317" s="1712" customFormat="1" customHeight="1" spans="10:10">
      <c r="J317" s="2789"/>
    </row>
    <row r="318" s="1712" customFormat="1" customHeight="1" spans="10:10">
      <c r="J318" s="2789"/>
    </row>
    <row r="319" s="1712" customFormat="1" customHeight="1" spans="10:10">
      <c r="J319" s="2789"/>
    </row>
    <row r="320" s="1712" customFormat="1" customHeight="1" spans="10:10">
      <c r="J320" s="2789"/>
    </row>
    <row r="321" s="1712" customFormat="1" customHeight="1" spans="10:10">
      <c r="J321" s="2789"/>
    </row>
    <row r="322" s="1712" customFormat="1" customHeight="1" spans="10:10">
      <c r="J322" s="2789"/>
    </row>
    <row r="323" s="1712" customFormat="1" customHeight="1" spans="10:10">
      <c r="J323" s="2789"/>
    </row>
    <row r="324" s="1712" customFormat="1" customHeight="1" spans="10:10">
      <c r="J324" s="2789"/>
    </row>
    <row r="325" s="1712" customFormat="1" customHeight="1" spans="10:10">
      <c r="J325" s="2789"/>
    </row>
    <row r="326" s="1712" customFormat="1" customHeight="1" spans="10:10">
      <c r="J326" s="2789"/>
    </row>
    <row r="327" s="1712" customFormat="1" customHeight="1" spans="10:10">
      <c r="J327" s="2789"/>
    </row>
    <row r="328" s="1712" customFormat="1" customHeight="1" spans="10:10">
      <c r="J328" s="2789"/>
    </row>
    <row r="329" s="1712" customFormat="1" customHeight="1" spans="10:10">
      <c r="J329" s="2789"/>
    </row>
    <row r="330" s="1712" customFormat="1" customHeight="1" spans="10:10">
      <c r="J330" s="2789"/>
    </row>
    <row r="331" s="1712" customFormat="1" customHeight="1" spans="10:10">
      <c r="J331" s="2789"/>
    </row>
    <row r="332" s="1712" customFormat="1" customHeight="1" spans="10:10">
      <c r="J332" s="2789"/>
    </row>
    <row r="333" s="1712" customFormat="1" customHeight="1" spans="10:10">
      <c r="J333" s="2789"/>
    </row>
    <row r="334" s="1712" customFormat="1" customHeight="1" spans="10:10">
      <c r="J334" s="2789"/>
    </row>
    <row r="335" s="1712" customFormat="1" customHeight="1" spans="10:10">
      <c r="J335" s="2789"/>
    </row>
    <row r="336" s="1712" customFormat="1" customHeight="1" spans="10:10">
      <c r="J336" s="2789"/>
    </row>
    <row r="337" s="1712" customFormat="1" customHeight="1" spans="10:10">
      <c r="J337" s="2789"/>
    </row>
    <row r="338" s="1712" customFormat="1" customHeight="1" spans="10:10">
      <c r="J338" s="2789"/>
    </row>
    <row r="339" s="1712" customFormat="1" customHeight="1" spans="10:10">
      <c r="J339" s="2789"/>
    </row>
    <row r="340" s="1712" customFormat="1" customHeight="1" spans="10:10">
      <c r="J340" s="2789"/>
    </row>
    <row r="341" s="1712" customFormat="1" customHeight="1" spans="10:10">
      <c r="J341" s="2789"/>
    </row>
    <row r="342" s="1712" customFormat="1" customHeight="1" spans="10:10">
      <c r="J342" s="2789"/>
    </row>
    <row r="343" s="1712" customFormat="1" customHeight="1" spans="10:10">
      <c r="J343" s="2789"/>
    </row>
    <row r="344" s="1712" customFormat="1" customHeight="1" spans="10:10">
      <c r="J344" s="2789"/>
    </row>
    <row r="345" s="1712" customFormat="1" customHeight="1" spans="10:10">
      <c r="J345" s="2789"/>
    </row>
    <row r="346" s="1712" customFormat="1" customHeight="1" spans="10:10">
      <c r="J346" s="2789"/>
    </row>
    <row r="347" s="1712" customFormat="1" customHeight="1" spans="10:10">
      <c r="J347" s="2789"/>
    </row>
    <row r="348" s="1712" customFormat="1" customHeight="1" spans="10:10">
      <c r="J348" s="2789"/>
    </row>
    <row r="349" s="1712" customFormat="1" customHeight="1" spans="10:10">
      <c r="J349" s="2789"/>
    </row>
    <row r="350" s="1712" customFormat="1" customHeight="1" spans="10:10">
      <c r="J350" s="2789"/>
    </row>
    <row r="351" s="1712" customFormat="1" customHeight="1" spans="10:10">
      <c r="J351" s="2789"/>
    </row>
    <row r="352" s="1712" customFormat="1" customHeight="1" spans="10:10">
      <c r="J352" s="2789"/>
    </row>
    <row r="353" s="1712" customFormat="1" customHeight="1" spans="10:10">
      <c r="J353" s="2789"/>
    </row>
    <row r="354" s="1712" customFormat="1" customHeight="1" spans="10:10">
      <c r="J354" s="2789"/>
    </row>
    <row r="355" s="1712" customFormat="1" customHeight="1" spans="10:10">
      <c r="J355" s="2789"/>
    </row>
    <row r="356" s="1712" customFormat="1" customHeight="1" spans="10:10">
      <c r="J356" s="2789"/>
    </row>
    <row r="357" s="1712" customFormat="1" customHeight="1" spans="10:10">
      <c r="J357" s="2789"/>
    </row>
    <row r="358" s="1712" customFormat="1" customHeight="1" spans="10:10">
      <c r="J358" s="2789"/>
    </row>
    <row r="359" s="1712" customFormat="1" customHeight="1" spans="10:10">
      <c r="J359" s="2789"/>
    </row>
    <row r="360" s="1712" customFormat="1" customHeight="1" spans="10:10">
      <c r="J360" s="2789"/>
    </row>
    <row r="361" s="1712" customFormat="1" customHeight="1" spans="10:10">
      <c r="J361" s="2789"/>
    </row>
    <row r="362" s="1712" customFormat="1" customHeight="1" spans="10:10">
      <c r="J362" s="2789"/>
    </row>
    <row r="363" s="1712" customFormat="1" customHeight="1" spans="10:10">
      <c r="J363" s="2789"/>
    </row>
    <row r="364" s="1712" customFormat="1" customHeight="1" spans="10:10">
      <c r="J364" s="2789"/>
    </row>
    <row r="365" s="1712" customFormat="1" customHeight="1" spans="10:10">
      <c r="J365" s="2789"/>
    </row>
    <row r="366" s="1712" customFormat="1" customHeight="1" spans="10:10">
      <c r="J366" s="2789"/>
    </row>
    <row r="367" s="1712" customFormat="1" customHeight="1" spans="10:10">
      <c r="J367" s="2789"/>
    </row>
    <row r="368" s="1712" customFormat="1" customHeight="1" spans="10:10">
      <c r="J368" s="2789"/>
    </row>
    <row r="369" s="1712" customFormat="1" customHeight="1" spans="10:10">
      <c r="J369" s="2789"/>
    </row>
    <row r="370" s="1712" customFormat="1" customHeight="1" spans="10:10">
      <c r="J370" s="2789"/>
    </row>
    <row r="371" s="1712" customFormat="1" customHeight="1" spans="10:10">
      <c r="J371" s="2789"/>
    </row>
    <row r="372" s="1712" customFormat="1" customHeight="1" spans="10:10">
      <c r="J372" s="2789"/>
    </row>
    <row r="373" s="1712" customFormat="1" customHeight="1" spans="10:10">
      <c r="J373" s="2789"/>
    </row>
    <row r="374" s="1712" customFormat="1" customHeight="1" spans="10:10">
      <c r="J374" s="2789"/>
    </row>
    <row r="375" s="1712" customFormat="1" customHeight="1" spans="10:10">
      <c r="J375" s="2789"/>
    </row>
    <row r="376" s="1712" customFormat="1" customHeight="1" spans="10:10">
      <c r="J376" s="2789"/>
    </row>
    <row r="377" s="1712" customFormat="1" customHeight="1" spans="10:10">
      <c r="J377" s="2789"/>
    </row>
    <row r="378" s="1712" customFormat="1" customHeight="1" spans="10:10">
      <c r="J378" s="2789"/>
    </row>
    <row r="379" s="1712" customFormat="1" customHeight="1" spans="10:10">
      <c r="J379" s="2789"/>
    </row>
    <row r="380" s="1712" customFormat="1" customHeight="1" spans="10:10">
      <c r="J380" s="2789"/>
    </row>
    <row r="381" s="1712" customFormat="1" customHeight="1" spans="10:10">
      <c r="J381" s="2789"/>
    </row>
    <row r="382" s="1712" customFormat="1" customHeight="1" spans="10:10">
      <c r="J382" s="2789"/>
    </row>
    <row r="383" s="1712" customFormat="1" customHeight="1" spans="10:10">
      <c r="J383" s="2789"/>
    </row>
    <row r="384" s="1712" customFormat="1" customHeight="1" spans="10:10">
      <c r="J384" s="2789"/>
    </row>
    <row r="385" s="1712" customFormat="1" customHeight="1" spans="10:10">
      <c r="J385" s="2789"/>
    </row>
    <row r="386" s="1712" customFormat="1" customHeight="1" spans="10:10">
      <c r="J386" s="2789"/>
    </row>
    <row r="387" s="1712" customFormat="1" customHeight="1" spans="10:10">
      <c r="J387" s="2789"/>
    </row>
    <row r="388" s="1712" customFormat="1" customHeight="1" spans="10:10">
      <c r="J388" s="2789"/>
    </row>
    <row r="389" s="1712" customFormat="1" customHeight="1" spans="10:10">
      <c r="J389" s="2789"/>
    </row>
    <row r="390" s="1712" customFormat="1" customHeight="1" spans="10:10">
      <c r="J390" s="2789"/>
    </row>
    <row r="391" s="1712" customFormat="1" customHeight="1" spans="10:10">
      <c r="J391" s="2789"/>
    </row>
    <row r="392" s="1712" customFormat="1" customHeight="1" spans="10:10">
      <c r="J392" s="2789"/>
    </row>
    <row r="393" s="1712" customFormat="1" customHeight="1" spans="10:10">
      <c r="J393" s="2789"/>
    </row>
    <row r="394" s="1712" customFormat="1" customHeight="1" spans="10:10">
      <c r="J394" s="2789"/>
    </row>
    <row r="395" s="1712" customFormat="1" customHeight="1" spans="10:10">
      <c r="J395" s="2789"/>
    </row>
    <row r="396" s="1712" customFormat="1" customHeight="1" spans="10:10">
      <c r="J396" s="2789"/>
    </row>
    <row r="397" s="1712" customFormat="1" customHeight="1" spans="10:10">
      <c r="J397" s="2789"/>
    </row>
    <row r="398" s="1712" customFormat="1" customHeight="1" spans="10:10">
      <c r="J398" s="2789"/>
    </row>
    <row r="399" s="1712" customFormat="1" customHeight="1" spans="10:10">
      <c r="J399" s="2789"/>
    </row>
    <row r="400" s="1712" customFormat="1" customHeight="1" spans="10:10">
      <c r="J400" s="2789"/>
    </row>
    <row r="401" s="1712" customFormat="1" customHeight="1" spans="10:10">
      <c r="J401" s="2789"/>
    </row>
    <row r="402" s="1712" customFormat="1" customHeight="1" spans="10:10">
      <c r="J402" s="2789"/>
    </row>
    <row r="403" s="2425" customFormat="1" customHeight="1" spans="10:27">
      <c r="J403" s="2427"/>
      <c r="K403" s="1712"/>
      <c r="L403" s="1712"/>
      <c r="M403" s="1712"/>
      <c r="N403" s="1712"/>
      <c r="O403" s="1712"/>
      <c r="P403" s="1712"/>
      <c r="Q403" s="1712"/>
      <c r="R403" s="1712"/>
      <c r="S403" s="1712"/>
      <c r="T403" s="1712"/>
      <c r="U403" s="1712"/>
      <c r="V403" s="1712"/>
      <c r="W403" s="1712"/>
      <c r="X403" s="1712"/>
      <c r="Y403" s="1712"/>
      <c r="Z403" s="1712"/>
      <c r="AA403" s="1712"/>
    </row>
    <row r="404" s="2425" customFormat="1" customHeight="1" spans="10:27">
      <c r="J404" s="2427"/>
      <c r="K404" s="1712"/>
      <c r="L404" s="1712"/>
      <c r="M404" s="1712"/>
      <c r="N404" s="1712"/>
      <c r="O404" s="1712"/>
      <c r="P404" s="1712"/>
      <c r="Q404" s="1712"/>
      <c r="R404" s="1712"/>
      <c r="S404" s="1712"/>
      <c r="T404" s="1712"/>
      <c r="U404" s="1712"/>
      <c r="V404" s="1712"/>
      <c r="W404" s="1712"/>
      <c r="X404" s="1712"/>
      <c r="Y404" s="1712"/>
      <c r="Z404" s="1712"/>
      <c r="AA404" s="1712"/>
    </row>
    <row r="405" s="2425" customFormat="1" customHeight="1" spans="10:27">
      <c r="J405" s="2427"/>
      <c r="K405" s="1712"/>
      <c r="L405" s="1712"/>
      <c r="M405" s="1712"/>
      <c r="N405" s="1712"/>
      <c r="O405" s="1712"/>
      <c r="P405" s="1712"/>
      <c r="Q405" s="1712"/>
      <c r="R405" s="1712"/>
      <c r="S405" s="1712"/>
      <c r="T405" s="1712"/>
      <c r="U405" s="1712"/>
      <c r="V405" s="1712"/>
      <c r="W405" s="1712"/>
      <c r="X405" s="1712"/>
      <c r="Y405" s="1712"/>
      <c r="Z405" s="1712"/>
      <c r="AA405" s="1712"/>
    </row>
    <row r="406" s="2425" customFormat="1" customHeight="1" spans="10:27">
      <c r="J406" s="2427"/>
      <c r="K406" s="1712"/>
      <c r="L406" s="1712"/>
      <c r="M406" s="1712"/>
      <c r="N406" s="1712"/>
      <c r="O406" s="1712"/>
      <c r="P406" s="1712"/>
      <c r="Q406" s="1712"/>
      <c r="R406" s="1712"/>
      <c r="S406" s="1712"/>
      <c r="T406" s="1712"/>
      <c r="U406" s="1712"/>
      <c r="V406" s="1712"/>
      <c r="W406" s="1712"/>
      <c r="X406" s="1712"/>
      <c r="Y406" s="1712"/>
      <c r="Z406" s="1712"/>
      <c r="AA406" s="1712"/>
    </row>
    <row r="407" s="2425" customFormat="1" customHeight="1" spans="10:27">
      <c r="J407" s="2427"/>
      <c r="K407" s="1712"/>
      <c r="L407" s="1712"/>
      <c r="M407" s="1712"/>
      <c r="N407" s="1712"/>
      <c r="O407" s="1712"/>
      <c r="P407" s="1712"/>
      <c r="Q407" s="1712"/>
      <c r="R407" s="1712"/>
      <c r="S407" s="1712"/>
      <c r="T407" s="1712"/>
      <c r="U407" s="1712"/>
      <c r="V407" s="1712"/>
      <c r="W407" s="1712"/>
      <c r="X407" s="1712"/>
      <c r="Y407" s="1712"/>
      <c r="Z407" s="1712"/>
      <c r="AA407" s="1712"/>
    </row>
    <row r="408" s="2425" customFormat="1" customHeight="1" spans="10:27">
      <c r="J408" s="2427"/>
      <c r="K408" s="1712"/>
      <c r="L408" s="1712"/>
      <c r="M408" s="1712"/>
      <c r="N408" s="1712"/>
      <c r="O408" s="1712"/>
      <c r="P408" s="1712"/>
      <c r="Q408" s="1712"/>
      <c r="R408" s="1712"/>
      <c r="S408" s="1712"/>
      <c r="T408" s="1712"/>
      <c r="U408" s="1712"/>
      <c r="V408" s="1712"/>
      <c r="W408" s="1712"/>
      <c r="X408" s="1712"/>
      <c r="Y408" s="1712"/>
      <c r="Z408" s="1712"/>
      <c r="AA408" s="1712"/>
    </row>
    <row r="409" s="2425" customFormat="1" customHeight="1" spans="10:27">
      <c r="J409" s="2427"/>
      <c r="K409" s="1712"/>
      <c r="L409" s="1712"/>
      <c r="M409" s="1712"/>
      <c r="N409" s="1712"/>
      <c r="O409" s="1712"/>
      <c r="P409" s="1712"/>
      <c r="Q409" s="1712"/>
      <c r="R409" s="1712"/>
      <c r="S409" s="1712"/>
      <c r="T409" s="1712"/>
      <c r="U409" s="1712"/>
      <c r="V409" s="1712"/>
      <c r="W409" s="1712"/>
      <c r="X409" s="1712"/>
      <c r="Y409" s="1712"/>
      <c r="Z409" s="1712"/>
      <c r="AA409" s="1712"/>
    </row>
    <row r="410" s="2425" customFormat="1" customHeight="1" spans="10:27">
      <c r="J410" s="2427"/>
      <c r="K410" s="1712"/>
      <c r="L410" s="1712"/>
      <c r="M410" s="1712"/>
      <c r="N410" s="1712"/>
      <c r="O410" s="1712"/>
      <c r="P410" s="1712"/>
      <c r="Q410" s="1712"/>
      <c r="R410" s="1712"/>
      <c r="S410" s="1712"/>
      <c r="T410" s="1712"/>
      <c r="U410" s="1712"/>
      <c r="V410" s="1712"/>
      <c r="W410" s="1712"/>
      <c r="X410" s="1712"/>
      <c r="Y410" s="1712"/>
      <c r="Z410" s="1712"/>
      <c r="AA410" s="1712"/>
    </row>
    <row r="411" s="2425" customFormat="1" customHeight="1" spans="10:27">
      <c r="J411" s="2427"/>
      <c r="K411" s="1712"/>
      <c r="L411" s="1712"/>
      <c r="M411" s="1712"/>
      <c r="N411" s="1712"/>
      <c r="O411" s="1712"/>
      <c r="P411" s="1712"/>
      <c r="Q411" s="1712"/>
      <c r="R411" s="1712"/>
      <c r="S411" s="1712"/>
      <c r="T411" s="1712"/>
      <c r="U411" s="1712"/>
      <c r="V411" s="1712"/>
      <c r="W411" s="1712"/>
      <c r="X411" s="1712"/>
      <c r="Y411" s="1712"/>
      <c r="Z411" s="1712"/>
      <c r="AA411" s="1712"/>
    </row>
    <row r="412" s="2425" customFormat="1" customHeight="1" spans="10:27">
      <c r="J412" s="2427"/>
      <c r="K412" s="1712"/>
      <c r="L412" s="1712"/>
      <c r="M412" s="1712"/>
      <c r="N412" s="1712"/>
      <c r="O412" s="1712"/>
      <c r="P412" s="1712"/>
      <c r="Q412" s="1712"/>
      <c r="R412" s="1712"/>
      <c r="S412" s="1712"/>
      <c r="T412" s="1712"/>
      <c r="U412" s="1712"/>
      <c r="V412" s="1712"/>
      <c r="W412" s="1712"/>
      <c r="X412" s="1712"/>
      <c r="Y412" s="1712"/>
      <c r="Z412" s="1712"/>
      <c r="AA412" s="1712"/>
    </row>
    <row r="413" s="2425" customFormat="1" customHeight="1" spans="10:27">
      <c r="J413" s="2427"/>
      <c r="K413" s="1712"/>
      <c r="L413" s="1712"/>
      <c r="M413" s="1712"/>
      <c r="N413" s="1712"/>
      <c r="O413" s="1712"/>
      <c r="P413" s="1712"/>
      <c r="Q413" s="1712"/>
      <c r="R413" s="1712"/>
      <c r="S413" s="1712"/>
      <c r="T413" s="1712"/>
      <c r="U413" s="1712"/>
      <c r="V413" s="1712"/>
      <c r="W413" s="1712"/>
      <c r="X413" s="1712"/>
      <c r="Y413" s="1712"/>
      <c r="Z413" s="1712"/>
      <c r="AA413" s="1712"/>
    </row>
    <row r="414" s="2425" customFormat="1" customHeight="1" spans="10:27">
      <c r="J414" s="2427"/>
      <c r="K414" s="1712"/>
      <c r="L414" s="1712"/>
      <c r="M414" s="1712"/>
      <c r="N414" s="1712"/>
      <c r="O414" s="1712"/>
      <c r="P414" s="1712"/>
      <c r="Q414" s="1712"/>
      <c r="R414" s="1712"/>
      <c r="S414" s="1712"/>
      <c r="T414" s="1712"/>
      <c r="U414" s="1712"/>
      <c r="V414" s="1712"/>
      <c r="W414" s="1712"/>
      <c r="X414" s="1712"/>
      <c r="Y414" s="1712"/>
      <c r="Z414" s="1712"/>
      <c r="AA414" s="1712"/>
    </row>
    <row r="415" s="2425" customFormat="1" customHeight="1" spans="10:27">
      <c r="J415" s="2427"/>
      <c r="K415" s="1712"/>
      <c r="L415" s="1712"/>
      <c r="M415" s="1712"/>
      <c r="N415" s="1712"/>
      <c r="O415" s="1712"/>
      <c r="P415" s="1712"/>
      <c r="Q415" s="1712"/>
      <c r="R415" s="1712"/>
      <c r="S415" s="1712"/>
      <c r="T415" s="1712"/>
      <c r="U415" s="1712"/>
      <c r="V415" s="1712"/>
      <c r="W415" s="1712"/>
      <c r="X415" s="1712"/>
      <c r="Y415" s="1712"/>
      <c r="Z415" s="1712"/>
      <c r="AA415" s="1712"/>
    </row>
    <row r="416" s="2425" customFormat="1" customHeight="1" spans="10:27">
      <c r="J416" s="2427"/>
      <c r="K416" s="1712"/>
      <c r="L416" s="1712"/>
      <c r="M416" s="1712"/>
      <c r="N416" s="1712"/>
      <c r="O416" s="1712"/>
      <c r="P416" s="1712"/>
      <c r="Q416" s="1712"/>
      <c r="R416" s="1712"/>
      <c r="S416" s="1712"/>
      <c r="T416" s="1712"/>
      <c r="U416" s="1712"/>
      <c r="V416" s="1712"/>
      <c r="W416" s="1712"/>
      <c r="X416" s="1712"/>
      <c r="Y416" s="1712"/>
      <c r="Z416" s="1712"/>
      <c r="AA416" s="1712"/>
    </row>
    <row r="417" s="2425" customFormat="1" customHeight="1" spans="10:27">
      <c r="J417" s="2427"/>
      <c r="K417" s="1712"/>
      <c r="L417" s="1712"/>
      <c r="M417" s="1712"/>
      <c r="N417" s="1712"/>
      <c r="O417" s="1712"/>
      <c r="P417" s="1712"/>
      <c r="Q417" s="1712"/>
      <c r="R417" s="1712"/>
      <c r="S417" s="1712"/>
      <c r="T417" s="1712"/>
      <c r="U417" s="1712"/>
      <c r="V417" s="1712"/>
      <c r="W417" s="1712"/>
      <c r="X417" s="1712"/>
      <c r="Y417" s="1712"/>
      <c r="Z417" s="1712"/>
      <c r="AA417" s="1712"/>
    </row>
    <row r="418" s="2425" customFormat="1" customHeight="1" spans="10:27">
      <c r="J418" s="2427"/>
      <c r="K418" s="1712"/>
      <c r="L418" s="1712"/>
      <c r="M418" s="1712"/>
      <c r="N418" s="1712"/>
      <c r="O418" s="1712"/>
      <c r="P418" s="1712"/>
      <c r="Q418" s="1712"/>
      <c r="R418" s="1712"/>
      <c r="S418" s="1712"/>
      <c r="T418" s="1712"/>
      <c r="U418" s="1712"/>
      <c r="V418" s="1712"/>
      <c r="W418" s="1712"/>
      <c r="X418" s="1712"/>
      <c r="Y418" s="1712"/>
      <c r="Z418" s="1712"/>
      <c r="AA418" s="1712"/>
    </row>
    <row r="419" s="2425" customFormat="1" customHeight="1" spans="10:27">
      <c r="J419" s="2427"/>
      <c r="K419" s="1712"/>
      <c r="L419" s="1712"/>
      <c r="M419" s="1712"/>
      <c r="N419" s="1712"/>
      <c r="O419" s="1712"/>
      <c r="P419" s="1712"/>
      <c r="Q419" s="1712"/>
      <c r="R419" s="1712"/>
      <c r="S419" s="1712"/>
      <c r="T419" s="1712"/>
      <c r="U419" s="1712"/>
      <c r="V419" s="1712"/>
      <c r="W419" s="1712"/>
      <c r="X419" s="1712"/>
      <c r="Y419" s="1712"/>
      <c r="Z419" s="1712"/>
      <c r="AA419" s="1712"/>
    </row>
    <row r="420" s="2425" customFormat="1" customHeight="1" spans="10:27">
      <c r="J420" s="2427"/>
      <c r="K420" s="1712"/>
      <c r="L420" s="1712"/>
      <c r="M420" s="1712"/>
      <c r="N420" s="1712"/>
      <c r="O420" s="1712"/>
      <c r="P420" s="1712"/>
      <c r="Q420" s="1712"/>
      <c r="R420" s="1712"/>
      <c r="S420" s="1712"/>
      <c r="T420" s="1712"/>
      <c r="U420" s="1712"/>
      <c r="V420" s="1712"/>
      <c r="W420" s="1712"/>
      <c r="X420" s="1712"/>
      <c r="Y420" s="1712"/>
      <c r="Z420" s="1712"/>
      <c r="AA420" s="1712"/>
    </row>
    <row r="421" s="2425" customFormat="1" customHeight="1" spans="10:27">
      <c r="J421" s="2427"/>
      <c r="K421" s="1712"/>
      <c r="L421" s="1712"/>
      <c r="M421" s="1712"/>
      <c r="N421" s="1712"/>
      <c r="O421" s="1712"/>
      <c r="P421" s="1712"/>
      <c r="Q421" s="1712"/>
      <c r="R421" s="1712"/>
      <c r="S421" s="1712"/>
      <c r="T421" s="1712"/>
      <c r="U421" s="1712"/>
      <c r="V421" s="1712"/>
      <c r="W421" s="1712"/>
      <c r="X421" s="1712"/>
      <c r="Y421" s="1712"/>
      <c r="Z421" s="1712"/>
      <c r="AA421" s="1712"/>
    </row>
    <row r="422" s="2425" customFormat="1" customHeight="1" spans="10:27">
      <c r="J422" s="2427"/>
      <c r="K422" s="1712"/>
      <c r="L422" s="1712"/>
      <c r="M422" s="1712"/>
      <c r="N422" s="1712"/>
      <c r="O422" s="1712"/>
      <c r="P422" s="1712"/>
      <c r="Q422" s="1712"/>
      <c r="R422" s="1712"/>
      <c r="S422" s="1712"/>
      <c r="T422" s="1712"/>
      <c r="U422" s="1712"/>
      <c r="V422" s="1712"/>
      <c r="W422" s="1712"/>
      <c r="X422" s="1712"/>
      <c r="Y422" s="1712"/>
      <c r="Z422" s="1712"/>
      <c r="AA422" s="1712"/>
    </row>
    <row r="423" s="2425" customFormat="1" customHeight="1" spans="10:27">
      <c r="J423" s="2427"/>
      <c r="K423" s="1712"/>
      <c r="L423" s="1712"/>
      <c r="M423" s="1712"/>
      <c r="N423" s="1712"/>
      <c r="O423" s="1712"/>
      <c r="P423" s="1712"/>
      <c r="Q423" s="1712"/>
      <c r="R423" s="1712"/>
      <c r="S423" s="1712"/>
      <c r="T423" s="1712"/>
      <c r="U423" s="1712"/>
      <c r="V423" s="1712"/>
      <c r="W423" s="1712"/>
      <c r="X423" s="1712"/>
      <c r="Y423" s="1712"/>
      <c r="Z423" s="1712"/>
      <c r="AA423" s="1712"/>
    </row>
    <row r="424" s="2425" customFormat="1" customHeight="1" spans="10:27">
      <c r="J424" s="2427"/>
      <c r="K424" s="1712"/>
      <c r="L424" s="1712"/>
      <c r="M424" s="1712"/>
      <c r="N424" s="1712"/>
      <c r="O424" s="1712"/>
      <c r="P424" s="1712"/>
      <c r="Q424" s="1712"/>
      <c r="R424" s="1712"/>
      <c r="S424" s="1712"/>
      <c r="T424" s="1712"/>
      <c r="U424" s="1712"/>
      <c r="V424" s="1712"/>
      <c r="W424" s="1712"/>
      <c r="X424" s="1712"/>
      <c r="Y424" s="1712"/>
      <c r="Z424" s="1712"/>
      <c r="AA424" s="1712"/>
    </row>
    <row r="425" s="2425" customFormat="1" customHeight="1" spans="10:27">
      <c r="J425" s="2427"/>
      <c r="K425" s="1712"/>
      <c r="L425" s="1712"/>
      <c r="M425" s="1712"/>
      <c r="N425" s="1712"/>
      <c r="O425" s="1712"/>
      <c r="P425" s="1712"/>
      <c r="Q425" s="1712"/>
      <c r="R425" s="1712"/>
      <c r="S425" s="1712"/>
      <c r="T425" s="1712"/>
      <c r="U425" s="1712"/>
      <c r="V425" s="1712"/>
      <c r="W425" s="1712"/>
      <c r="X425" s="1712"/>
      <c r="Y425" s="1712"/>
      <c r="Z425" s="1712"/>
      <c r="AA425" s="1712"/>
    </row>
    <row r="426" s="2425" customFormat="1" customHeight="1" spans="10:27">
      <c r="J426" s="2427"/>
      <c r="K426" s="1712"/>
      <c r="L426" s="1712"/>
      <c r="M426" s="1712"/>
      <c r="N426" s="1712"/>
      <c r="O426" s="1712"/>
      <c r="P426" s="1712"/>
      <c r="Q426" s="1712"/>
      <c r="R426" s="1712"/>
      <c r="S426" s="1712"/>
      <c r="T426" s="1712"/>
      <c r="U426" s="1712"/>
      <c r="V426" s="1712"/>
      <c r="W426" s="1712"/>
      <c r="X426" s="1712"/>
      <c r="Y426" s="1712"/>
      <c r="Z426" s="1712"/>
      <c r="AA426" s="1712"/>
    </row>
    <row r="427" s="2425" customFormat="1" customHeight="1" spans="10:27">
      <c r="J427" s="2427"/>
      <c r="K427" s="1712"/>
      <c r="L427" s="1712"/>
      <c r="M427" s="1712"/>
      <c r="N427" s="1712"/>
      <c r="O427" s="1712"/>
      <c r="P427" s="1712"/>
      <c r="Q427" s="1712"/>
      <c r="R427" s="1712"/>
      <c r="S427" s="1712"/>
      <c r="T427" s="1712"/>
      <c r="U427" s="1712"/>
      <c r="V427" s="1712"/>
      <c r="W427" s="1712"/>
      <c r="X427" s="1712"/>
      <c r="Y427" s="1712"/>
      <c r="Z427" s="1712"/>
      <c r="AA427" s="1712"/>
    </row>
    <row r="428" s="2425" customFormat="1" customHeight="1" spans="10:27">
      <c r="J428" s="2427"/>
      <c r="K428" s="1712"/>
      <c r="L428" s="1712"/>
      <c r="M428" s="1712"/>
      <c r="N428" s="1712"/>
      <c r="O428" s="1712"/>
      <c r="P428" s="1712"/>
      <c r="Q428" s="1712"/>
      <c r="R428" s="1712"/>
      <c r="S428" s="1712"/>
      <c r="T428" s="1712"/>
      <c r="U428" s="1712"/>
      <c r="V428" s="1712"/>
      <c r="W428" s="1712"/>
      <c r="X428" s="1712"/>
      <c r="Y428" s="1712"/>
      <c r="Z428" s="1712"/>
      <c r="AA428" s="1712"/>
    </row>
    <row r="429" s="2425" customFormat="1" customHeight="1" spans="10:27">
      <c r="J429" s="2427"/>
      <c r="K429" s="1712"/>
      <c r="L429" s="1712"/>
      <c r="M429" s="1712"/>
      <c r="N429" s="1712"/>
      <c r="O429" s="1712"/>
      <c r="P429" s="1712"/>
      <c r="Q429" s="1712"/>
      <c r="R429" s="1712"/>
      <c r="S429" s="1712"/>
      <c r="T429" s="1712"/>
      <c r="U429" s="1712"/>
      <c r="V429" s="1712"/>
      <c r="W429" s="1712"/>
      <c r="X429" s="1712"/>
      <c r="Y429" s="1712"/>
      <c r="Z429" s="1712"/>
      <c r="AA429" s="1712"/>
    </row>
    <row r="430" s="2425" customFormat="1" customHeight="1" spans="10:27">
      <c r="J430" s="2427"/>
      <c r="K430" s="1712"/>
      <c r="L430" s="1712"/>
      <c r="M430" s="1712"/>
      <c r="N430" s="1712"/>
      <c r="O430" s="1712"/>
      <c r="P430" s="1712"/>
      <c r="Q430" s="1712"/>
      <c r="R430" s="1712"/>
      <c r="S430" s="1712"/>
      <c r="T430" s="1712"/>
      <c r="U430" s="1712"/>
      <c r="V430" s="1712"/>
      <c r="W430" s="1712"/>
      <c r="X430" s="1712"/>
      <c r="Y430" s="1712"/>
      <c r="Z430" s="1712"/>
      <c r="AA430" s="1712"/>
    </row>
    <row r="431" s="2425" customFormat="1" customHeight="1" spans="10:27">
      <c r="J431" s="2427"/>
      <c r="K431" s="1712"/>
      <c r="L431" s="1712"/>
      <c r="M431" s="1712"/>
      <c r="N431" s="1712"/>
      <c r="O431" s="1712"/>
      <c r="P431" s="1712"/>
      <c r="Q431" s="1712"/>
      <c r="R431" s="1712"/>
      <c r="S431" s="1712"/>
      <c r="T431" s="1712"/>
      <c r="U431" s="1712"/>
      <c r="V431" s="1712"/>
      <c r="W431" s="1712"/>
      <c r="X431" s="1712"/>
      <c r="Y431" s="1712"/>
      <c r="Z431" s="1712"/>
      <c r="AA431" s="1712"/>
    </row>
    <row r="432" s="2425" customFormat="1" customHeight="1" spans="10:27">
      <c r="J432" s="2427"/>
      <c r="K432" s="1712"/>
      <c r="L432" s="1712"/>
      <c r="M432" s="1712"/>
      <c r="N432" s="1712"/>
      <c r="O432" s="1712"/>
      <c r="P432" s="1712"/>
      <c r="Q432" s="1712"/>
      <c r="R432" s="1712"/>
      <c r="S432" s="1712"/>
      <c r="T432" s="1712"/>
      <c r="U432" s="1712"/>
      <c r="V432" s="1712"/>
      <c r="W432" s="1712"/>
      <c r="X432" s="1712"/>
      <c r="Y432" s="1712"/>
      <c r="Z432" s="1712"/>
      <c r="AA432" s="1712"/>
    </row>
    <row r="433" s="2425" customFormat="1" customHeight="1" spans="10:27">
      <c r="J433" s="2427"/>
      <c r="K433" s="1712"/>
      <c r="L433" s="1712"/>
      <c r="M433" s="1712"/>
      <c r="N433" s="1712"/>
      <c r="O433" s="1712"/>
      <c r="P433" s="1712"/>
      <c r="Q433" s="1712"/>
      <c r="R433" s="1712"/>
      <c r="S433" s="1712"/>
      <c r="T433" s="1712"/>
      <c r="U433" s="1712"/>
      <c r="V433" s="1712"/>
      <c r="W433" s="1712"/>
      <c r="X433" s="1712"/>
      <c r="Y433" s="1712"/>
      <c r="Z433" s="1712"/>
      <c r="AA433" s="1712"/>
    </row>
    <row r="434" s="2425" customFormat="1" customHeight="1" spans="10:27">
      <c r="J434" s="2427"/>
      <c r="K434" s="1712"/>
      <c r="L434" s="1712"/>
      <c r="M434" s="1712"/>
      <c r="N434" s="1712"/>
      <c r="O434" s="1712"/>
      <c r="P434" s="1712"/>
      <c r="Q434" s="1712"/>
      <c r="R434" s="1712"/>
      <c r="S434" s="1712"/>
      <c r="T434" s="1712"/>
      <c r="U434" s="1712"/>
      <c r="V434" s="1712"/>
      <c r="W434" s="1712"/>
      <c r="X434" s="1712"/>
      <c r="Y434" s="1712"/>
      <c r="Z434" s="1712"/>
      <c r="AA434" s="1712"/>
    </row>
    <row r="435" s="2425" customFormat="1" customHeight="1" spans="10:27">
      <c r="J435" s="2427"/>
      <c r="K435" s="1712"/>
      <c r="L435" s="1712"/>
      <c r="M435" s="1712"/>
      <c r="N435" s="1712"/>
      <c r="O435" s="1712"/>
      <c r="P435" s="1712"/>
      <c r="Q435" s="1712"/>
      <c r="R435" s="1712"/>
      <c r="S435" s="1712"/>
      <c r="T435" s="1712"/>
      <c r="U435" s="1712"/>
      <c r="V435" s="1712"/>
      <c r="W435" s="1712"/>
      <c r="X435" s="1712"/>
      <c r="Y435" s="1712"/>
      <c r="Z435" s="1712"/>
      <c r="AA435" s="1712"/>
    </row>
    <row r="436" s="2425" customFormat="1" customHeight="1" spans="10:27">
      <c r="J436" s="2427"/>
      <c r="K436" s="1712"/>
      <c r="L436" s="1712"/>
      <c r="M436" s="1712"/>
      <c r="N436" s="1712"/>
      <c r="O436" s="1712"/>
      <c r="P436" s="1712"/>
      <c r="Q436" s="1712"/>
      <c r="R436" s="1712"/>
      <c r="S436" s="1712"/>
      <c r="T436" s="1712"/>
      <c r="U436" s="1712"/>
      <c r="V436" s="1712"/>
      <c r="W436" s="1712"/>
      <c r="X436" s="1712"/>
      <c r="Y436" s="1712"/>
      <c r="Z436" s="1712"/>
      <c r="AA436" s="1712"/>
    </row>
    <row r="437" s="2425" customFormat="1" customHeight="1" spans="10:27">
      <c r="J437" s="2427"/>
      <c r="K437" s="1712"/>
      <c r="L437" s="1712"/>
      <c r="M437" s="1712"/>
      <c r="N437" s="1712"/>
      <c r="O437" s="1712"/>
      <c r="P437" s="1712"/>
      <c r="Q437" s="1712"/>
      <c r="R437" s="1712"/>
      <c r="S437" s="1712"/>
      <c r="T437" s="1712"/>
      <c r="U437" s="1712"/>
      <c r="V437" s="1712"/>
      <c r="W437" s="1712"/>
      <c r="X437" s="1712"/>
      <c r="Y437" s="1712"/>
      <c r="Z437" s="1712"/>
      <c r="AA437" s="1712"/>
    </row>
    <row r="438" s="2425" customFormat="1" customHeight="1" spans="10:27">
      <c r="J438" s="2427"/>
      <c r="K438" s="1712"/>
      <c r="L438" s="1712"/>
      <c r="M438" s="1712"/>
      <c r="N438" s="1712"/>
      <c r="O438" s="1712"/>
      <c r="P438" s="1712"/>
      <c r="Q438" s="1712"/>
      <c r="R438" s="1712"/>
      <c r="S438" s="1712"/>
      <c r="T438" s="1712"/>
      <c r="U438" s="1712"/>
      <c r="V438" s="1712"/>
      <c r="W438" s="1712"/>
      <c r="X438" s="1712"/>
      <c r="Y438" s="1712"/>
      <c r="Z438" s="1712"/>
      <c r="AA438" s="1712"/>
    </row>
    <row r="439" s="2425" customFormat="1" customHeight="1" spans="10:27">
      <c r="J439" s="2427"/>
      <c r="K439" s="1712"/>
      <c r="L439" s="1712"/>
      <c r="M439" s="1712"/>
      <c r="N439" s="1712"/>
      <c r="O439" s="1712"/>
      <c r="P439" s="1712"/>
      <c r="Q439" s="1712"/>
      <c r="R439" s="1712"/>
      <c r="S439" s="1712"/>
      <c r="T439" s="1712"/>
      <c r="U439" s="1712"/>
      <c r="V439" s="1712"/>
      <c r="W439" s="1712"/>
      <c r="X439" s="1712"/>
      <c r="Y439" s="1712"/>
      <c r="Z439" s="1712"/>
      <c r="AA439" s="1712"/>
    </row>
    <row r="440" s="2425" customFormat="1" customHeight="1" spans="10:27">
      <c r="J440" s="2427"/>
      <c r="K440" s="1712"/>
      <c r="L440" s="1712"/>
      <c r="M440" s="1712"/>
      <c r="N440" s="1712"/>
      <c r="O440" s="1712"/>
      <c r="P440" s="1712"/>
      <c r="Q440" s="1712"/>
      <c r="R440" s="1712"/>
      <c r="S440" s="1712"/>
      <c r="T440" s="1712"/>
      <c r="U440" s="1712"/>
      <c r="V440" s="1712"/>
      <c r="W440" s="1712"/>
      <c r="X440" s="1712"/>
      <c r="Y440" s="1712"/>
      <c r="Z440" s="1712"/>
      <c r="AA440" s="1712"/>
    </row>
    <row r="441" s="2425" customFormat="1" customHeight="1" spans="10:27">
      <c r="J441" s="2427"/>
      <c r="K441" s="1712"/>
      <c r="L441" s="1712"/>
      <c r="M441" s="1712"/>
      <c r="N441" s="1712"/>
      <c r="O441" s="1712"/>
      <c r="P441" s="1712"/>
      <c r="Q441" s="1712"/>
      <c r="R441" s="1712"/>
      <c r="S441" s="1712"/>
      <c r="T441" s="1712"/>
      <c r="U441" s="1712"/>
      <c r="V441" s="1712"/>
      <c r="W441" s="1712"/>
      <c r="X441" s="1712"/>
      <c r="Y441" s="1712"/>
      <c r="Z441" s="1712"/>
      <c r="AA441" s="1712"/>
    </row>
    <row r="442" s="2425" customFormat="1" customHeight="1" spans="10:27">
      <c r="J442" s="2427"/>
      <c r="K442" s="1712"/>
      <c r="L442" s="1712"/>
      <c r="M442" s="1712"/>
      <c r="N442" s="1712"/>
      <c r="O442" s="1712"/>
      <c r="P442" s="1712"/>
      <c r="Q442" s="1712"/>
      <c r="R442" s="1712"/>
      <c r="S442" s="1712"/>
      <c r="T442" s="1712"/>
      <c r="U442" s="1712"/>
      <c r="V442" s="1712"/>
      <c r="W442" s="1712"/>
      <c r="X442" s="1712"/>
      <c r="Y442" s="1712"/>
      <c r="Z442" s="1712"/>
      <c r="AA442" s="1712"/>
    </row>
    <row r="443" s="2425" customFormat="1" customHeight="1" spans="10:27">
      <c r="J443" s="2427"/>
      <c r="K443" s="1712"/>
      <c r="L443" s="1712"/>
      <c r="M443" s="1712"/>
      <c r="N443" s="1712"/>
      <c r="O443" s="1712"/>
      <c r="P443" s="1712"/>
      <c r="Q443" s="1712"/>
      <c r="R443" s="1712"/>
      <c r="S443" s="1712"/>
      <c r="T443" s="1712"/>
      <c r="U443" s="1712"/>
      <c r="V443" s="1712"/>
      <c r="W443" s="1712"/>
      <c r="X443" s="1712"/>
      <c r="Y443" s="1712"/>
      <c r="Z443" s="1712"/>
      <c r="AA443" s="1712"/>
    </row>
    <row r="444" s="2425" customFormat="1" customHeight="1" spans="10:27">
      <c r="J444" s="2427"/>
      <c r="K444" s="1712"/>
      <c r="L444" s="1712"/>
      <c r="M444" s="1712"/>
      <c r="N444" s="1712"/>
      <c r="O444" s="1712"/>
      <c r="P444" s="1712"/>
      <c r="Q444" s="1712"/>
      <c r="R444" s="1712"/>
      <c r="S444" s="1712"/>
      <c r="T444" s="1712"/>
      <c r="U444" s="1712"/>
      <c r="V444" s="1712"/>
      <c r="W444" s="1712"/>
      <c r="X444" s="1712"/>
      <c r="Y444" s="1712"/>
      <c r="Z444" s="1712"/>
      <c r="AA444" s="1712"/>
    </row>
    <row r="445" s="2425" customFormat="1" customHeight="1" spans="10:27">
      <c r="J445" s="2427"/>
      <c r="K445" s="1712"/>
      <c r="L445" s="1712"/>
      <c r="M445" s="1712"/>
      <c r="N445" s="1712"/>
      <c r="O445" s="1712"/>
      <c r="P445" s="1712"/>
      <c r="Q445" s="1712"/>
      <c r="R445" s="1712"/>
      <c r="S445" s="1712"/>
      <c r="T445" s="1712"/>
      <c r="U445" s="1712"/>
      <c r="V445" s="1712"/>
      <c r="W445" s="1712"/>
      <c r="X445" s="1712"/>
      <c r="Y445" s="1712"/>
      <c r="Z445" s="1712"/>
      <c r="AA445" s="1712"/>
    </row>
    <row r="446" s="2425" customFormat="1" customHeight="1" spans="10:27">
      <c r="J446" s="2427"/>
      <c r="K446" s="1712"/>
      <c r="L446" s="1712"/>
      <c r="M446" s="1712"/>
      <c r="N446" s="1712"/>
      <c r="O446" s="1712"/>
      <c r="P446" s="1712"/>
      <c r="Q446" s="1712"/>
      <c r="R446" s="1712"/>
      <c r="S446" s="1712"/>
      <c r="T446" s="1712"/>
      <c r="U446" s="1712"/>
      <c r="V446" s="1712"/>
      <c r="W446" s="1712"/>
      <c r="X446" s="1712"/>
      <c r="Y446" s="1712"/>
      <c r="Z446" s="1712"/>
      <c r="AA446" s="1712"/>
    </row>
    <row r="447" s="2425" customFormat="1" customHeight="1" spans="10:27">
      <c r="J447" s="2427"/>
      <c r="K447" s="1712"/>
      <c r="L447" s="1712"/>
      <c r="M447" s="1712"/>
      <c r="N447" s="1712"/>
      <c r="O447" s="1712"/>
      <c r="P447" s="1712"/>
      <c r="Q447" s="1712"/>
      <c r="R447" s="1712"/>
      <c r="S447" s="1712"/>
      <c r="T447" s="1712"/>
      <c r="U447" s="1712"/>
      <c r="V447" s="1712"/>
      <c r="W447" s="1712"/>
      <c r="X447" s="1712"/>
      <c r="Y447" s="1712"/>
      <c r="Z447" s="1712"/>
      <c r="AA447" s="1712"/>
    </row>
    <row r="448" s="2425" customFormat="1" customHeight="1" spans="10:27">
      <c r="J448" s="2427"/>
      <c r="K448" s="1712"/>
      <c r="L448" s="1712"/>
      <c r="M448" s="1712"/>
      <c r="N448" s="1712"/>
      <c r="O448" s="1712"/>
      <c r="P448" s="1712"/>
      <c r="Q448" s="1712"/>
      <c r="R448" s="1712"/>
      <c r="S448" s="1712"/>
      <c r="T448" s="1712"/>
      <c r="U448" s="1712"/>
      <c r="V448" s="1712"/>
      <c r="W448" s="1712"/>
      <c r="X448" s="1712"/>
      <c r="Y448" s="1712"/>
      <c r="Z448" s="1712"/>
      <c r="AA448" s="1712"/>
    </row>
    <row r="449" s="2425" customFormat="1" customHeight="1" spans="10:27">
      <c r="J449" s="2427"/>
      <c r="K449" s="1712"/>
      <c r="L449" s="1712"/>
      <c r="M449" s="1712"/>
      <c r="N449" s="1712"/>
      <c r="O449" s="1712"/>
      <c r="P449" s="1712"/>
      <c r="Q449" s="1712"/>
      <c r="R449" s="1712"/>
      <c r="S449" s="1712"/>
      <c r="T449" s="1712"/>
      <c r="U449" s="1712"/>
      <c r="V449" s="1712"/>
      <c r="W449" s="1712"/>
      <c r="X449" s="1712"/>
      <c r="Y449" s="1712"/>
      <c r="Z449" s="1712"/>
      <c r="AA449" s="1712"/>
    </row>
    <row r="450" s="2425" customFormat="1" customHeight="1" spans="10:27">
      <c r="J450" s="2427"/>
      <c r="K450" s="1712"/>
      <c r="L450" s="1712"/>
      <c r="M450" s="1712"/>
      <c r="N450" s="1712"/>
      <c r="O450" s="1712"/>
      <c r="P450" s="1712"/>
      <c r="Q450" s="1712"/>
      <c r="R450" s="1712"/>
      <c r="S450" s="1712"/>
      <c r="T450" s="1712"/>
      <c r="U450" s="1712"/>
      <c r="V450" s="1712"/>
      <c r="W450" s="1712"/>
      <c r="X450" s="1712"/>
      <c r="Y450" s="1712"/>
      <c r="Z450" s="1712"/>
      <c r="AA450" s="1712"/>
    </row>
    <row r="451" s="2425" customFormat="1" customHeight="1" spans="10:27">
      <c r="J451" s="2427"/>
      <c r="K451" s="1712"/>
      <c r="L451" s="1712"/>
      <c r="M451" s="1712"/>
      <c r="N451" s="1712"/>
      <c r="O451" s="1712"/>
      <c r="P451" s="1712"/>
      <c r="Q451" s="1712"/>
      <c r="R451" s="1712"/>
      <c r="S451" s="1712"/>
      <c r="T451" s="1712"/>
      <c r="U451" s="1712"/>
      <c r="V451" s="1712"/>
      <c r="W451" s="1712"/>
      <c r="X451" s="1712"/>
      <c r="Y451" s="1712"/>
      <c r="Z451" s="1712"/>
      <c r="AA451" s="1712"/>
    </row>
    <row r="452" s="2425" customFormat="1" customHeight="1" spans="10:27">
      <c r="J452" s="2427"/>
      <c r="K452" s="1712"/>
      <c r="L452" s="1712"/>
      <c r="M452" s="1712"/>
      <c r="N452" s="1712"/>
      <c r="O452" s="1712"/>
      <c r="P452" s="1712"/>
      <c r="Q452" s="1712"/>
      <c r="R452" s="1712"/>
      <c r="S452" s="1712"/>
      <c r="T452" s="1712"/>
      <c r="U452" s="1712"/>
      <c r="V452" s="1712"/>
      <c r="W452" s="1712"/>
      <c r="X452" s="1712"/>
      <c r="Y452" s="1712"/>
      <c r="Z452" s="1712"/>
      <c r="AA452" s="1712"/>
    </row>
    <row r="453" s="2425" customFormat="1" customHeight="1" spans="10:27">
      <c r="J453" s="2427"/>
      <c r="K453" s="1712"/>
      <c r="L453" s="1712"/>
      <c r="M453" s="1712"/>
      <c r="N453" s="1712"/>
      <c r="O453" s="1712"/>
      <c r="P453" s="1712"/>
      <c r="Q453" s="1712"/>
      <c r="R453" s="1712"/>
      <c r="S453" s="1712"/>
      <c r="T453" s="1712"/>
      <c r="U453" s="1712"/>
      <c r="V453" s="1712"/>
      <c r="W453" s="1712"/>
      <c r="X453" s="1712"/>
      <c r="Y453" s="1712"/>
      <c r="Z453" s="1712"/>
      <c r="AA453" s="1712"/>
    </row>
    <row r="454" s="2425" customFormat="1" customHeight="1" spans="10:27">
      <c r="J454" s="2427"/>
      <c r="K454" s="1712"/>
      <c r="L454" s="1712"/>
      <c r="M454" s="1712"/>
      <c r="N454" s="1712"/>
      <c r="O454" s="1712"/>
      <c r="P454" s="1712"/>
      <c r="Q454" s="1712"/>
      <c r="R454" s="1712"/>
      <c r="S454" s="1712"/>
      <c r="T454" s="1712"/>
      <c r="U454" s="1712"/>
      <c r="V454" s="1712"/>
      <c r="W454" s="1712"/>
      <c r="X454" s="1712"/>
      <c r="Y454" s="1712"/>
      <c r="Z454" s="1712"/>
      <c r="AA454" s="1712"/>
    </row>
    <row r="455" s="2425" customFormat="1" customHeight="1" spans="10:27">
      <c r="J455" s="2427"/>
      <c r="K455" s="1712"/>
      <c r="L455" s="1712"/>
      <c r="M455" s="1712"/>
      <c r="N455" s="1712"/>
      <c r="O455" s="1712"/>
      <c r="P455" s="1712"/>
      <c r="Q455" s="1712"/>
      <c r="R455" s="1712"/>
      <c r="S455" s="1712"/>
      <c r="T455" s="1712"/>
      <c r="U455" s="1712"/>
      <c r="V455" s="1712"/>
      <c r="W455" s="1712"/>
      <c r="X455" s="1712"/>
      <c r="Y455" s="1712"/>
      <c r="Z455" s="1712"/>
      <c r="AA455" s="1712"/>
    </row>
    <row r="456" s="2425" customFormat="1" customHeight="1" spans="10:27">
      <c r="J456" s="2427"/>
      <c r="K456" s="1712"/>
      <c r="L456" s="1712"/>
      <c r="M456" s="1712"/>
      <c r="N456" s="1712"/>
      <c r="O456" s="1712"/>
      <c r="P456" s="1712"/>
      <c r="Q456" s="1712"/>
      <c r="R456" s="1712"/>
      <c r="S456" s="1712"/>
      <c r="T456" s="1712"/>
      <c r="U456" s="1712"/>
      <c r="V456" s="1712"/>
      <c r="W456" s="1712"/>
      <c r="X456" s="1712"/>
      <c r="Y456" s="1712"/>
      <c r="Z456" s="1712"/>
      <c r="AA456" s="1712"/>
    </row>
    <row r="457" s="2425" customFormat="1" customHeight="1" spans="10:27">
      <c r="J457" s="2427"/>
      <c r="K457" s="1712"/>
      <c r="L457" s="1712"/>
      <c r="M457" s="1712"/>
      <c r="N457" s="1712"/>
      <c r="O457" s="1712"/>
      <c r="P457" s="1712"/>
      <c r="Q457" s="1712"/>
      <c r="R457" s="1712"/>
      <c r="S457" s="1712"/>
      <c r="T457" s="1712"/>
      <c r="U457" s="1712"/>
      <c r="V457" s="1712"/>
      <c r="W457" s="1712"/>
      <c r="X457" s="1712"/>
      <c r="Y457" s="1712"/>
      <c r="Z457" s="1712"/>
      <c r="AA457" s="1712"/>
    </row>
    <row r="458" s="2425" customFormat="1" customHeight="1" spans="10:27">
      <c r="J458" s="2427"/>
      <c r="K458" s="1712"/>
      <c r="L458" s="1712"/>
      <c r="M458" s="1712"/>
      <c r="N458" s="1712"/>
      <c r="O458" s="1712"/>
      <c r="P458" s="1712"/>
      <c r="Q458" s="1712"/>
      <c r="R458" s="1712"/>
      <c r="S458" s="1712"/>
      <c r="T458" s="1712"/>
      <c r="U458" s="1712"/>
      <c r="V458" s="1712"/>
      <c r="W458" s="1712"/>
      <c r="X458" s="1712"/>
      <c r="Y458" s="1712"/>
      <c r="Z458" s="1712"/>
      <c r="AA458" s="1712"/>
    </row>
    <row r="459" s="2425" customFormat="1" customHeight="1" spans="10:27">
      <c r="J459" s="2427"/>
      <c r="K459" s="1712"/>
      <c r="L459" s="1712"/>
      <c r="M459" s="1712"/>
      <c r="N459" s="1712"/>
      <c r="O459" s="1712"/>
      <c r="P459" s="1712"/>
      <c r="Q459" s="1712"/>
      <c r="R459" s="1712"/>
      <c r="S459" s="1712"/>
      <c r="T459" s="1712"/>
      <c r="U459" s="1712"/>
      <c r="V459" s="1712"/>
      <c r="W459" s="1712"/>
      <c r="X459" s="1712"/>
      <c r="Y459" s="1712"/>
      <c r="Z459" s="1712"/>
      <c r="AA459" s="1712"/>
    </row>
    <row r="460" s="2425" customFormat="1" customHeight="1" spans="10:27">
      <c r="J460" s="2427"/>
      <c r="K460" s="1712"/>
      <c r="L460" s="1712"/>
      <c r="M460" s="1712"/>
      <c r="N460" s="1712"/>
      <c r="O460" s="1712"/>
      <c r="P460" s="1712"/>
      <c r="Q460" s="1712"/>
      <c r="R460" s="1712"/>
      <c r="S460" s="1712"/>
      <c r="T460" s="1712"/>
      <c r="U460" s="1712"/>
      <c r="V460" s="1712"/>
      <c r="W460" s="1712"/>
      <c r="X460" s="1712"/>
      <c r="Y460" s="1712"/>
      <c r="Z460" s="1712"/>
      <c r="AA460" s="1712"/>
    </row>
    <row r="461" s="2425" customFormat="1" customHeight="1" spans="10:27">
      <c r="J461" s="2427"/>
      <c r="K461" s="1712"/>
      <c r="L461" s="1712"/>
      <c r="M461" s="1712"/>
      <c r="N461" s="1712"/>
      <c r="O461" s="1712"/>
      <c r="P461" s="1712"/>
      <c r="Q461" s="1712"/>
      <c r="R461" s="1712"/>
      <c r="S461" s="1712"/>
      <c r="T461" s="1712"/>
      <c r="U461" s="1712"/>
      <c r="V461" s="1712"/>
      <c r="W461" s="1712"/>
      <c r="X461" s="1712"/>
      <c r="Y461" s="1712"/>
      <c r="Z461" s="1712"/>
      <c r="AA461" s="1712"/>
    </row>
    <row r="462" s="2425" customFormat="1" customHeight="1" spans="10:27">
      <c r="J462" s="2427"/>
      <c r="K462" s="1712"/>
      <c r="L462" s="1712"/>
      <c r="M462" s="1712"/>
      <c r="N462" s="1712"/>
      <c r="O462" s="1712"/>
      <c r="P462" s="1712"/>
      <c r="Q462" s="1712"/>
      <c r="R462" s="1712"/>
      <c r="S462" s="1712"/>
      <c r="T462" s="1712"/>
      <c r="U462" s="1712"/>
      <c r="V462" s="1712"/>
      <c r="W462" s="1712"/>
      <c r="X462" s="1712"/>
      <c r="Y462" s="1712"/>
      <c r="Z462" s="1712"/>
      <c r="AA462" s="1712"/>
    </row>
    <row r="463" s="2425" customFormat="1" customHeight="1" spans="10:27">
      <c r="J463" s="2427"/>
      <c r="K463" s="1712"/>
      <c r="L463" s="1712"/>
      <c r="M463" s="1712"/>
      <c r="N463" s="1712"/>
      <c r="O463" s="1712"/>
      <c r="P463" s="1712"/>
      <c r="Q463" s="1712"/>
      <c r="R463" s="1712"/>
      <c r="S463" s="1712"/>
      <c r="T463" s="1712"/>
      <c r="U463" s="1712"/>
      <c r="V463" s="1712"/>
      <c r="W463" s="1712"/>
      <c r="X463" s="1712"/>
      <c r="Y463" s="1712"/>
      <c r="Z463" s="1712"/>
      <c r="AA463" s="1712"/>
    </row>
    <row r="464" s="2425" customFormat="1" customHeight="1" spans="10:27">
      <c r="J464" s="2427"/>
      <c r="K464" s="1712"/>
      <c r="L464" s="1712"/>
      <c r="M464" s="1712"/>
      <c r="N464" s="1712"/>
      <c r="O464" s="1712"/>
      <c r="P464" s="1712"/>
      <c r="Q464" s="1712"/>
      <c r="R464" s="1712"/>
      <c r="S464" s="1712"/>
      <c r="T464" s="1712"/>
      <c r="U464" s="1712"/>
      <c r="V464" s="1712"/>
      <c r="W464" s="1712"/>
      <c r="X464" s="1712"/>
      <c r="Y464" s="1712"/>
      <c r="Z464" s="1712"/>
      <c r="AA464" s="1712"/>
    </row>
    <row r="465" s="2425" customFormat="1" customHeight="1" spans="10:27">
      <c r="J465" s="2427"/>
      <c r="K465" s="1712"/>
      <c r="L465" s="1712"/>
      <c r="M465" s="1712"/>
      <c r="N465" s="1712"/>
      <c r="O465" s="1712"/>
      <c r="P465" s="1712"/>
      <c r="Q465" s="1712"/>
      <c r="R465" s="1712"/>
      <c r="S465" s="1712"/>
      <c r="T465" s="1712"/>
      <c r="U465" s="1712"/>
      <c r="V465" s="1712"/>
      <c r="W465" s="1712"/>
      <c r="X465" s="1712"/>
      <c r="Y465" s="1712"/>
      <c r="Z465" s="1712"/>
      <c r="AA465" s="1712"/>
    </row>
    <row r="466" s="2425" customFormat="1" customHeight="1" spans="10:27">
      <c r="J466" s="2427"/>
      <c r="K466" s="1712"/>
      <c r="L466" s="1712"/>
      <c r="M466" s="1712"/>
      <c r="N466" s="1712"/>
      <c r="O466" s="1712"/>
      <c r="P466" s="1712"/>
      <c r="Q466" s="1712"/>
      <c r="R466" s="1712"/>
      <c r="S466" s="1712"/>
      <c r="T466" s="1712"/>
      <c r="U466" s="1712"/>
      <c r="V466" s="1712"/>
      <c r="W466" s="1712"/>
      <c r="X466" s="1712"/>
      <c r="Y466" s="1712"/>
      <c r="Z466" s="1712"/>
      <c r="AA466" s="1712"/>
    </row>
    <row r="467" s="2425" customFormat="1" customHeight="1" spans="10:27">
      <c r="J467" s="2427"/>
      <c r="K467" s="1712"/>
      <c r="L467" s="1712"/>
      <c r="M467" s="1712"/>
      <c r="N467" s="1712"/>
      <c r="O467" s="1712"/>
      <c r="P467" s="1712"/>
      <c r="Q467" s="1712"/>
      <c r="R467" s="1712"/>
      <c r="S467" s="1712"/>
      <c r="T467" s="1712"/>
      <c r="U467" s="1712"/>
      <c r="V467" s="1712"/>
      <c r="W467" s="1712"/>
      <c r="X467" s="1712"/>
      <c r="Y467" s="1712"/>
      <c r="Z467" s="1712"/>
      <c r="AA467" s="1712"/>
    </row>
    <row r="468" s="2425" customFormat="1" customHeight="1" spans="10:27">
      <c r="J468" s="2427"/>
      <c r="K468" s="1712"/>
      <c r="L468" s="1712"/>
      <c r="M468" s="1712"/>
      <c r="N468" s="1712"/>
      <c r="O468" s="1712"/>
      <c r="P468" s="1712"/>
      <c r="Q468" s="1712"/>
      <c r="R468" s="1712"/>
      <c r="S468" s="1712"/>
      <c r="T468" s="1712"/>
      <c r="U468" s="1712"/>
      <c r="V468" s="1712"/>
      <c r="W468" s="1712"/>
      <c r="X468" s="1712"/>
      <c r="Y468" s="1712"/>
      <c r="Z468" s="1712"/>
      <c r="AA468" s="1712"/>
    </row>
    <row r="469" s="2425" customFormat="1" customHeight="1" spans="10:27">
      <c r="J469" s="2427"/>
      <c r="K469" s="1712"/>
      <c r="L469" s="1712"/>
      <c r="M469" s="1712"/>
      <c r="N469" s="1712"/>
      <c r="O469" s="1712"/>
      <c r="P469" s="1712"/>
      <c r="Q469" s="1712"/>
      <c r="R469" s="1712"/>
      <c r="S469" s="1712"/>
      <c r="T469" s="1712"/>
      <c r="U469" s="1712"/>
      <c r="V469" s="1712"/>
      <c r="W469" s="1712"/>
      <c r="X469" s="1712"/>
      <c r="Y469" s="1712"/>
      <c r="Z469" s="1712"/>
      <c r="AA469" s="1712"/>
    </row>
    <row r="470" s="2425" customFormat="1" customHeight="1" spans="10:27">
      <c r="J470" s="2427"/>
      <c r="K470" s="1712"/>
      <c r="L470" s="1712"/>
      <c r="M470" s="1712"/>
      <c r="N470" s="1712"/>
      <c r="O470" s="1712"/>
      <c r="P470" s="1712"/>
      <c r="Q470" s="1712"/>
      <c r="R470" s="1712"/>
      <c r="S470" s="1712"/>
      <c r="T470" s="1712"/>
      <c r="U470" s="1712"/>
      <c r="V470" s="1712"/>
      <c r="W470" s="1712"/>
      <c r="X470" s="1712"/>
      <c r="Y470" s="1712"/>
      <c r="Z470" s="1712"/>
      <c r="AA470" s="1712"/>
    </row>
    <row r="471" s="2425" customFormat="1" customHeight="1" spans="10:27">
      <c r="J471" s="2427"/>
      <c r="K471" s="1712"/>
      <c r="L471" s="1712"/>
      <c r="M471" s="1712"/>
      <c r="N471" s="1712"/>
      <c r="O471" s="1712"/>
      <c r="P471" s="1712"/>
      <c r="Q471" s="1712"/>
      <c r="R471" s="1712"/>
      <c r="S471" s="1712"/>
      <c r="T471" s="1712"/>
      <c r="U471" s="1712"/>
      <c r="V471" s="1712"/>
      <c r="W471" s="1712"/>
      <c r="X471" s="1712"/>
      <c r="Y471" s="1712"/>
      <c r="Z471" s="1712"/>
      <c r="AA471" s="1712"/>
    </row>
    <row r="472" s="2425" customFormat="1" customHeight="1" spans="10:27">
      <c r="J472" s="2427"/>
      <c r="K472" s="1712"/>
      <c r="L472" s="1712"/>
      <c r="M472" s="1712"/>
      <c r="N472" s="1712"/>
      <c r="O472" s="1712"/>
      <c r="P472" s="1712"/>
      <c r="Q472" s="1712"/>
      <c r="R472" s="1712"/>
      <c r="S472" s="1712"/>
      <c r="T472" s="1712"/>
      <c r="U472" s="1712"/>
      <c r="V472" s="1712"/>
      <c r="W472" s="1712"/>
      <c r="X472" s="1712"/>
      <c r="Y472" s="1712"/>
      <c r="Z472" s="1712"/>
      <c r="AA472" s="1712"/>
    </row>
    <row r="473" s="2425" customFormat="1" customHeight="1" spans="10:27">
      <c r="J473" s="2427"/>
      <c r="K473" s="1712"/>
      <c r="L473" s="1712"/>
      <c r="M473" s="1712"/>
      <c r="N473" s="1712"/>
      <c r="O473" s="1712"/>
      <c r="P473" s="1712"/>
      <c r="Q473" s="1712"/>
      <c r="R473" s="1712"/>
      <c r="S473" s="1712"/>
      <c r="T473" s="1712"/>
      <c r="U473" s="1712"/>
      <c r="V473" s="1712"/>
      <c r="W473" s="1712"/>
      <c r="X473" s="1712"/>
      <c r="Y473" s="1712"/>
      <c r="Z473" s="1712"/>
      <c r="AA473" s="1712"/>
    </row>
    <row r="474" s="2425" customFormat="1" customHeight="1" spans="10:27">
      <c r="J474" s="2427"/>
      <c r="K474" s="1712"/>
      <c r="L474" s="1712"/>
      <c r="M474" s="1712"/>
      <c r="N474" s="1712"/>
      <c r="O474" s="1712"/>
      <c r="P474" s="1712"/>
      <c r="Q474" s="1712"/>
      <c r="R474" s="1712"/>
      <c r="S474" s="1712"/>
      <c r="T474" s="1712"/>
      <c r="U474" s="1712"/>
      <c r="V474" s="1712"/>
      <c r="W474" s="1712"/>
      <c r="X474" s="1712"/>
      <c r="Y474" s="1712"/>
      <c r="Z474" s="1712"/>
      <c r="AA474" s="1712"/>
    </row>
    <row r="475" s="2425" customFormat="1" customHeight="1" spans="10:27">
      <c r="J475" s="2427"/>
      <c r="K475" s="1712"/>
      <c r="L475" s="1712"/>
      <c r="M475" s="1712"/>
      <c r="N475" s="1712"/>
      <c r="O475" s="1712"/>
      <c r="P475" s="1712"/>
      <c r="Q475" s="1712"/>
      <c r="R475" s="1712"/>
      <c r="S475" s="1712"/>
      <c r="T475" s="1712"/>
      <c r="U475" s="1712"/>
      <c r="V475" s="1712"/>
      <c r="W475" s="1712"/>
      <c r="X475" s="1712"/>
      <c r="Y475" s="1712"/>
      <c r="Z475" s="1712"/>
      <c r="AA475" s="1712"/>
    </row>
    <row r="476" s="2425" customFormat="1" customHeight="1" spans="10:27">
      <c r="J476" s="2427"/>
      <c r="K476" s="1712"/>
      <c r="L476" s="1712"/>
      <c r="M476" s="1712"/>
      <c r="N476" s="1712"/>
      <c r="O476" s="1712"/>
      <c r="P476" s="1712"/>
      <c r="Q476" s="1712"/>
      <c r="R476" s="1712"/>
      <c r="S476" s="1712"/>
      <c r="T476" s="1712"/>
      <c r="U476" s="1712"/>
      <c r="V476" s="1712"/>
      <c r="W476" s="1712"/>
      <c r="X476" s="1712"/>
      <c r="Y476" s="1712"/>
      <c r="Z476" s="1712"/>
      <c r="AA476" s="1712"/>
    </row>
    <row r="477" s="2425" customFormat="1" customHeight="1" spans="10:27">
      <c r="J477" s="2427"/>
      <c r="K477" s="1712"/>
      <c r="L477" s="1712"/>
      <c r="M477" s="1712"/>
      <c r="N477" s="1712"/>
      <c r="O477" s="1712"/>
      <c r="P477" s="1712"/>
      <c r="Q477" s="1712"/>
      <c r="R477" s="1712"/>
      <c r="S477" s="1712"/>
      <c r="T477" s="1712"/>
      <c r="U477" s="1712"/>
      <c r="V477" s="1712"/>
      <c r="W477" s="1712"/>
      <c r="X477" s="1712"/>
      <c r="Y477" s="1712"/>
      <c r="Z477" s="1712"/>
      <c r="AA477" s="1712"/>
    </row>
    <row r="478" s="2425" customFormat="1" customHeight="1" spans="10:27">
      <c r="J478" s="2427"/>
      <c r="K478" s="1712"/>
      <c r="L478" s="1712"/>
      <c r="M478" s="1712"/>
      <c r="N478" s="1712"/>
      <c r="O478" s="1712"/>
      <c r="P478" s="1712"/>
      <c r="Q478" s="1712"/>
      <c r="R478" s="1712"/>
      <c r="S478" s="1712"/>
      <c r="T478" s="1712"/>
      <c r="U478" s="1712"/>
      <c r="V478" s="1712"/>
      <c r="W478" s="1712"/>
      <c r="X478" s="1712"/>
      <c r="Y478" s="1712"/>
      <c r="Z478" s="1712"/>
      <c r="AA478" s="1712"/>
    </row>
    <row r="479" s="2425" customFormat="1" customHeight="1" spans="10:27">
      <c r="J479" s="2427"/>
      <c r="K479" s="1712"/>
      <c r="L479" s="1712"/>
      <c r="M479" s="1712"/>
      <c r="N479" s="1712"/>
      <c r="O479" s="1712"/>
      <c r="P479" s="1712"/>
      <c r="Q479" s="1712"/>
      <c r="R479" s="1712"/>
      <c r="S479" s="1712"/>
      <c r="T479" s="1712"/>
      <c r="U479" s="1712"/>
      <c r="V479" s="1712"/>
      <c r="W479" s="1712"/>
      <c r="X479" s="1712"/>
      <c r="Y479" s="1712"/>
      <c r="Z479" s="1712"/>
      <c r="AA479" s="1712"/>
    </row>
    <row r="480" s="2425" customFormat="1" customHeight="1" spans="10:27">
      <c r="J480" s="2427"/>
      <c r="K480" s="1712"/>
      <c r="L480" s="1712"/>
      <c r="M480" s="1712"/>
      <c r="N480" s="1712"/>
      <c r="O480" s="1712"/>
      <c r="P480" s="1712"/>
      <c r="Q480" s="1712"/>
      <c r="R480" s="1712"/>
      <c r="S480" s="1712"/>
      <c r="T480" s="1712"/>
      <c r="U480" s="1712"/>
      <c r="V480" s="1712"/>
      <c r="W480" s="1712"/>
      <c r="X480" s="1712"/>
      <c r="Y480" s="1712"/>
      <c r="Z480" s="1712"/>
      <c r="AA480" s="1712"/>
    </row>
    <row r="481" s="2425" customFormat="1" customHeight="1" spans="10:27">
      <c r="J481" s="2427"/>
      <c r="K481" s="1712"/>
      <c r="L481" s="1712"/>
      <c r="M481" s="1712"/>
      <c r="N481" s="1712"/>
      <c r="O481" s="1712"/>
      <c r="P481" s="1712"/>
      <c r="Q481" s="1712"/>
      <c r="R481" s="1712"/>
      <c r="S481" s="1712"/>
      <c r="T481" s="1712"/>
      <c r="U481" s="1712"/>
      <c r="V481" s="1712"/>
      <c r="W481" s="1712"/>
      <c r="X481" s="1712"/>
      <c r="Y481" s="1712"/>
      <c r="Z481" s="1712"/>
      <c r="AA481" s="1712"/>
    </row>
    <row r="482" s="2425" customFormat="1" customHeight="1" spans="10:27">
      <c r="J482" s="2427"/>
      <c r="K482" s="1712"/>
      <c r="L482" s="1712"/>
      <c r="M482" s="1712"/>
      <c r="N482" s="1712"/>
      <c r="O482" s="1712"/>
      <c r="P482" s="1712"/>
      <c r="Q482" s="1712"/>
      <c r="R482" s="1712"/>
      <c r="S482" s="1712"/>
      <c r="T482" s="1712"/>
      <c r="U482" s="1712"/>
      <c r="V482" s="1712"/>
      <c r="W482" s="1712"/>
      <c r="X482" s="1712"/>
      <c r="Y482" s="1712"/>
      <c r="Z482" s="1712"/>
      <c r="AA482" s="1712"/>
    </row>
    <row r="483" s="2425" customFormat="1" customHeight="1" spans="10:27">
      <c r="J483" s="2427"/>
      <c r="K483" s="1712"/>
      <c r="L483" s="1712"/>
      <c r="M483" s="1712"/>
      <c r="N483" s="1712"/>
      <c r="O483" s="1712"/>
      <c r="P483" s="1712"/>
      <c r="Q483" s="1712"/>
      <c r="R483" s="1712"/>
      <c r="S483" s="1712"/>
      <c r="T483" s="1712"/>
      <c r="U483" s="1712"/>
      <c r="V483" s="1712"/>
      <c r="W483" s="1712"/>
      <c r="X483" s="1712"/>
      <c r="Y483" s="1712"/>
      <c r="Z483" s="1712"/>
      <c r="AA483" s="1712"/>
    </row>
    <row r="484" s="2425" customFormat="1" customHeight="1" spans="10:27">
      <c r="J484" s="2427"/>
      <c r="K484" s="1712"/>
      <c r="L484" s="1712"/>
      <c r="M484" s="1712"/>
      <c r="N484" s="1712"/>
      <c r="O484" s="1712"/>
      <c r="P484" s="1712"/>
      <c r="Q484" s="1712"/>
      <c r="R484" s="1712"/>
      <c r="S484" s="1712"/>
      <c r="T484" s="1712"/>
      <c r="U484" s="1712"/>
      <c r="V484" s="1712"/>
      <c r="W484" s="1712"/>
      <c r="X484" s="1712"/>
      <c r="Y484" s="1712"/>
      <c r="Z484" s="1712"/>
      <c r="AA484" s="1712"/>
    </row>
    <row r="485" s="2425" customFormat="1" customHeight="1" spans="10:27">
      <c r="J485" s="2427"/>
      <c r="K485" s="1712"/>
      <c r="L485" s="1712"/>
      <c r="M485" s="1712"/>
      <c r="N485" s="1712"/>
      <c r="O485" s="1712"/>
      <c r="P485" s="1712"/>
      <c r="Q485" s="1712"/>
      <c r="R485" s="1712"/>
      <c r="S485" s="1712"/>
      <c r="T485" s="1712"/>
      <c r="U485" s="1712"/>
      <c r="V485" s="1712"/>
      <c r="W485" s="1712"/>
      <c r="X485" s="1712"/>
      <c r="Y485" s="1712"/>
      <c r="Z485" s="1712"/>
      <c r="AA485" s="1712"/>
    </row>
    <row r="486" s="2425" customFormat="1" customHeight="1" spans="10:27">
      <c r="J486" s="2427"/>
      <c r="K486" s="1712"/>
      <c r="L486" s="1712"/>
      <c r="M486" s="1712"/>
      <c r="N486" s="1712"/>
      <c r="O486" s="1712"/>
      <c r="P486" s="1712"/>
      <c r="Q486" s="1712"/>
      <c r="R486" s="1712"/>
      <c r="S486" s="1712"/>
      <c r="T486" s="1712"/>
      <c r="U486" s="1712"/>
      <c r="V486" s="1712"/>
      <c r="W486" s="1712"/>
      <c r="X486" s="1712"/>
      <c r="Y486" s="1712"/>
      <c r="Z486" s="1712"/>
      <c r="AA486" s="1712"/>
    </row>
    <row r="487" s="2425" customFormat="1" customHeight="1" spans="10:27">
      <c r="J487" s="2427"/>
      <c r="K487" s="1712"/>
      <c r="L487" s="1712"/>
      <c r="M487" s="1712"/>
      <c r="N487" s="1712"/>
      <c r="O487" s="1712"/>
      <c r="P487" s="1712"/>
      <c r="Q487" s="1712"/>
      <c r="R487" s="1712"/>
      <c r="S487" s="1712"/>
      <c r="T487" s="1712"/>
      <c r="U487" s="1712"/>
      <c r="V487" s="1712"/>
      <c r="W487" s="1712"/>
      <c r="X487" s="1712"/>
      <c r="Y487" s="1712"/>
      <c r="Z487" s="1712"/>
      <c r="AA487" s="1712"/>
    </row>
    <row r="488" s="2425" customFormat="1" customHeight="1" spans="10:27">
      <c r="J488" s="2427"/>
      <c r="K488" s="1712"/>
      <c r="L488" s="1712"/>
      <c r="M488" s="1712"/>
      <c r="N488" s="1712"/>
      <c r="O488" s="1712"/>
      <c r="P488" s="1712"/>
      <c r="Q488" s="1712"/>
      <c r="R488" s="1712"/>
      <c r="S488" s="1712"/>
      <c r="T488" s="1712"/>
      <c r="U488" s="1712"/>
      <c r="V488" s="1712"/>
      <c r="W488" s="1712"/>
      <c r="X488" s="1712"/>
      <c r="Y488" s="1712"/>
      <c r="Z488" s="1712"/>
      <c r="AA488" s="1712"/>
    </row>
    <row r="489" s="2425" customFormat="1" customHeight="1" spans="10:27">
      <c r="J489" s="2427"/>
      <c r="K489" s="1712"/>
      <c r="L489" s="1712"/>
      <c r="M489" s="1712"/>
      <c r="N489" s="1712"/>
      <c r="O489" s="1712"/>
      <c r="P489" s="1712"/>
      <c r="Q489" s="1712"/>
      <c r="R489" s="1712"/>
      <c r="S489" s="1712"/>
      <c r="T489" s="1712"/>
      <c r="U489" s="1712"/>
      <c r="V489" s="1712"/>
      <c r="W489" s="1712"/>
      <c r="X489" s="1712"/>
      <c r="Y489" s="1712"/>
      <c r="Z489" s="1712"/>
      <c r="AA489" s="1712"/>
    </row>
    <row r="490" s="2425" customFormat="1" customHeight="1" spans="10:27">
      <c r="J490" s="2427"/>
      <c r="K490" s="1712"/>
      <c r="L490" s="1712"/>
      <c r="M490" s="1712"/>
      <c r="N490" s="1712"/>
      <c r="O490" s="1712"/>
      <c r="P490" s="1712"/>
      <c r="Q490" s="1712"/>
      <c r="R490" s="1712"/>
      <c r="S490" s="1712"/>
      <c r="T490" s="1712"/>
      <c r="U490" s="1712"/>
      <c r="V490" s="1712"/>
      <c r="W490" s="1712"/>
      <c r="X490" s="1712"/>
      <c r="Y490" s="1712"/>
      <c r="Z490" s="1712"/>
      <c r="AA490" s="1712"/>
    </row>
    <row r="491" s="2425" customFormat="1" customHeight="1" spans="10:27">
      <c r="J491" s="2427"/>
      <c r="K491" s="1712"/>
      <c r="L491" s="1712"/>
      <c r="M491" s="1712"/>
      <c r="N491" s="1712"/>
      <c r="O491" s="1712"/>
      <c r="P491" s="1712"/>
      <c r="Q491" s="1712"/>
      <c r="R491" s="1712"/>
      <c r="S491" s="1712"/>
      <c r="T491" s="1712"/>
      <c r="U491" s="1712"/>
      <c r="V491" s="1712"/>
      <c r="W491" s="1712"/>
      <c r="X491" s="1712"/>
      <c r="Y491" s="1712"/>
      <c r="Z491" s="1712"/>
      <c r="AA491" s="1712"/>
    </row>
    <row r="492" s="2425" customFormat="1" customHeight="1" spans="10:27">
      <c r="J492" s="2427"/>
      <c r="K492" s="1712"/>
      <c r="L492" s="1712"/>
      <c r="M492" s="1712"/>
      <c r="N492" s="1712"/>
      <c r="O492" s="1712"/>
      <c r="P492" s="1712"/>
      <c r="Q492" s="1712"/>
      <c r="R492" s="1712"/>
      <c r="S492" s="1712"/>
      <c r="T492" s="1712"/>
      <c r="U492" s="1712"/>
      <c r="V492" s="1712"/>
      <c r="W492" s="1712"/>
      <c r="X492" s="1712"/>
      <c r="Y492" s="1712"/>
      <c r="Z492" s="1712"/>
      <c r="AA492" s="1712"/>
    </row>
    <row r="493" s="2425" customFormat="1" customHeight="1" spans="10:27">
      <c r="J493" s="2427"/>
      <c r="K493" s="1712"/>
      <c r="L493" s="1712"/>
      <c r="M493" s="1712"/>
      <c r="N493" s="1712"/>
      <c r="O493" s="1712"/>
      <c r="P493" s="1712"/>
      <c r="Q493" s="1712"/>
      <c r="R493" s="1712"/>
      <c r="S493" s="1712"/>
      <c r="T493" s="1712"/>
      <c r="U493" s="1712"/>
      <c r="V493" s="1712"/>
      <c r="W493" s="1712"/>
      <c r="X493" s="1712"/>
      <c r="Y493" s="1712"/>
      <c r="Z493" s="1712"/>
      <c r="AA493" s="1712"/>
    </row>
    <row r="494" s="2425" customFormat="1" customHeight="1" spans="10:27">
      <c r="J494" s="2427"/>
      <c r="K494" s="1712"/>
      <c r="L494" s="1712"/>
      <c r="M494" s="1712"/>
      <c r="N494" s="1712"/>
      <c r="O494" s="1712"/>
      <c r="P494" s="1712"/>
      <c r="Q494" s="1712"/>
      <c r="R494" s="1712"/>
      <c r="S494" s="1712"/>
      <c r="T494" s="1712"/>
      <c r="U494" s="1712"/>
      <c r="V494" s="1712"/>
      <c r="W494" s="1712"/>
      <c r="X494" s="1712"/>
      <c r="Y494" s="1712"/>
      <c r="Z494" s="1712"/>
      <c r="AA494" s="1712"/>
    </row>
    <row r="495" s="2425" customFormat="1" customHeight="1" spans="10:27">
      <c r="J495" s="2427"/>
      <c r="K495" s="1712"/>
      <c r="L495" s="1712"/>
      <c r="M495" s="1712"/>
      <c r="N495" s="1712"/>
      <c r="O495" s="1712"/>
      <c r="P495" s="1712"/>
      <c r="Q495" s="1712"/>
      <c r="R495" s="1712"/>
      <c r="S495" s="1712"/>
      <c r="T495" s="1712"/>
      <c r="U495" s="1712"/>
      <c r="V495" s="1712"/>
      <c r="W495" s="1712"/>
      <c r="X495" s="1712"/>
      <c r="Y495" s="1712"/>
      <c r="Z495" s="1712"/>
      <c r="AA495" s="1712"/>
    </row>
    <row r="496" s="2425" customFormat="1" customHeight="1" spans="10:27">
      <c r="J496" s="2427"/>
      <c r="K496" s="1712"/>
      <c r="L496" s="1712"/>
      <c r="M496" s="1712"/>
      <c r="N496" s="1712"/>
      <c r="O496" s="1712"/>
      <c r="P496" s="1712"/>
      <c r="Q496" s="1712"/>
      <c r="R496" s="1712"/>
      <c r="S496" s="1712"/>
      <c r="T496" s="1712"/>
      <c r="U496" s="1712"/>
      <c r="V496" s="1712"/>
      <c r="W496" s="1712"/>
      <c r="X496" s="1712"/>
      <c r="Y496" s="1712"/>
      <c r="Z496" s="1712"/>
      <c r="AA496" s="1712"/>
    </row>
    <row r="497" s="2425" customFormat="1" customHeight="1" spans="10:27">
      <c r="J497" s="2427"/>
      <c r="K497" s="1712"/>
      <c r="L497" s="1712"/>
      <c r="M497" s="1712"/>
      <c r="N497" s="1712"/>
      <c r="O497" s="1712"/>
      <c r="P497" s="1712"/>
      <c r="Q497" s="1712"/>
      <c r="R497" s="1712"/>
      <c r="S497" s="1712"/>
      <c r="T497" s="1712"/>
      <c r="U497" s="1712"/>
      <c r="V497" s="1712"/>
      <c r="W497" s="1712"/>
      <c r="X497" s="1712"/>
      <c r="Y497" s="1712"/>
      <c r="Z497" s="1712"/>
      <c r="AA497" s="1712"/>
    </row>
    <row r="498" s="2425" customFormat="1" customHeight="1" spans="10:27">
      <c r="J498" s="2427"/>
      <c r="K498" s="1712"/>
      <c r="L498" s="1712"/>
      <c r="M498" s="1712"/>
      <c r="N498" s="1712"/>
      <c r="O498" s="1712"/>
      <c r="P498" s="1712"/>
      <c r="Q498" s="1712"/>
      <c r="R498" s="1712"/>
      <c r="S498" s="1712"/>
      <c r="T498" s="1712"/>
      <c r="U498" s="1712"/>
      <c r="V498" s="1712"/>
      <c r="W498" s="1712"/>
      <c r="X498" s="1712"/>
      <c r="Y498" s="1712"/>
      <c r="Z498" s="1712"/>
      <c r="AA498" s="1712"/>
    </row>
    <row r="499" s="2425" customFormat="1" customHeight="1" spans="10:27">
      <c r="J499" s="2427"/>
      <c r="K499" s="1712"/>
      <c r="L499" s="1712"/>
      <c r="M499" s="1712"/>
      <c r="N499" s="1712"/>
      <c r="O499" s="1712"/>
      <c r="P499" s="1712"/>
      <c r="Q499" s="1712"/>
      <c r="R499" s="1712"/>
      <c r="S499" s="1712"/>
      <c r="T499" s="1712"/>
      <c r="U499" s="1712"/>
      <c r="V499" s="1712"/>
      <c r="W499" s="1712"/>
      <c r="X499" s="1712"/>
      <c r="Y499" s="1712"/>
      <c r="Z499" s="1712"/>
      <c r="AA499" s="1712"/>
    </row>
    <row r="500" s="2425" customFormat="1" customHeight="1" spans="10:27">
      <c r="J500" s="2427"/>
      <c r="K500" s="1712"/>
      <c r="L500" s="1712"/>
      <c r="M500" s="1712"/>
      <c r="N500" s="1712"/>
      <c r="O500" s="1712"/>
      <c r="P500" s="1712"/>
      <c r="Q500" s="1712"/>
      <c r="R500" s="1712"/>
      <c r="S500" s="1712"/>
      <c r="T500" s="1712"/>
      <c r="U500" s="1712"/>
      <c r="V500" s="1712"/>
      <c r="W500" s="1712"/>
      <c r="X500" s="1712"/>
      <c r="Y500" s="1712"/>
      <c r="Z500" s="1712"/>
      <c r="AA500" s="1712"/>
    </row>
    <row r="501" s="2425" customFormat="1" customHeight="1" spans="10:27">
      <c r="J501" s="2427"/>
      <c r="K501" s="1712"/>
      <c r="L501" s="1712"/>
      <c r="M501" s="1712"/>
      <c r="N501" s="1712"/>
      <c r="O501" s="1712"/>
      <c r="P501" s="1712"/>
      <c r="Q501" s="1712"/>
      <c r="R501" s="1712"/>
      <c r="S501" s="1712"/>
      <c r="T501" s="1712"/>
      <c r="U501" s="1712"/>
      <c r="V501" s="1712"/>
      <c r="W501" s="1712"/>
      <c r="X501" s="1712"/>
      <c r="Y501" s="1712"/>
      <c r="Z501" s="1712"/>
      <c r="AA501" s="1712"/>
    </row>
    <row r="502" s="2425" customFormat="1" customHeight="1" spans="10:27">
      <c r="J502" s="2427"/>
      <c r="K502" s="1712"/>
      <c r="L502" s="1712"/>
      <c r="M502" s="1712"/>
      <c r="N502" s="1712"/>
      <c r="O502" s="1712"/>
      <c r="P502" s="1712"/>
      <c r="Q502" s="1712"/>
      <c r="R502" s="1712"/>
      <c r="S502" s="1712"/>
      <c r="T502" s="1712"/>
      <c r="U502" s="1712"/>
      <c r="V502" s="1712"/>
      <c r="W502" s="1712"/>
      <c r="X502" s="1712"/>
      <c r="Y502" s="1712"/>
      <c r="Z502" s="1712"/>
      <c r="AA502" s="1712"/>
    </row>
    <row r="503" s="2425" customFormat="1" customHeight="1" spans="10:27">
      <c r="J503" s="2427"/>
      <c r="K503" s="1712"/>
      <c r="L503" s="1712"/>
      <c r="M503" s="1712"/>
      <c r="N503" s="1712"/>
      <c r="O503" s="1712"/>
      <c r="P503" s="1712"/>
      <c r="Q503" s="1712"/>
      <c r="R503" s="1712"/>
      <c r="S503" s="1712"/>
      <c r="T503" s="1712"/>
      <c r="U503" s="1712"/>
      <c r="V503" s="1712"/>
      <c r="W503" s="1712"/>
      <c r="X503" s="1712"/>
      <c r="Y503" s="1712"/>
      <c r="Z503" s="1712"/>
      <c r="AA503" s="1712"/>
    </row>
    <row r="504" s="2425" customFormat="1" customHeight="1" spans="10:27">
      <c r="J504" s="2427"/>
      <c r="K504" s="1712"/>
      <c r="L504" s="1712"/>
      <c r="M504" s="1712"/>
      <c r="N504" s="1712"/>
      <c r="O504" s="1712"/>
      <c r="P504" s="1712"/>
      <c r="Q504" s="1712"/>
      <c r="R504" s="1712"/>
      <c r="S504" s="1712"/>
      <c r="T504" s="1712"/>
      <c r="U504" s="1712"/>
      <c r="V504" s="1712"/>
      <c r="W504" s="1712"/>
      <c r="X504" s="1712"/>
      <c r="Y504" s="1712"/>
      <c r="Z504" s="1712"/>
      <c r="AA504" s="1712"/>
    </row>
    <row r="505" s="2425" customFormat="1" customHeight="1" spans="10:27">
      <c r="J505" s="2427"/>
      <c r="K505" s="1712"/>
      <c r="L505" s="1712"/>
      <c r="M505" s="1712"/>
      <c r="N505" s="1712"/>
      <c r="O505" s="1712"/>
      <c r="P505" s="1712"/>
      <c r="Q505" s="1712"/>
      <c r="R505" s="1712"/>
      <c r="S505" s="1712"/>
      <c r="T505" s="1712"/>
      <c r="U505" s="1712"/>
      <c r="V505" s="1712"/>
      <c r="W505" s="1712"/>
      <c r="X505" s="1712"/>
      <c r="Y505" s="1712"/>
      <c r="Z505" s="1712"/>
      <c r="AA505" s="1712"/>
    </row>
    <row r="506" s="2425" customFormat="1" customHeight="1" spans="10:27">
      <c r="J506" s="2427"/>
      <c r="K506" s="1712"/>
      <c r="L506" s="1712"/>
      <c r="M506" s="1712"/>
      <c r="N506" s="1712"/>
      <c r="O506" s="1712"/>
      <c r="P506" s="1712"/>
      <c r="Q506" s="1712"/>
      <c r="R506" s="1712"/>
      <c r="S506" s="1712"/>
      <c r="T506" s="1712"/>
      <c r="U506" s="1712"/>
      <c r="V506" s="1712"/>
      <c r="W506" s="1712"/>
      <c r="X506" s="1712"/>
      <c r="Y506" s="1712"/>
      <c r="Z506" s="1712"/>
      <c r="AA506" s="1712"/>
    </row>
    <row r="507" s="2425" customFormat="1" customHeight="1" spans="10:27">
      <c r="J507" s="2427"/>
      <c r="K507" s="1712"/>
      <c r="L507" s="1712"/>
      <c r="M507" s="1712"/>
      <c r="N507" s="1712"/>
      <c r="O507" s="1712"/>
      <c r="P507" s="1712"/>
      <c r="Q507" s="1712"/>
      <c r="R507" s="1712"/>
      <c r="S507" s="1712"/>
      <c r="T507" s="1712"/>
      <c r="U507" s="1712"/>
      <c r="V507" s="1712"/>
      <c r="W507" s="1712"/>
      <c r="X507" s="1712"/>
      <c r="Y507" s="1712"/>
      <c r="Z507" s="1712"/>
      <c r="AA507" s="1712"/>
    </row>
    <row r="508" s="2425" customFormat="1" customHeight="1" spans="10:27">
      <c r="J508" s="2427"/>
      <c r="K508" s="1712"/>
      <c r="L508" s="1712"/>
      <c r="M508" s="1712"/>
      <c r="N508" s="1712"/>
      <c r="O508" s="1712"/>
      <c r="P508" s="1712"/>
      <c r="Q508" s="1712"/>
      <c r="R508" s="1712"/>
      <c r="S508" s="1712"/>
      <c r="T508" s="1712"/>
      <c r="U508" s="1712"/>
      <c r="V508" s="1712"/>
      <c r="W508" s="1712"/>
      <c r="X508" s="1712"/>
      <c r="Y508" s="1712"/>
      <c r="Z508" s="1712"/>
      <c r="AA508" s="1712"/>
    </row>
    <row r="509" s="2425" customFormat="1" customHeight="1" spans="10:27">
      <c r="J509" s="2427"/>
      <c r="K509" s="1712"/>
      <c r="L509" s="1712"/>
      <c r="M509" s="1712"/>
      <c r="N509" s="1712"/>
      <c r="O509" s="1712"/>
      <c r="P509" s="1712"/>
      <c r="Q509" s="1712"/>
      <c r="R509" s="1712"/>
      <c r="S509" s="1712"/>
      <c r="T509" s="1712"/>
      <c r="U509" s="1712"/>
      <c r="V509" s="1712"/>
      <c r="W509" s="1712"/>
      <c r="X509" s="1712"/>
      <c r="Y509" s="1712"/>
      <c r="Z509" s="1712"/>
      <c r="AA509" s="1712"/>
    </row>
    <row r="510" s="2425" customFormat="1" customHeight="1" spans="10:27">
      <c r="J510" s="2427"/>
      <c r="K510" s="1712"/>
      <c r="L510" s="1712"/>
      <c r="M510" s="1712"/>
      <c r="N510" s="1712"/>
      <c r="O510" s="1712"/>
      <c r="P510" s="1712"/>
      <c r="Q510" s="1712"/>
      <c r="R510" s="1712"/>
      <c r="S510" s="1712"/>
      <c r="T510" s="1712"/>
      <c r="U510" s="1712"/>
      <c r="V510" s="1712"/>
      <c r="W510" s="1712"/>
      <c r="X510" s="1712"/>
      <c r="Y510" s="1712"/>
      <c r="Z510" s="1712"/>
      <c r="AA510" s="1712"/>
    </row>
    <row r="511" s="2425" customFormat="1" customHeight="1" spans="10:27">
      <c r="J511" s="2427"/>
      <c r="K511" s="1712"/>
      <c r="L511" s="1712"/>
      <c r="M511" s="1712"/>
      <c r="N511" s="1712"/>
      <c r="O511" s="1712"/>
      <c r="P511" s="1712"/>
      <c r="Q511" s="1712"/>
      <c r="R511" s="1712"/>
      <c r="S511" s="1712"/>
      <c r="T511" s="1712"/>
      <c r="U511" s="1712"/>
      <c r="V511" s="1712"/>
      <c r="W511" s="1712"/>
      <c r="X511" s="1712"/>
      <c r="Y511" s="1712"/>
      <c r="Z511" s="1712"/>
      <c r="AA511" s="1712"/>
    </row>
    <row r="512" s="2425" customFormat="1" customHeight="1" spans="10:27">
      <c r="J512" s="2427"/>
      <c r="K512" s="1712"/>
      <c r="L512" s="1712"/>
      <c r="M512" s="1712"/>
      <c r="N512" s="1712"/>
      <c r="O512" s="1712"/>
      <c r="P512" s="1712"/>
      <c r="Q512" s="1712"/>
      <c r="R512" s="1712"/>
      <c r="S512" s="1712"/>
      <c r="T512" s="1712"/>
      <c r="U512" s="1712"/>
      <c r="V512" s="1712"/>
      <c r="W512" s="1712"/>
      <c r="X512" s="1712"/>
      <c r="Y512" s="1712"/>
      <c r="Z512" s="1712"/>
      <c r="AA512" s="1712"/>
    </row>
    <row r="513" s="2425" customFormat="1" customHeight="1" spans="10:27">
      <c r="J513" s="2427"/>
      <c r="K513" s="1712"/>
      <c r="L513" s="1712"/>
      <c r="M513" s="1712"/>
      <c r="N513" s="1712"/>
      <c r="O513" s="1712"/>
      <c r="P513" s="1712"/>
      <c r="Q513" s="1712"/>
      <c r="R513" s="1712"/>
      <c r="S513" s="1712"/>
      <c r="T513" s="1712"/>
      <c r="U513" s="1712"/>
      <c r="V513" s="1712"/>
      <c r="W513" s="1712"/>
      <c r="X513" s="1712"/>
      <c r="Y513" s="1712"/>
      <c r="Z513" s="1712"/>
      <c r="AA513" s="1712"/>
    </row>
    <row r="514" s="2425" customFormat="1" customHeight="1" spans="10:27">
      <c r="J514" s="2427"/>
      <c r="K514" s="1712"/>
      <c r="L514" s="1712"/>
      <c r="M514" s="1712"/>
      <c r="N514" s="1712"/>
      <c r="O514" s="1712"/>
      <c r="P514" s="1712"/>
      <c r="Q514" s="1712"/>
      <c r="R514" s="1712"/>
      <c r="S514" s="1712"/>
      <c r="T514" s="1712"/>
      <c r="U514" s="1712"/>
      <c r="V514" s="1712"/>
      <c r="W514" s="1712"/>
      <c r="X514" s="1712"/>
      <c r="Y514" s="1712"/>
      <c r="Z514" s="1712"/>
      <c r="AA514" s="1712"/>
    </row>
    <row r="515" s="2425" customFormat="1" customHeight="1" spans="10:27">
      <c r="J515" s="2427"/>
      <c r="K515" s="1712"/>
      <c r="L515" s="1712"/>
      <c r="M515" s="1712"/>
      <c r="N515" s="1712"/>
      <c r="O515" s="1712"/>
      <c r="P515" s="1712"/>
      <c r="Q515" s="1712"/>
      <c r="R515" s="1712"/>
      <c r="S515" s="1712"/>
      <c r="T515" s="1712"/>
      <c r="U515" s="1712"/>
      <c r="V515" s="1712"/>
      <c r="W515" s="1712"/>
      <c r="X515" s="1712"/>
      <c r="Y515" s="1712"/>
      <c r="Z515" s="1712"/>
      <c r="AA515" s="1712"/>
    </row>
    <row r="516" s="2425" customFormat="1" customHeight="1" spans="6:27">
      <c r="F516" s="2426"/>
      <c r="G516" s="2426"/>
      <c r="H516" s="2426"/>
      <c r="I516" s="2426"/>
      <c r="J516" s="2427"/>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6" workbookViewId="0">
      <selection activeCell="A58" sqref="A58:C58"/>
    </sheetView>
  </sheetViews>
  <sheetFormatPr defaultColWidth="12.625" defaultRowHeight="21.75" customHeight="1"/>
  <cols>
    <col min="1" max="1" width="12.625" style="2426"/>
    <col min="2" max="2" width="17.625" style="2426" customWidth="1"/>
    <col min="3" max="4" width="12.625" style="2426" customWidth="1"/>
    <col min="5" max="9" width="12.625" style="2426"/>
    <col min="10" max="10" width="4.125" style="2427" customWidth="1"/>
    <col min="11" max="12" width="12.625" style="1712" customWidth="1"/>
    <col min="13" max="13" width="12.625" style="1712"/>
    <col min="14" max="14" width="14.125" style="1712" customWidth="1"/>
    <col min="15" max="27" width="12.625" style="1712"/>
    <col min="28" max="36" width="12.625" style="2425"/>
    <col min="37" max="16384" width="12.625" style="2426"/>
  </cols>
  <sheetData>
    <row r="1" customHeight="1" spans="1:9">
      <c r="A1" s="2428" t="s">
        <v>606</v>
      </c>
      <c r="B1" s="2429"/>
      <c r="C1" s="2429"/>
      <c r="D1" s="2429"/>
      <c r="E1" s="2429"/>
      <c r="F1" s="2429"/>
      <c r="G1" s="2429"/>
      <c r="H1" s="2429"/>
      <c r="I1" s="2429"/>
    </row>
    <row r="2" customHeight="1" spans="1:10">
      <c r="A2" s="2430" t="s">
        <v>823</v>
      </c>
      <c r="B2" s="2430"/>
      <c r="C2" s="2430"/>
      <c r="D2" s="2430"/>
      <c r="E2" s="2430"/>
      <c r="F2" s="2430"/>
      <c r="G2" s="2430"/>
      <c r="H2" s="2430"/>
      <c r="I2" s="2430"/>
      <c r="J2" s="2561"/>
    </row>
    <row r="3" ht="13.5" spans="1:10">
      <c r="A3" s="2431" t="s">
        <v>607</v>
      </c>
      <c r="B3" s="2167"/>
      <c r="C3" s="2167"/>
      <c r="D3" s="2167"/>
      <c r="E3" s="2167"/>
      <c r="F3" s="2167"/>
      <c r="G3" s="2167"/>
      <c r="H3" s="2167"/>
      <c r="I3" s="2167"/>
      <c r="J3" s="2562"/>
    </row>
    <row r="4" ht="14.25" spans="1:15">
      <c r="A4" s="2432" t="s">
        <v>608</v>
      </c>
      <c r="B4" s="2432" t="s">
        <v>609</v>
      </c>
      <c r="C4" s="2433"/>
      <c r="D4" s="2433"/>
      <c r="E4" s="2149" t="s">
        <v>612</v>
      </c>
      <c r="F4" s="2150"/>
      <c r="G4" s="2150"/>
      <c r="H4" s="2150"/>
      <c r="I4" s="2546"/>
      <c r="J4" s="2563"/>
      <c r="L4" s="242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2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29"/>
      <c r="O4" s="2429"/>
    </row>
    <row r="5" ht="13.5" spans="1:10">
      <c r="A5" s="1294" t="s">
        <v>613</v>
      </c>
      <c r="B5" s="1294">
        <v>25</v>
      </c>
      <c r="C5" s="2434"/>
      <c r="D5" s="2435"/>
      <c r="E5" s="2228" t="s">
        <v>614</v>
      </c>
      <c r="F5" s="2150"/>
      <c r="G5" s="2150"/>
      <c r="H5" s="2150"/>
      <c r="I5" s="2546"/>
      <c r="J5" s="2563"/>
    </row>
    <row r="6" ht="13.5" spans="1:10">
      <c r="A6" s="1294"/>
      <c r="B6" s="1294"/>
      <c r="C6" s="2436"/>
      <c r="D6" s="2435"/>
      <c r="E6" s="2228" t="s">
        <v>615</v>
      </c>
      <c r="F6" s="2150"/>
      <c r="G6" s="2150"/>
      <c r="H6" s="2150"/>
      <c r="I6" s="2546"/>
      <c r="J6" s="2563"/>
    </row>
    <row r="7" ht="13.5" spans="1:10">
      <c r="A7" s="1294"/>
      <c r="B7" s="1294"/>
      <c r="C7" s="2437"/>
      <c r="D7" s="2435"/>
      <c r="E7" s="2228" t="s">
        <v>616</v>
      </c>
      <c r="F7" s="2150"/>
      <c r="G7" s="2150"/>
      <c r="H7" s="2150"/>
      <c r="I7" s="2546"/>
      <c r="J7" s="2563"/>
    </row>
    <row r="8" ht="13.5" spans="1:10">
      <c r="A8" s="1294" t="s">
        <v>617</v>
      </c>
      <c r="B8" s="1294">
        <v>15</v>
      </c>
      <c r="C8" s="2434"/>
      <c r="D8" s="2435"/>
      <c r="E8" s="2228" t="s">
        <v>618</v>
      </c>
      <c r="F8" s="2150"/>
      <c r="G8" s="2150"/>
      <c r="H8" s="2150"/>
      <c r="I8" s="2546"/>
      <c r="J8" s="2563"/>
    </row>
    <row r="9" ht="13.5" spans="1:10">
      <c r="A9" s="1294"/>
      <c r="B9" s="1294"/>
      <c r="C9" s="2437"/>
      <c r="D9" s="2435"/>
      <c r="E9" s="2228" t="s">
        <v>619</v>
      </c>
      <c r="F9" s="2150"/>
      <c r="G9" s="2150"/>
      <c r="H9" s="2150"/>
      <c r="I9" s="2546"/>
      <c r="J9" s="2563"/>
    </row>
    <row r="10" ht="13.5" spans="1:10">
      <c r="A10" s="1294" t="s">
        <v>620</v>
      </c>
      <c r="B10" s="1294">
        <v>15</v>
      </c>
      <c r="C10" s="2434"/>
      <c r="D10" s="2435"/>
      <c r="E10" s="2228" t="s">
        <v>621</v>
      </c>
      <c r="F10" s="2150"/>
      <c r="G10" s="2150"/>
      <c r="H10" s="2150"/>
      <c r="I10" s="2546"/>
      <c r="J10" s="2563"/>
    </row>
    <row r="11" ht="13.5" spans="1:10">
      <c r="A11" s="1294"/>
      <c r="B11" s="1294"/>
      <c r="C11" s="2437"/>
      <c r="D11" s="2435"/>
      <c r="E11" s="2228" t="s">
        <v>622</v>
      </c>
      <c r="F11" s="2150"/>
      <c r="G11" s="2150"/>
      <c r="H11" s="2150"/>
      <c r="I11" s="2546"/>
      <c r="J11" s="2563"/>
    </row>
    <row r="12" ht="13.5" spans="1:10">
      <c r="A12" s="1294" t="s">
        <v>623</v>
      </c>
      <c r="B12" s="1294">
        <v>15</v>
      </c>
      <c r="C12" s="2434"/>
      <c r="D12" s="2435"/>
      <c r="E12" s="2228" t="s">
        <v>624</v>
      </c>
      <c r="F12" s="2150"/>
      <c r="G12" s="2150"/>
      <c r="H12" s="2150"/>
      <c r="I12" s="2546"/>
      <c r="J12" s="2563"/>
    </row>
    <row r="13" ht="13.5" spans="1:10">
      <c r="A13" s="1294"/>
      <c r="B13" s="1294"/>
      <c r="C13" s="2437"/>
      <c r="D13" s="2435"/>
      <c r="E13" s="2228" t="s">
        <v>625</v>
      </c>
      <c r="F13" s="2150"/>
      <c r="G13" s="2150"/>
      <c r="H13" s="2150"/>
      <c r="I13" s="2546"/>
      <c r="J13" s="2563"/>
    </row>
    <row r="14" ht="13.5" spans="1:10">
      <c r="A14" s="1294" t="s">
        <v>626</v>
      </c>
      <c r="B14" s="1294">
        <v>30</v>
      </c>
      <c r="C14" s="2434"/>
      <c r="D14" s="2435"/>
      <c r="E14" s="2228" t="s">
        <v>627</v>
      </c>
      <c r="F14" s="2150"/>
      <c r="G14" s="2150"/>
      <c r="H14" s="2150"/>
      <c r="I14" s="2546"/>
      <c r="J14" s="2563"/>
    </row>
    <row r="15" ht="13.5" spans="1:10">
      <c r="A15" s="1294"/>
      <c r="B15" s="1294"/>
      <c r="C15" s="2436"/>
      <c r="D15" s="2435"/>
      <c r="E15" s="2228" t="s">
        <v>628</v>
      </c>
      <c r="F15" s="2150"/>
      <c r="G15" s="2150"/>
      <c r="H15" s="2150"/>
      <c r="I15" s="2546"/>
      <c r="J15" s="2563"/>
    </row>
    <row r="16" ht="13.5" spans="1:10">
      <c r="A16" s="1294"/>
      <c r="B16" s="1294"/>
      <c r="C16" s="2437"/>
      <c r="D16" s="2435"/>
      <c r="E16" s="2228" t="s">
        <v>629</v>
      </c>
      <c r="F16" s="2150"/>
      <c r="G16" s="2150"/>
      <c r="H16" s="2150"/>
      <c r="I16" s="2546"/>
      <c r="J16" s="2563"/>
    </row>
    <row r="17" ht="14.25" spans="1:10">
      <c r="A17" s="2438" t="s">
        <v>630</v>
      </c>
      <c r="B17" s="1293"/>
      <c r="C17" s="2439">
        <f>SUM(C5:C16)</f>
        <v>0</v>
      </c>
      <c r="D17" s="2439">
        <f>SUM(D5:D16)</f>
        <v>0</v>
      </c>
      <c r="E17" s="2440"/>
      <c r="F17" s="2440"/>
      <c r="G17" s="2440"/>
      <c r="H17" s="2440"/>
      <c r="I17" s="2440"/>
      <c r="J17" s="2564"/>
    </row>
    <row r="18" ht="32.45" customHeight="1" spans="1:10">
      <c r="A18" s="2441" t="s">
        <v>631</v>
      </c>
      <c r="B18" s="2442"/>
      <c r="C18" s="2443" t="e">
        <f>ROUND(C17/SUM(C17:D17),2)</f>
        <v>#DIV/0!</v>
      </c>
      <c r="D18" s="2443" t="e">
        <f>1-C18</f>
        <v>#DIV/0!</v>
      </c>
      <c r="E18" s="2444" t="s">
        <v>632</v>
      </c>
      <c r="F18" s="2445"/>
      <c r="G18" s="2445"/>
      <c r="H18" s="2445"/>
      <c r="I18" s="2445"/>
      <c r="J18" s="2564"/>
    </row>
    <row r="19" ht="14.25" spans="1:10">
      <c r="A19" s="2446" t="s">
        <v>633</v>
      </c>
      <c r="B19" s="2447" t="s">
        <v>634</v>
      </c>
      <c r="C19" s="2448" t="e">
        <f ca="1">SUMIF(INDIRECT("'"&amp;C4&amp;"'"&amp;"!A:A"),'结果表 (1修多)'!B19,INDIRECT("'"&amp;C4&amp;"'"&amp;"!B:B"))</f>
        <v>#REF!</v>
      </c>
      <c r="D19" s="2449" t="e">
        <f ca="1">SUMIF(INDIRECT("'"&amp;D4&amp;"'"&amp;"!A:A"),'结果表 (1修多)'!B19,INDIRECT("'"&amp;D4&amp;"'"&amp;"!B:B"))</f>
        <v>#REF!</v>
      </c>
      <c r="E19" s="2446" t="s">
        <v>635</v>
      </c>
      <c r="F19" s="2447" t="s">
        <v>634</v>
      </c>
      <c r="G19" s="2450" t="e">
        <f ca="1">ROUND(C19*$C$18+D19*$D$18,0)</f>
        <v>#REF!</v>
      </c>
      <c r="H19" s="2451" t="str">
        <f>'数据-取费表'!B3</f>
        <v>元</v>
      </c>
      <c r="I19" s="2440"/>
      <c r="J19" s="2564"/>
    </row>
    <row r="20" ht="15" spans="1:10">
      <c r="A20" s="2452"/>
      <c r="B20" s="1311" t="s">
        <v>636</v>
      </c>
      <c r="C20" s="1218" t="e">
        <f ca="1">SUMIF(INDIRECT("'"&amp;C4&amp;"'"&amp;"!A:A"),'结果表 (1修多)'!B20,INDIRECT("'"&amp;C4&amp;"'"&amp;"!B:B"))</f>
        <v>#REF!</v>
      </c>
      <c r="D20" s="2389" t="e">
        <f ca="1">SUMIF(INDIRECT("'"&amp;D4&amp;"'"&amp;"!A:A"),'结果表 (1修多)'!B20,INDIRECT("'"&amp;D4&amp;"'"&amp;"!B:B"))</f>
        <v>#REF!</v>
      </c>
      <c r="E20" s="2452"/>
      <c r="F20" s="1311" t="s">
        <v>636</v>
      </c>
      <c r="G20" s="1242" t="e">
        <f ca="1">ROUND(C20*$C$18+D20*$D$18,0)</f>
        <v>#REF!</v>
      </c>
      <c r="H20" s="2453" t="s">
        <v>637</v>
      </c>
      <c r="I20" s="2440"/>
      <c r="J20" s="2564"/>
    </row>
    <row r="21" ht="15" customHeight="1" spans="1:10">
      <c r="A21" s="2454"/>
      <c r="B21" s="2455"/>
      <c r="C21" s="2455"/>
      <c r="D21" s="2456"/>
      <c r="E21" s="2454"/>
      <c r="F21" s="2455"/>
      <c r="G21" s="2457"/>
      <c r="H21" s="2458"/>
      <c r="I21" s="2440"/>
      <c r="J21" s="2564"/>
    </row>
    <row r="22" ht="15" spans="1:10">
      <c r="A22" s="2459" t="s">
        <v>638</v>
      </c>
      <c r="B22" s="2460"/>
      <c r="C22" s="2461"/>
      <c r="D22" s="2462" t="e">
        <f ca="1">IF(C19&lt;D19,D19/C19-1,C19/D19-1)</f>
        <v>#REF!</v>
      </c>
      <c r="E22" s="2266"/>
      <c r="F22" s="2266"/>
      <c r="G22" s="2266"/>
      <c r="H22" s="2266"/>
      <c r="I22" s="2266"/>
      <c r="J22" s="2564"/>
    </row>
    <row r="23" ht="14.25" spans="1:10">
      <c r="A23" s="2440"/>
      <c r="B23" s="2440"/>
      <c r="C23" s="2440"/>
      <c r="D23" s="2440"/>
      <c r="E23" s="2266"/>
      <c r="F23" s="2266"/>
      <c r="G23" s="2266"/>
      <c r="H23" s="2266"/>
      <c r="I23" s="2266"/>
      <c r="J23" s="2564"/>
    </row>
    <row r="24" customHeight="1" spans="1:10">
      <c r="A24" s="1122" t="s">
        <v>639</v>
      </c>
      <c r="B24" s="2447" t="s">
        <v>634</v>
      </c>
      <c r="C24" s="2450">
        <f>D30</f>
        <v>0</v>
      </c>
      <c r="D24" s="2463"/>
      <c r="E24" s="2266"/>
      <c r="F24" s="2266"/>
      <c r="G24" s="2266"/>
      <c r="H24" s="2266"/>
      <c r="I24" s="2266"/>
      <c r="J24" s="2564"/>
    </row>
    <row r="25" customHeight="1" spans="1:10">
      <c r="A25" s="2464"/>
      <c r="B25" s="1311" t="s">
        <v>636</v>
      </c>
      <c r="C25" s="2465">
        <f>IF(B30=0,0,C30)</f>
        <v>0</v>
      </c>
      <c r="D25" s="2466"/>
      <c r="E25" s="2266"/>
      <c r="F25" s="2266"/>
      <c r="G25" s="2266"/>
      <c r="H25" s="2266"/>
      <c r="I25" s="2266"/>
      <c r="J25" s="2564"/>
    </row>
    <row r="26" ht="13.5" customHeight="1" spans="1:10">
      <c r="A26" s="2467" t="s">
        <v>640</v>
      </c>
      <c r="B26" s="2468" t="s">
        <v>641</v>
      </c>
      <c r="C26" s="2468" t="s">
        <v>642</v>
      </c>
      <c r="D26" s="2469" t="s">
        <v>643</v>
      </c>
      <c r="E26" s="2266"/>
      <c r="F26" s="2266"/>
      <c r="G26" s="2266"/>
      <c r="H26" s="2266"/>
      <c r="I26" s="2266"/>
      <c r="J26" s="2564"/>
    </row>
    <row r="27" ht="14.25" spans="1:10">
      <c r="A27" s="2470" t="s">
        <v>824</v>
      </c>
      <c r="B27" s="2468">
        <v>0</v>
      </c>
      <c r="C27" s="2468">
        <v>0</v>
      </c>
      <c r="D27" s="2469">
        <f>ROUND(C27*B27/10000,0)</f>
        <v>0</v>
      </c>
      <c r="E27" s="2266"/>
      <c r="F27" s="2266"/>
      <c r="G27" s="2266"/>
      <c r="H27" s="2266"/>
      <c r="I27" s="2266"/>
      <c r="J27" s="2564"/>
    </row>
    <row r="28" ht="14.25" spans="1:10">
      <c r="A28" s="2467"/>
      <c r="B28" s="2468"/>
      <c r="C28" s="2468"/>
      <c r="D28" s="2469">
        <f>ROUND(C28*B28/10000,0)</f>
        <v>0</v>
      </c>
      <c r="E28" s="2266"/>
      <c r="F28" s="2266"/>
      <c r="G28" s="2266"/>
      <c r="H28" s="2266"/>
      <c r="I28" s="2266"/>
      <c r="J28" s="2564"/>
    </row>
    <row r="29" ht="14.25" spans="1:10">
      <c r="A29" s="2467"/>
      <c r="B29" s="2468"/>
      <c r="C29" s="2468"/>
      <c r="D29" s="2469">
        <f t="shared" ref="D29" si="0">ROUND(C29*B29/10000,0)</f>
        <v>0</v>
      </c>
      <c r="E29" s="2266"/>
      <c r="F29" s="2266"/>
      <c r="G29" s="2266"/>
      <c r="H29" s="2266"/>
      <c r="I29" s="2266"/>
      <c r="J29" s="2564"/>
    </row>
    <row r="30" ht="15" spans="1:10">
      <c r="A30" s="2471" t="s">
        <v>644</v>
      </c>
      <c r="B30" s="2472"/>
      <c r="C30" s="2472"/>
      <c r="D30" s="2472"/>
      <c r="E30" s="2473" t="s">
        <v>645</v>
      </c>
      <c r="F30" s="2440"/>
      <c r="G30" s="2440"/>
      <c r="H30" s="2440"/>
      <c r="I30" s="2440"/>
      <c r="J30" s="2564"/>
    </row>
    <row r="31" s="2422" customFormat="1" ht="27.6" customHeight="1" spans="1:36">
      <c r="A31" s="2474"/>
      <c r="B31" s="2475"/>
      <c r="C31" s="2475"/>
      <c r="D31" s="2475"/>
      <c r="E31" s="2475"/>
      <c r="F31" s="2475"/>
      <c r="G31" s="2475"/>
      <c r="H31" s="2475"/>
      <c r="I31" s="2565" t="s">
        <v>646</v>
      </c>
      <c r="J31" s="2566"/>
      <c r="K31" s="2567"/>
      <c r="L31" s="2567"/>
      <c r="M31" s="2567"/>
      <c r="N31" s="2567"/>
      <c r="O31" s="2567"/>
      <c r="P31" s="2567"/>
      <c r="Q31" s="2567"/>
      <c r="R31" s="2567"/>
      <c r="S31" s="2567"/>
      <c r="T31" s="2567"/>
      <c r="U31" s="2567"/>
      <c r="V31" s="2567"/>
      <c r="W31" s="2567"/>
      <c r="X31" s="2567"/>
      <c r="Y31" s="2567"/>
      <c r="Z31" s="2567"/>
      <c r="AA31" s="2567"/>
      <c r="AB31" s="2612"/>
      <c r="AC31" s="2612"/>
      <c r="AD31" s="2612"/>
      <c r="AE31" s="2612"/>
      <c r="AF31" s="2612"/>
      <c r="AG31" s="2612"/>
      <c r="AH31" s="2612"/>
      <c r="AI31" s="2612"/>
      <c r="AJ31" s="2612"/>
    </row>
    <row r="32" s="2423" customFormat="1" ht="16.5" spans="1:36">
      <c r="A32" s="2476" t="s">
        <v>825</v>
      </c>
      <c r="B32" s="2476"/>
      <c r="C32" s="2476"/>
      <c r="D32" s="2476"/>
      <c r="E32" s="2476"/>
      <c r="F32" s="2476"/>
      <c r="G32" s="2476"/>
      <c r="H32" s="2476"/>
      <c r="I32" s="2476"/>
      <c r="J32" s="2568"/>
      <c r="K32" s="1712"/>
      <c r="L32" s="1712"/>
      <c r="M32" s="1712"/>
      <c r="N32" s="1712"/>
      <c r="O32" s="1712"/>
      <c r="P32" s="1712"/>
      <c r="Q32" s="1712"/>
      <c r="R32" s="1712"/>
      <c r="S32" s="1712"/>
      <c r="T32" s="1712"/>
      <c r="U32" s="1712"/>
      <c r="V32" s="1712"/>
      <c r="W32" s="1712"/>
      <c r="X32" s="1712"/>
      <c r="Y32" s="1712"/>
      <c r="Z32" s="1712"/>
      <c r="AA32" s="1712"/>
      <c r="AB32" s="2425"/>
      <c r="AC32" s="2425"/>
      <c r="AD32" s="2425"/>
      <c r="AE32" s="2425"/>
      <c r="AF32" s="2425"/>
      <c r="AG32" s="2425"/>
      <c r="AH32" s="2425"/>
      <c r="AI32" s="2425"/>
      <c r="AJ32" s="2425"/>
    </row>
    <row r="33" ht="15" spans="1:10">
      <c r="A33" s="2477"/>
      <c r="B33" s="2478" t="s">
        <v>826</v>
      </c>
      <c r="C33" s="2479">
        <f>典型户型修正!R27</f>
        <v>0</v>
      </c>
      <c r="D33" s="2440" t="s">
        <v>637</v>
      </c>
      <c r="E33" s="2266"/>
      <c r="F33" s="2266"/>
      <c r="G33" s="2266"/>
      <c r="H33" s="2266"/>
      <c r="I33" s="2266"/>
      <c r="J33" s="2564"/>
    </row>
    <row r="34" ht="14.25" spans="1:10">
      <c r="A34" s="2480" t="s">
        <v>827</v>
      </c>
      <c r="B34" s="2481" t="s">
        <v>828</v>
      </c>
      <c r="C34" s="2482">
        <f ca="1">典型户型修正!B2</f>
        <v>0</v>
      </c>
      <c r="D34" s="2483" t="str">
        <f>IF('数据-取费表'!B3="万元","万元","元")</f>
        <v>元</v>
      </c>
      <c r="E34" s="2266"/>
      <c r="F34" s="2266"/>
      <c r="G34" s="2266"/>
      <c r="H34" s="2266"/>
      <c r="I34" s="2266"/>
      <c r="J34" s="2564"/>
    </row>
    <row r="35" ht="15.75" spans="1:10">
      <c r="A35" s="2484"/>
      <c r="B35" s="2485" t="s">
        <v>829</v>
      </c>
      <c r="C35" s="2456" t="e">
        <f ca="1">典型户型修正!B3</f>
        <v>#DIV/0!</v>
      </c>
      <c r="D35" s="2440" t="s">
        <v>637</v>
      </c>
      <c r="E35" s="2266"/>
      <c r="F35" s="2266"/>
      <c r="G35" s="2266"/>
      <c r="H35" s="2266"/>
      <c r="I35" s="2266"/>
      <c r="J35" s="2564"/>
    </row>
    <row r="36" ht="15" spans="1:10">
      <c r="A36" s="2486"/>
      <c r="B36" s="2487" t="s">
        <v>650</v>
      </c>
      <c r="C36" s="2488">
        <f>IF('数据-取费表'!B3="万元",典型户型修正!V25,典型户型修正!U25)</f>
        <v>0</v>
      </c>
      <c r="D36" s="2440" t="str">
        <f>D34</f>
        <v>元</v>
      </c>
      <c r="E36" s="2266"/>
      <c r="F36" s="2266"/>
      <c r="G36" s="2266"/>
      <c r="H36" s="2266"/>
      <c r="I36" s="2266"/>
      <c r="J36" s="2564"/>
    </row>
    <row r="37" ht="15.75" spans="1:10">
      <c r="A37" s="2489"/>
      <c r="B37" s="2490" t="s">
        <v>652</v>
      </c>
      <c r="C37" s="2491">
        <f>IF('数据-取费表'!B3="万元",典型户型修正!Y25,典型户型修正!X25)</f>
        <v>0</v>
      </c>
      <c r="D37" s="2440" t="str">
        <f>D34</f>
        <v>元</v>
      </c>
      <c r="E37" s="2266"/>
      <c r="F37" s="2266"/>
      <c r="G37" s="2266"/>
      <c r="H37" s="2266"/>
      <c r="I37" s="2266"/>
      <c r="J37" s="2564"/>
    </row>
    <row r="38" ht="15.75" spans="1:10">
      <c r="A38" s="1122" t="s">
        <v>654</v>
      </c>
      <c r="B38" s="2487" t="s">
        <v>655</v>
      </c>
      <c r="C38" s="2492"/>
      <c r="D38" s="2493"/>
      <c r="E38" s="2494"/>
      <c r="F38" s="2494"/>
      <c r="G38" s="2266"/>
      <c r="H38" s="2266"/>
      <c r="I38" s="2266"/>
      <c r="J38" s="2564"/>
    </row>
    <row r="39" ht="15.75" spans="1:10">
      <c r="A39" s="1134"/>
      <c r="B39" s="1293" t="s">
        <v>656</v>
      </c>
      <c r="C39" s="2495"/>
      <c r="D39" s="2496"/>
      <c r="E39" s="2496"/>
      <c r="F39" s="2494"/>
      <c r="G39" s="2496"/>
      <c r="H39" s="2496"/>
      <c r="I39" s="2496"/>
      <c r="J39" s="2569"/>
    </row>
    <row r="40" ht="15.75" spans="1:10">
      <c r="A40" s="2497"/>
      <c r="B40" s="2490" t="s">
        <v>657</v>
      </c>
      <c r="C40" s="2498"/>
      <c r="D40" s="2499" t="s">
        <v>658</v>
      </c>
      <c r="E40" s="2496"/>
      <c r="F40" s="2494"/>
      <c r="G40" s="2496"/>
      <c r="H40" s="2496"/>
      <c r="I40" s="2496"/>
      <c r="J40" s="2569"/>
    </row>
    <row r="41" ht="14.25" spans="1:10">
      <c r="A41" s="2452" t="s">
        <v>659</v>
      </c>
      <c r="B41" s="2500" t="s">
        <v>641</v>
      </c>
      <c r="C41" s="2501" t="s">
        <v>642</v>
      </c>
      <c r="D41" s="2501" t="s">
        <v>660</v>
      </c>
      <c r="E41" s="2502" t="s">
        <v>643</v>
      </c>
      <c r="F41" s="2494"/>
      <c r="G41" s="2496"/>
      <c r="H41" s="2496"/>
      <c r="I41" s="2496"/>
      <c r="J41" s="2569"/>
    </row>
    <row r="42" ht="14.25" spans="1:10">
      <c r="A42" s="2503" t="s">
        <v>661</v>
      </c>
      <c r="B42" s="2504"/>
      <c r="C42" s="2505"/>
      <c r="D42" s="2505"/>
      <c r="E42" s="2506"/>
      <c r="F42" s="2494"/>
      <c r="G42" s="2496"/>
      <c r="H42" s="2496"/>
      <c r="I42" s="2496"/>
      <c r="J42" s="2569"/>
    </row>
    <row r="43" ht="14.25" spans="1:10">
      <c r="A43" s="2503" t="s">
        <v>662</v>
      </c>
      <c r="B43" s="2504"/>
      <c r="C43" s="2505"/>
      <c r="D43" s="2505"/>
      <c r="E43" s="2506"/>
      <c r="F43" s="2494"/>
      <c r="G43" s="2496"/>
      <c r="H43" s="2496"/>
      <c r="I43" s="2496"/>
      <c r="J43" s="2569"/>
    </row>
    <row r="44" ht="15" spans="1:10">
      <c r="A44" s="2507"/>
      <c r="B44" s="2508"/>
      <c r="C44" s="2509"/>
      <c r="D44" s="2509"/>
      <c r="E44" s="2510"/>
      <c r="F44" s="2494"/>
      <c r="G44" s="2496"/>
      <c r="H44" s="2496"/>
      <c r="I44" s="2496"/>
      <c r="J44" s="2569"/>
    </row>
    <row r="45" ht="13.5" spans="1:10">
      <c r="A45" s="2511"/>
      <c r="B45" s="2511"/>
      <c r="C45" s="2511"/>
      <c r="D45" s="2511"/>
      <c r="E45" s="2511"/>
      <c r="F45" s="2512"/>
      <c r="G45" s="2512"/>
      <c r="H45" s="2512"/>
      <c r="I45" s="2570"/>
      <c r="J45" s="2571"/>
    </row>
    <row r="46" ht="18.75" spans="1:16">
      <c r="A46" s="2513" t="s">
        <v>663</v>
      </c>
      <c r="B46" s="2514"/>
      <c r="C46" s="2514"/>
      <c r="D46" s="2515"/>
      <c r="E46" s="2515"/>
      <c r="F46" s="2515"/>
      <c r="G46" s="2515"/>
      <c r="H46" s="2515"/>
      <c r="I46" s="2572" t="s">
        <v>664</v>
      </c>
      <c r="J46" s="2573"/>
      <c r="K46" s="2574" t="s">
        <v>665</v>
      </c>
      <c r="L46" s="2575"/>
      <c r="M46" s="2575"/>
      <c r="N46" s="2575"/>
      <c r="O46" s="2575"/>
      <c r="P46" s="2575"/>
    </row>
    <row r="47" ht="14.25" customHeight="1" spans="1:16">
      <c r="A47" s="2516" t="s">
        <v>666</v>
      </c>
      <c r="B47" s="2517"/>
      <c r="C47" s="2518"/>
      <c r="D47" s="2128">
        <f ca="1">ROUND(I104*F47,0)</f>
        <v>0</v>
      </c>
      <c r="E47" s="2216" t="s">
        <v>667</v>
      </c>
      <c r="F47" s="2519">
        <v>1</v>
      </c>
      <c r="G47" s="2520" t="s">
        <v>668</v>
      </c>
      <c r="H47" s="2266"/>
      <c r="I47" s="2266"/>
      <c r="J47" s="2564"/>
      <c r="K47" s="2576" t="s">
        <v>830</v>
      </c>
      <c r="L47" s="2576"/>
      <c r="M47" s="2576"/>
      <c r="N47" s="2576"/>
      <c r="O47" s="2576"/>
      <c r="P47" s="2576"/>
    </row>
    <row r="48" ht="14.25" customHeight="1" spans="1:16">
      <c r="A48" s="2521" t="s">
        <v>670</v>
      </c>
      <c r="B48" s="2522"/>
      <c r="C48" s="2522"/>
      <c r="D48" s="2522"/>
      <c r="E48" s="2522"/>
      <c r="F48" s="2522"/>
      <c r="G48" s="2523"/>
      <c r="H48" s="2524"/>
      <c r="I48" s="2266"/>
      <c r="J48" s="2564"/>
      <c r="K48" s="2577">
        <v>1</v>
      </c>
      <c r="L48" s="2578" t="s">
        <v>831</v>
      </c>
      <c r="M48" s="2578"/>
      <c r="N48" s="2579"/>
      <c r="O48" s="2579"/>
      <c r="P48" s="2579"/>
    </row>
    <row r="49" ht="12" customHeight="1" spans="1:16">
      <c r="A49" s="2525" t="s">
        <v>671</v>
      </c>
      <c r="B49" s="2526"/>
      <c r="C49" s="2527"/>
      <c r="D49" s="2166" t="s">
        <v>672</v>
      </c>
      <c r="E49" s="2116" t="s">
        <v>673</v>
      </c>
      <c r="F49" s="2327" t="s">
        <v>674</v>
      </c>
      <c r="G49" s="2528" t="s">
        <v>675</v>
      </c>
      <c r="H49" s="2524"/>
      <c r="I49" s="2266"/>
      <c r="J49" s="2564"/>
      <c r="K49" s="2577">
        <v>2</v>
      </c>
      <c r="L49" s="2578" t="s">
        <v>832</v>
      </c>
      <c r="M49" s="2578"/>
      <c r="N49" s="2580">
        <f>'数据-取费表'!B2</f>
        <v>44490</v>
      </c>
      <c r="O49" s="2580"/>
      <c r="P49" s="2580"/>
    </row>
    <row r="50" ht="24.75" spans="1:16">
      <c r="A50" s="2529" t="s">
        <v>677</v>
      </c>
      <c r="B50" s="2171"/>
      <c r="C50" s="2171"/>
      <c r="D50" s="2228">
        <f ca="1">IF(H50="情况1",0,IF(H50="情况2",D54,IF(H50="情况3",D55,IF(H50="情况4",D56))))</f>
        <v>0</v>
      </c>
      <c r="E50" s="2171" t="str">
        <f>IF(H50="情况4","(销售额-原购置价)×税（费）率","销售额×税（费）率")</f>
        <v>销售额×税（费）率</v>
      </c>
      <c r="F50" s="2530">
        <f>IF(H50="情况1","免征",'数据-取费表'!E29)</f>
        <v>0.056</v>
      </c>
      <c r="G50" s="2531" t="s">
        <v>678</v>
      </c>
      <c r="H50" s="2532" t="s">
        <v>679</v>
      </c>
      <c r="I50" s="2524"/>
      <c r="J50" s="2581"/>
      <c r="K50" s="2577">
        <v>3</v>
      </c>
      <c r="L50" s="2578" t="s">
        <v>833</v>
      </c>
      <c r="M50" s="2578"/>
      <c r="N50" s="2582">
        <f ca="1">I104</f>
        <v>0</v>
      </c>
      <c r="O50" s="2582"/>
      <c r="P50" s="2582"/>
    </row>
    <row r="51" ht="25.5" customHeight="1" spans="1:16">
      <c r="A51" s="2529" t="s">
        <v>681</v>
      </c>
      <c r="B51" s="2150" t="s">
        <v>682</v>
      </c>
      <c r="C51" s="2150"/>
      <c r="D51" s="2533">
        <v>0</v>
      </c>
      <c r="E51" s="2177" t="s">
        <v>683</v>
      </c>
      <c r="F51" s="2534" t="s">
        <v>121</v>
      </c>
      <c r="G51" s="2535"/>
      <c r="H51" s="2536" t="s">
        <v>834</v>
      </c>
      <c r="I51" s="2583"/>
      <c r="J51" s="2584"/>
      <c r="K51" s="2577">
        <v>4</v>
      </c>
      <c r="L51" s="2578" t="str">
        <f>IF(项目基本情况!F5="房地产抵押价值","房地产抵押价值","抵押担保权已注销时的房地产抵押价值")</f>
        <v>抵押担保权已注销时的房地产抵押价值</v>
      </c>
      <c r="M51" s="2578"/>
      <c r="N51" s="2582" t="str">
        <f ca="1">IF(项目基本情况!F5="房地产抵押价值",I112,I114)</f>
        <v>——</v>
      </c>
      <c r="O51" s="2582"/>
      <c r="P51" s="2582"/>
    </row>
    <row r="52" ht="25.5" customHeight="1" spans="1:16">
      <c r="A52" s="2537"/>
      <c r="B52" s="2150" t="s">
        <v>685</v>
      </c>
      <c r="C52" s="2150"/>
      <c r="D52" s="2538"/>
      <c r="E52" s="2187"/>
      <c r="F52" s="2534"/>
      <c r="G52" s="2539"/>
      <c r="H52" s="2540" t="s">
        <v>686</v>
      </c>
      <c r="I52" s="2583"/>
      <c r="J52" s="2584"/>
      <c r="K52" s="2578" t="s">
        <v>835</v>
      </c>
      <c r="L52" s="2578"/>
      <c r="M52" s="2578"/>
      <c r="N52" s="2578"/>
      <c r="O52" s="2578"/>
      <c r="P52" s="2578"/>
    </row>
    <row r="53" ht="20.45" customHeight="1" spans="1:16">
      <c r="A53" s="2541"/>
      <c r="B53" s="2150" t="s">
        <v>688</v>
      </c>
      <c r="C53" s="2150"/>
      <c r="D53" s="2166"/>
      <c r="E53" s="447"/>
      <c r="F53" s="2534"/>
      <c r="G53" s="2542"/>
      <c r="H53" s="2540" t="s">
        <v>689</v>
      </c>
      <c r="I53" s="2583"/>
      <c r="J53" s="2584"/>
      <c r="K53" s="2578" t="s">
        <v>836</v>
      </c>
      <c r="L53" s="2578" t="s">
        <v>837</v>
      </c>
      <c r="M53" s="2578"/>
      <c r="N53" s="2578" t="s">
        <v>838</v>
      </c>
      <c r="O53" s="2578" t="s">
        <v>839</v>
      </c>
      <c r="P53" s="2578" t="s">
        <v>840</v>
      </c>
    </row>
    <row r="54" ht="24" customHeight="1" spans="1:16">
      <c r="A54" s="2543" t="s">
        <v>695</v>
      </c>
      <c r="B54" s="2150" t="s">
        <v>696</v>
      </c>
      <c r="C54" s="2150"/>
      <c r="D54" s="2166">
        <f ca="1">ROUND(D47*'数据-取费表'!E29/(1+'数据-取费表'!F30),0)</f>
        <v>0</v>
      </c>
      <c r="E54" s="2171" t="s">
        <v>697</v>
      </c>
      <c r="F54" s="2544">
        <f>'数据-取费表'!E29</f>
        <v>0.056</v>
      </c>
      <c r="G54" s="2545"/>
      <c r="H54" s="2266"/>
      <c r="I54" s="2585"/>
      <c r="J54" s="2584"/>
      <c r="K54" s="2577">
        <v>1</v>
      </c>
      <c r="L54" s="2577" t="s">
        <v>841</v>
      </c>
      <c r="M54" s="2577"/>
      <c r="N54" s="2586">
        <f ca="1">D50</f>
        <v>0</v>
      </c>
      <c r="O54" s="2577" t="str">
        <f>E50</f>
        <v>销售额×税（费）率</v>
      </c>
      <c r="P54" s="2587">
        <f>F50</f>
        <v>0.056</v>
      </c>
    </row>
    <row r="55" ht="12" customHeight="1" spans="1:16">
      <c r="A55" s="2543" t="s">
        <v>699</v>
      </c>
      <c r="B55" s="2149" t="s">
        <v>700</v>
      </c>
      <c r="C55" s="2546"/>
      <c r="D55" s="2166">
        <f ca="1">ROUND(D47*'数据-取费表'!E29/(1+'数据-取费表'!F30),0)</f>
        <v>0</v>
      </c>
      <c r="E55" s="2171" t="s">
        <v>697</v>
      </c>
      <c r="F55" s="2544">
        <f>'数据-取费表'!E29</f>
        <v>0.056</v>
      </c>
      <c r="G55" s="2545"/>
      <c r="H55" s="2266"/>
      <c r="I55" s="2585"/>
      <c r="J55" s="2584"/>
      <c r="K55" s="2577">
        <v>2</v>
      </c>
      <c r="L55" s="2577" t="s">
        <v>842</v>
      </c>
      <c r="M55" s="2577"/>
      <c r="N55" s="2586">
        <f ca="1" t="shared" ref="N55:P56" si="1">D57</f>
        <v>0</v>
      </c>
      <c r="O55" s="2577" t="str">
        <f t="shared" si="1"/>
        <v>销售额×税（费）率</v>
      </c>
      <c r="P55" s="2587">
        <f t="shared" si="1"/>
        <v>0.0005</v>
      </c>
    </row>
    <row r="56" ht="12" customHeight="1" spans="1:16">
      <c r="A56" s="2543" t="s">
        <v>702</v>
      </c>
      <c r="B56" s="2149" t="s">
        <v>703</v>
      </c>
      <c r="C56" s="2546"/>
      <c r="D56" s="2166">
        <f ca="1">C70</f>
        <v>0</v>
      </c>
      <c r="E56" s="447" t="s">
        <v>704</v>
      </c>
      <c r="F56" s="2544">
        <f>'数据-取费表'!E29</f>
        <v>0.056</v>
      </c>
      <c r="G56" s="2545"/>
      <c r="H56" s="2547"/>
      <c r="I56" s="2585"/>
      <c r="J56" s="2584"/>
      <c r="K56" s="2577">
        <v>3</v>
      </c>
      <c r="L56" s="2577" t="s">
        <v>843</v>
      </c>
      <c r="M56" s="2577"/>
      <c r="N56" s="2586">
        <f ca="1" t="shared" si="1"/>
        <v>0</v>
      </c>
      <c r="O56" s="2577" t="str">
        <f t="shared" si="1"/>
        <v>增值额×税（费）率</v>
      </c>
      <c r="P56" s="2588" t="str">
        <f t="shared" si="1"/>
        <v>——</v>
      </c>
    </row>
    <row r="57" ht="24" customHeight="1" spans="1:16">
      <c r="A57" s="2543" t="s">
        <v>706</v>
      </c>
      <c r="B57" s="2171"/>
      <c r="C57" s="2171"/>
      <c r="D57" s="2228">
        <f ca="1">IF(H57="个人住宅",0,ROUND(D47*I57,0))</f>
        <v>0</v>
      </c>
      <c r="E57" s="2171" t="s">
        <v>707</v>
      </c>
      <c r="F57" s="2544">
        <f>IF(H57="正常",I57,"免征")</f>
        <v>0.0005</v>
      </c>
      <c r="G57" s="2545"/>
      <c r="H57" s="2532" t="s">
        <v>844</v>
      </c>
      <c r="I57" s="2589">
        <f>'数据-取费表'!E37</f>
        <v>0.0005</v>
      </c>
      <c r="J57" s="2584"/>
      <c r="K57" s="2577">
        <f>IF(H61="非个人房产","",4)</f>
        <v>4</v>
      </c>
      <c r="L57" s="2577" t="str">
        <f>IF(H61="非个人房产","——","个人所得税")</f>
        <v>个人所得税</v>
      </c>
      <c r="M57" s="2577"/>
      <c r="N57" s="2590">
        <f ca="1">D61</f>
        <v>0</v>
      </c>
      <c r="O57" s="2591" t="str">
        <f>E61</f>
        <v>销售额×税（费）率</v>
      </c>
      <c r="P57" s="2592">
        <f>F61</f>
        <v>0.01</v>
      </c>
    </row>
    <row r="58" ht="24.75" spans="1:16">
      <c r="A58" s="2543" t="s">
        <v>709</v>
      </c>
      <c r="B58" s="2171"/>
      <c r="C58" s="2171"/>
      <c r="D58" s="2228">
        <f ca="1">IF(H58="个人住宅",D59,D60)</f>
        <v>0</v>
      </c>
      <c r="E58" s="2171" t="s">
        <v>710</v>
      </c>
      <c r="F58" s="2544" t="str">
        <f>IF(H58="正常",F60,"免征")</f>
        <v>——</v>
      </c>
      <c r="G58" s="2548" t="s">
        <v>711</v>
      </c>
      <c r="H58" s="2549" t="s">
        <v>844</v>
      </c>
      <c r="I58" s="2550"/>
      <c r="J58" s="2584"/>
      <c r="K58" s="2577" t="str">
        <f>IF(项目基本情况!I6="上海银行",IF(K57="",4,K57+1),"")</f>
        <v/>
      </c>
      <c r="L58" s="2593" t="str">
        <f>IF(项目基本情况!I6="上海银行","其他处置费用","")</f>
        <v/>
      </c>
      <c r="M58" s="2594"/>
      <c r="N58" s="2586" t="str">
        <f ca="1">IF(项目基本情况!I6="上海银行",N71,"")</f>
        <v/>
      </c>
      <c r="O58" s="2593" t="str">
        <f>IF(项目基本情况!I6="上海银行","包含处置中涉及的律师、诉讼、拍卖、评估等费用","")</f>
        <v/>
      </c>
      <c r="P58" s="2595"/>
    </row>
    <row r="59" ht="13.5" spans="1:17">
      <c r="A59" s="2543" t="s">
        <v>681</v>
      </c>
      <c r="B59" s="2149" t="s">
        <v>712</v>
      </c>
      <c r="C59" s="2546"/>
      <c r="D59" s="2533">
        <v>0</v>
      </c>
      <c r="E59" s="2177" t="s">
        <v>683</v>
      </c>
      <c r="F59" s="2116"/>
      <c r="G59" s="2545"/>
      <c r="H59" s="2550"/>
      <c r="I59" s="2550"/>
      <c r="J59" s="2584"/>
      <c r="K59" s="2577">
        <f>IF(AND(K57="",K58=""),4,IF(项目基本情况!I6="上海银行",K58+1,K57+1))</f>
        <v>5</v>
      </c>
      <c r="L59" s="2577" t="s">
        <v>845</v>
      </c>
      <c r="M59" s="2596" t="s">
        <v>846</v>
      </c>
      <c r="N59" s="2597"/>
      <c r="O59" s="2598">
        <f ca="1">SUMIF(N54:N58,"&lt;9e307")</f>
        <v>0</v>
      </c>
      <c r="P59" s="2599"/>
      <c r="Q59" s="2611" t="e">
        <f ca="1">O59/N51</f>
        <v>#VALUE!</v>
      </c>
    </row>
    <row r="60" ht="24.75" spans="1:16">
      <c r="A60" s="2543" t="s">
        <v>695</v>
      </c>
      <c r="B60" s="2149" t="s">
        <v>714</v>
      </c>
      <c r="C60" s="2150"/>
      <c r="D60" s="2228">
        <f ca="1">IF(H60="转让取得",C83,C99)</f>
        <v>0</v>
      </c>
      <c r="E60" s="2171" t="s">
        <v>710</v>
      </c>
      <c r="F60" s="2116" t="s">
        <v>121</v>
      </c>
      <c r="G60" s="2545"/>
      <c r="H60" s="2549" t="s">
        <v>715</v>
      </c>
      <c r="I60" s="2550"/>
      <c r="J60" s="2584"/>
      <c r="K60" s="2577"/>
      <c r="L60" s="2577"/>
      <c r="M60" s="2596" t="s">
        <v>847</v>
      </c>
      <c r="N60" s="2600"/>
      <c r="O60" s="2601" t="str">
        <f ca="1">IF(H19="元",NUMBERSTRING(INT(O59),2)&amp;"元整",NUMBERSTRING(INT(O59*10000),2)&amp;"元整")</f>
        <v>零元整</v>
      </c>
      <c r="P60" s="2602"/>
    </row>
    <row r="61" ht="25.5" spans="1:16">
      <c r="A61" s="2551" t="s">
        <v>717</v>
      </c>
      <c r="B61" s="2552"/>
      <c r="C61" s="2552"/>
      <c r="D61" s="2553">
        <f ca="1">IF(H61="非个人房产","——",IF(H61="个人住宅（满五唯一有凭证）",0,IF(H61="个人其他（无凭证）",ROUND(D47*F61,0),ROUND(C69*F61,0))))</f>
        <v>0</v>
      </c>
      <c r="E61" s="2552" t="str">
        <f>IF(H61="非个人房产","——",IF(H61="个人其他（无凭证）","销售额×税（费）率",IF(H61="个人住宅（满五唯一有凭证）","免征","差额计税")))</f>
        <v>销售额×税（费）率</v>
      </c>
      <c r="F61" s="2554">
        <f>IF(OR(H61="非个人房产",H61="个人住宅（满五唯一有凭证）"),"——",IF(H61="个人其他（有凭证）",20%,1%))</f>
        <v>0.01</v>
      </c>
      <c r="G61" s="2555" t="s">
        <v>718</v>
      </c>
      <c r="H61" s="2556" t="s">
        <v>848</v>
      </c>
      <c r="I61" s="2603" t="s">
        <v>720</v>
      </c>
      <c r="J61" s="2584"/>
      <c r="K61" s="2591">
        <f>K59+1</f>
        <v>6</v>
      </c>
      <c r="L61" s="2577" t="s">
        <v>849</v>
      </c>
      <c r="M61" s="2577" t="s">
        <v>846</v>
      </c>
      <c r="N61" s="2604"/>
      <c r="O61" s="2605" t="e">
        <f ca="1">N51-O59</f>
        <v>#VALUE!</v>
      </c>
      <c r="P61" s="2606"/>
    </row>
    <row r="62" ht="12" customHeight="1" spans="1:16">
      <c r="A62" s="2557"/>
      <c r="B62" s="2440"/>
      <c r="C62" s="2440"/>
      <c r="D62" s="2440"/>
      <c r="E62" s="2557"/>
      <c r="F62" s="2550"/>
      <c r="G62" s="2550"/>
      <c r="H62" s="2558"/>
      <c r="I62" s="2266"/>
      <c r="J62" s="2584"/>
      <c r="K62" s="2607"/>
      <c r="L62" s="2577"/>
      <c r="M62" s="2596" t="s">
        <v>847</v>
      </c>
      <c r="N62" s="2600"/>
      <c r="O62" s="2601" t="e">
        <f ca="1">IF(H19="元",NUMBERSTRING(INT(O61),2)&amp;"元整",NUMBERSTRING(INT(O61*10000),2)&amp;"元整")</f>
        <v>#VALUE!</v>
      </c>
      <c r="P62" s="2602"/>
    </row>
    <row r="63" ht="14.25" spans="1:16">
      <c r="A63" s="2559" t="s">
        <v>721</v>
      </c>
      <c r="B63" s="2559"/>
      <c r="C63" s="2559"/>
      <c r="D63" s="2559"/>
      <c r="E63" s="2559"/>
      <c r="F63" s="2550"/>
      <c r="G63" s="2550"/>
      <c r="H63" s="2558"/>
      <c r="I63" s="2266"/>
      <c r="J63" s="2564"/>
      <c r="K63" s="2577">
        <f>K61+1</f>
        <v>7</v>
      </c>
      <c r="L63" s="2577" t="s">
        <v>850</v>
      </c>
      <c r="M63" s="2577"/>
      <c r="N63" s="2608"/>
      <c r="O63" s="2609" t="e">
        <f ca="1">IF(H19="元",ROUND(O61/项目基本情况!C12,0),ROUND(O61*10000/项目基本情况!C12,0))</f>
        <v>#VALUE!</v>
      </c>
      <c r="P63" s="2610"/>
    </row>
    <row r="64" ht="13.5" spans="1:15">
      <c r="A64" s="459" t="s">
        <v>723</v>
      </c>
      <c r="B64" s="425"/>
      <c r="C64" s="425"/>
      <c r="D64" s="425" t="s">
        <v>724</v>
      </c>
      <c r="E64" s="2560" t="s">
        <v>675</v>
      </c>
      <c r="F64" s="2550"/>
      <c r="G64" s="2550"/>
      <c r="H64" s="2558"/>
      <c r="I64" s="2266"/>
      <c r="J64" s="2564"/>
      <c r="K64" s="2425"/>
      <c r="L64" s="2425"/>
      <c r="M64" s="2425"/>
      <c r="N64" s="2425"/>
      <c r="O64" s="2425"/>
    </row>
    <row r="65" ht="13.5" spans="1:15">
      <c r="A65" s="2613">
        <v>1</v>
      </c>
      <c r="B65" s="2614" t="s">
        <v>725</v>
      </c>
      <c r="C65" s="2615">
        <f ca="1">ROUND((C66+C67)/(1+'数据-取费表'!F30),0)</f>
        <v>0</v>
      </c>
      <c r="D65" s="2614"/>
      <c r="E65" s="2616"/>
      <c r="F65" s="2550"/>
      <c r="G65" s="2550"/>
      <c r="H65" s="2558"/>
      <c r="I65" s="2266"/>
      <c r="J65" s="2564"/>
      <c r="K65" s="2682" t="s">
        <v>851</v>
      </c>
      <c r="L65" s="2682" t="s">
        <v>852</v>
      </c>
      <c r="M65" s="2682" t="e">
        <f ca="1">IF(N51&gt;10000,N51*0.5%,IF(AND(N51&gt;1000,N51&lt;=10000),N51*1%,IF(AND(N51&gt;100,N51&lt;=1000),N51*3%,IF(AND(N51&gt;10,N51&lt;=100),N51*5%,N51*8%))))</f>
        <v>#VALUE!</v>
      </c>
      <c r="N65" s="2116" t="e">
        <f ca="1">ROUND(M65,1)</f>
        <v>#VALUE!</v>
      </c>
      <c r="O65" s="2728"/>
    </row>
    <row r="66" ht="13.5" spans="1:15">
      <c r="A66" s="2617" t="s">
        <v>728</v>
      </c>
      <c r="B66" s="410" t="s">
        <v>729</v>
      </c>
      <c r="C66" s="2618">
        <f ca="1">D47</f>
        <v>0</v>
      </c>
      <c r="D66" s="410" t="s">
        <v>121</v>
      </c>
      <c r="E66" s="2619"/>
      <c r="F66" s="2550"/>
      <c r="G66" s="2550"/>
      <c r="H66" s="2558"/>
      <c r="I66" s="2266"/>
      <c r="J66" s="2564"/>
      <c r="K66" s="2682"/>
      <c r="L66" s="2682" t="s">
        <v>853</v>
      </c>
      <c r="M66" s="2682" t="e">
        <f ca="1">IF(N51&gt;2000,N51*0.5%,IF(AND(N51&gt;1000,N51&lt;=2000),N51*0.6%,IF(AND(N51&gt;500,N51&lt;=1000),N51*0.7%,IF(AND(N51&gt;200,N51&lt;=500),N51*0.8%,IF(AND(N51&gt;100,N51&lt;=200),N51*0.9%,IF(AND(N51&gt;50,N51&lt;=100),N51*1%,IF(AND(N51&gt;20,N51&lt;=50),N51*1.5%,IF(AND(N51&gt;10,N51&lt;=20),N51*2%,IF(AND(N51&gt;1,N51&lt;=10),N51*2.5%)))))))))</f>
        <v>#VALUE!</v>
      </c>
      <c r="N66" s="2116" t="e">
        <f ca="1" t="shared" ref="N66:N67" si="2">ROUND(M66,1)</f>
        <v>#VALUE!</v>
      </c>
      <c r="O66" s="2728" t="s">
        <v>854</v>
      </c>
    </row>
    <row r="67" ht="13.5" spans="1:15">
      <c r="A67" s="2617" t="s">
        <v>732</v>
      </c>
      <c r="B67" s="410" t="s">
        <v>733</v>
      </c>
      <c r="C67" s="2620"/>
      <c r="D67" s="410"/>
      <c r="E67" s="2619"/>
      <c r="F67" s="2550"/>
      <c r="G67" s="2550"/>
      <c r="H67" s="2558"/>
      <c r="I67" s="2266"/>
      <c r="J67" s="2564"/>
      <c r="K67" s="2682"/>
      <c r="L67" s="2682" t="s">
        <v>855</v>
      </c>
      <c r="M67" s="2682" t="e">
        <f ca="1">IF(N51&gt;1000,N51*0.1%,IF(AND(N51&gt;500,N51&lt;=1000),N51*0.5%,IF(AND(N51&gt;50,N51&lt;=500),N51*1%,IF(AND(N51&gt;1,N51&lt;=50),N51*1.5%))))</f>
        <v>#VALUE!</v>
      </c>
      <c r="N67" s="2116" t="e">
        <f ca="1" t="shared" si="2"/>
        <v>#VALUE!</v>
      </c>
      <c r="O67" s="2728" t="s">
        <v>854</v>
      </c>
    </row>
    <row r="68" ht="13.5" spans="1:15">
      <c r="A68" s="2621" t="s">
        <v>735</v>
      </c>
      <c r="B68" s="516" t="s">
        <v>736</v>
      </c>
      <c r="C68" s="2622"/>
      <c r="D68" s="516" t="s">
        <v>121</v>
      </c>
      <c r="E68" s="2623" t="s">
        <v>737</v>
      </c>
      <c r="F68" s="2550"/>
      <c r="G68" s="2550"/>
      <c r="H68" s="2558"/>
      <c r="I68" s="2266"/>
      <c r="J68" s="2564"/>
      <c r="K68" s="2682"/>
      <c r="L68" s="2682" t="s">
        <v>856</v>
      </c>
      <c r="M68" s="2682" t="e">
        <f ca="1">N51*0.5%</f>
        <v>#VALUE!</v>
      </c>
      <c r="N68" s="2116" t="e">
        <f ca="1">IF(M68&gt;0.5,0.5,ROUND(M68,0))</f>
        <v>#VALUE!</v>
      </c>
      <c r="O68" s="2728" t="s">
        <v>857</v>
      </c>
    </row>
    <row r="69" ht="13.5" spans="1:15">
      <c r="A69" s="2621" t="s">
        <v>740</v>
      </c>
      <c r="B69" s="516" t="s">
        <v>741</v>
      </c>
      <c r="C69" s="2624">
        <f ca="1">C65-C68</f>
        <v>0</v>
      </c>
      <c r="D69" s="410" t="s">
        <v>121</v>
      </c>
      <c r="E69" s="2619"/>
      <c r="F69" s="2550"/>
      <c r="G69" s="2550"/>
      <c r="H69" s="2558"/>
      <c r="I69" s="2266"/>
      <c r="J69" s="2564"/>
      <c r="K69" s="2682"/>
      <c r="L69" s="2682" t="s">
        <v>858</v>
      </c>
      <c r="M69" s="2682" t="e">
        <f ca="1">IF(N51&gt;=10000,(8.25+(N51-10000)*0.01%),IF(AND(N51&gt;=8000,N51&lt;10000),(7.85+(N51-8000)*0.02%),IF(AND(N51&gt;=5000,N51&lt;8000),(6.65+(N51-5000)*0.04%),IF(AND(N51&gt;=2000,N51&lt;5000),(4.25+(PN51-2000)*0.08%),IF(AND(N51&gt;=1000,N51&lt;2000),(2.75+(N51-1000)*0.15%),IF(AND(N51&gt;=100,N51&lt;1000),(0.5+(N51-100)*0.25%),IF(AND(N51&gt;0,N51&lt;100),N51*0.5%)))))))</f>
        <v>#VALUE!</v>
      </c>
      <c r="N69" s="2116" t="e">
        <f ca="1">ROUND(M69*0.9,1)</f>
        <v>#VALUE!</v>
      </c>
      <c r="O69" s="2728"/>
    </row>
    <row r="70" ht="14.25" spans="1:15">
      <c r="A70" s="2625" t="s">
        <v>743</v>
      </c>
      <c r="B70" s="537" t="s">
        <v>744</v>
      </c>
      <c r="C70" s="2626">
        <f ca="1">IF(C69&lt;=0,0,ROUND(C69*D70,0))</f>
        <v>0</v>
      </c>
      <c r="D70" s="631">
        <f>'数据-取费表'!E29</f>
        <v>0.056</v>
      </c>
      <c r="E70" s="2627"/>
      <c r="F70" s="2550"/>
      <c r="G70" s="2550"/>
      <c r="H70" s="2558"/>
      <c r="I70" s="2266"/>
      <c r="J70" s="2564"/>
      <c r="K70" s="2682"/>
      <c r="L70" s="2682" t="s">
        <v>859</v>
      </c>
      <c r="M70" s="2682" t="e">
        <f ca="1">IF(N51&gt;10000,N51*0.5%,IF(AND(N51&gt;5000,N51&lt;=10000),N51*1%,IF(AND(N51&gt;1000,N51&lt;=5000),N51*2%,IF(AND(N51&gt;200,N51&lt;=1000),N51*3%,N51*5%))))</f>
        <v>#VALUE!</v>
      </c>
      <c r="N70" s="2116" t="e">
        <f ca="1">ROUND(M70,1)</f>
        <v>#VALUE!</v>
      </c>
      <c r="O70" s="2728"/>
    </row>
    <row r="71" s="2423" customFormat="1" ht="7.5" customHeight="1" spans="1:36">
      <c r="A71" s="2628"/>
      <c r="B71" s="507"/>
      <c r="C71" s="2629"/>
      <c r="D71" s="558"/>
      <c r="E71" s="2511"/>
      <c r="F71" s="2557"/>
      <c r="G71" s="2557"/>
      <c r="H71" s="2511"/>
      <c r="I71" s="2440"/>
      <c r="J71" s="2564"/>
      <c r="K71" s="2682"/>
      <c r="L71" s="2682" t="s">
        <v>860</v>
      </c>
      <c r="M71" s="2682"/>
      <c r="N71" s="2116" t="e">
        <f ca="1">ROUND(SUM(N65:N70),0)</f>
        <v>#VALUE!</v>
      </c>
      <c r="O71" s="2729" t="e">
        <f ca="1">N71/N51</f>
        <v>#VALUE!</v>
      </c>
      <c r="P71" s="1712"/>
      <c r="Q71" s="1712"/>
      <c r="R71" s="1712"/>
      <c r="S71" s="1712"/>
      <c r="T71" s="1712"/>
      <c r="U71" s="1712"/>
      <c r="V71" s="1712"/>
      <c r="W71" s="1712"/>
      <c r="X71" s="1712"/>
      <c r="Y71" s="1712"/>
      <c r="Z71" s="1712"/>
      <c r="AA71" s="1712"/>
      <c r="AB71" s="2425"/>
      <c r="AC71" s="2425"/>
      <c r="AD71" s="2425"/>
      <c r="AE71" s="2425"/>
      <c r="AF71" s="2425"/>
      <c r="AG71" s="2425"/>
      <c r="AH71" s="2425"/>
      <c r="AI71" s="2425"/>
      <c r="AJ71" s="2425"/>
    </row>
    <row r="72" s="2424" customFormat="1" ht="15" spans="1:36">
      <c r="A72" s="2630" t="s">
        <v>746</v>
      </c>
      <c r="B72" s="507"/>
      <c r="C72" s="507"/>
      <c r="D72" s="507"/>
      <c r="E72" s="507"/>
      <c r="F72" s="507"/>
      <c r="G72" s="507"/>
      <c r="H72" s="507"/>
      <c r="I72" s="2730"/>
      <c r="J72" s="2731"/>
      <c r="K72" s="367"/>
      <c r="L72" s="367"/>
      <c r="M72" s="367"/>
      <c r="N72" s="367"/>
      <c r="O72" s="367"/>
      <c r="P72" s="367"/>
      <c r="Q72" s="367"/>
      <c r="R72" s="367"/>
      <c r="S72" s="367"/>
      <c r="T72" s="367"/>
      <c r="U72" s="367"/>
      <c r="V72" s="367"/>
      <c r="W72" s="367"/>
      <c r="X72" s="367"/>
      <c r="Y72" s="367"/>
      <c r="Z72" s="367"/>
      <c r="AA72" s="367"/>
      <c r="AB72" s="2737"/>
      <c r="AC72" s="2737"/>
      <c r="AD72" s="2737"/>
      <c r="AE72" s="2737"/>
      <c r="AF72" s="2737"/>
      <c r="AG72" s="2737"/>
      <c r="AH72" s="2737"/>
      <c r="AI72" s="2737"/>
      <c r="AJ72" s="2737"/>
    </row>
    <row r="73" s="2424" customFormat="1" ht="14.25" spans="1:36">
      <c r="A73" s="459" t="s">
        <v>723</v>
      </c>
      <c r="B73" s="425"/>
      <c r="C73" s="425"/>
      <c r="D73" s="425" t="s">
        <v>724</v>
      </c>
      <c r="E73" s="2631" t="s">
        <v>675</v>
      </c>
      <c r="F73" s="2632"/>
      <c r="G73" s="2632"/>
      <c r="H73" s="2633"/>
      <c r="I73" s="2732"/>
      <c r="J73" s="2733"/>
      <c r="K73" s="367"/>
      <c r="L73" s="367"/>
      <c r="M73" s="367"/>
      <c r="N73" s="367"/>
      <c r="O73" s="367"/>
      <c r="P73" s="367"/>
      <c r="Q73" s="367"/>
      <c r="R73" s="367"/>
      <c r="S73" s="367"/>
      <c r="T73" s="367"/>
      <c r="U73" s="367"/>
      <c r="V73" s="367"/>
      <c r="W73" s="367"/>
      <c r="X73" s="367"/>
      <c r="Y73" s="367"/>
      <c r="Z73" s="367"/>
      <c r="AA73" s="367"/>
      <c r="AB73" s="2737"/>
      <c r="AC73" s="2737"/>
      <c r="AD73" s="2737"/>
      <c r="AE73" s="2737"/>
      <c r="AF73" s="2737"/>
      <c r="AG73" s="2737"/>
      <c r="AH73" s="2737"/>
      <c r="AI73" s="2737"/>
      <c r="AJ73" s="2737"/>
    </row>
    <row r="74" s="2424" customFormat="1" ht="14.25" spans="1:36">
      <c r="A74" s="2634">
        <v>1</v>
      </c>
      <c r="B74" s="516" t="s">
        <v>747</v>
      </c>
      <c r="C74" s="2624">
        <f ca="1">ROUND(D47/(1+'数据-取费表'!F30),0)</f>
        <v>0</v>
      </c>
      <c r="D74" s="410" t="s">
        <v>121</v>
      </c>
      <c r="E74" s="2149"/>
      <c r="F74" s="2150"/>
      <c r="G74" s="2150"/>
      <c r="H74" s="2635"/>
      <c r="I74" s="2732"/>
      <c r="J74" s="2733"/>
      <c r="K74" s="367"/>
      <c r="L74" s="367"/>
      <c r="M74" s="367"/>
      <c r="N74" s="367"/>
      <c r="O74" s="367"/>
      <c r="P74" s="367"/>
      <c r="Q74" s="367"/>
      <c r="R74" s="367"/>
      <c r="S74" s="367"/>
      <c r="T74" s="367"/>
      <c r="U74" s="367"/>
      <c r="V74" s="367"/>
      <c r="W74" s="367"/>
      <c r="X74" s="367"/>
      <c r="Y74" s="367"/>
      <c r="Z74" s="367"/>
      <c r="AA74" s="367"/>
      <c r="AB74" s="2737"/>
      <c r="AC74" s="2737"/>
      <c r="AD74" s="2737"/>
      <c r="AE74" s="2737"/>
      <c r="AF74" s="2737"/>
      <c r="AG74" s="2737"/>
      <c r="AH74" s="2737"/>
      <c r="AI74" s="2737"/>
      <c r="AJ74" s="2737"/>
    </row>
    <row r="75" s="2424" customFormat="1" ht="14.25" spans="1:36">
      <c r="A75" s="2636">
        <v>2</v>
      </c>
      <c r="B75" s="2327" t="s">
        <v>749</v>
      </c>
      <c r="C75" s="2624">
        <f ca="1">C76+C80</f>
        <v>0</v>
      </c>
      <c r="D75" s="410" t="s">
        <v>121</v>
      </c>
      <c r="E75" s="2149"/>
      <c r="F75" s="2150"/>
      <c r="G75" s="2150"/>
      <c r="H75" s="2635"/>
      <c r="I75" s="2732"/>
      <c r="J75" s="2733"/>
      <c r="K75" s="367"/>
      <c r="L75" s="367"/>
      <c r="M75" s="367"/>
      <c r="N75" s="367"/>
      <c r="O75" s="367"/>
      <c r="P75" s="367"/>
      <c r="Q75" s="367"/>
      <c r="R75" s="367"/>
      <c r="S75" s="367"/>
      <c r="T75" s="367"/>
      <c r="U75" s="367"/>
      <c r="V75" s="367"/>
      <c r="W75" s="367"/>
      <c r="X75" s="367"/>
      <c r="Y75" s="367"/>
      <c r="Z75" s="367"/>
      <c r="AA75" s="367"/>
      <c r="AB75" s="2737"/>
      <c r="AC75" s="2737"/>
      <c r="AD75" s="2737"/>
      <c r="AE75" s="2737"/>
      <c r="AF75" s="2737"/>
      <c r="AG75" s="2737"/>
      <c r="AH75" s="2737"/>
      <c r="AI75" s="2737"/>
      <c r="AJ75" s="2737"/>
    </row>
    <row r="76" s="2424" customFormat="1" ht="14.25" spans="1:36">
      <c r="A76" s="2617" t="s">
        <v>750</v>
      </c>
      <c r="B76" s="410" t="s">
        <v>751</v>
      </c>
      <c r="C76" s="410">
        <f>ROUND(IF(G79="2016年5月1日后购买",C77/(1+'数据-取费表'!F30)+C78+C79,C77+C78+C79),0)</f>
        <v>0</v>
      </c>
      <c r="D76" s="410" t="s">
        <v>121</v>
      </c>
      <c r="E76" s="2149"/>
      <c r="F76" s="2150"/>
      <c r="G76" s="2150"/>
      <c r="H76" s="2635"/>
      <c r="I76" s="2732"/>
      <c r="J76" s="2733"/>
      <c r="K76" s="367"/>
      <c r="L76" s="367"/>
      <c r="M76" s="367"/>
      <c r="N76" s="367"/>
      <c r="O76" s="367"/>
      <c r="P76" s="367"/>
      <c r="Q76" s="367"/>
      <c r="R76" s="367"/>
      <c r="S76" s="367"/>
      <c r="T76" s="367"/>
      <c r="U76" s="367"/>
      <c r="V76" s="367"/>
      <c r="W76" s="367"/>
      <c r="X76" s="367"/>
      <c r="Y76" s="367"/>
      <c r="Z76" s="367"/>
      <c r="AA76" s="367"/>
      <c r="AB76" s="2737"/>
      <c r="AC76" s="2737"/>
      <c r="AD76" s="2737"/>
      <c r="AE76" s="2737"/>
      <c r="AF76" s="2737"/>
      <c r="AG76" s="2737"/>
      <c r="AH76" s="2737"/>
      <c r="AI76" s="2737"/>
      <c r="AJ76" s="2737"/>
    </row>
    <row r="77" s="2424" customFormat="1" ht="14.25" spans="1:36">
      <c r="A77" s="2617" t="s">
        <v>752</v>
      </c>
      <c r="B77" s="410" t="s">
        <v>753</v>
      </c>
      <c r="C77" s="540"/>
      <c r="D77" s="410" t="s">
        <v>121</v>
      </c>
      <c r="E77" s="2637" t="s">
        <v>754</v>
      </c>
      <c r="F77" s="2638" t="s">
        <v>755</v>
      </c>
      <c r="G77" s="2637" t="s">
        <v>756</v>
      </c>
      <c r="H77" s="2639"/>
      <c r="I77" s="544"/>
      <c r="J77" s="2734"/>
      <c r="K77" s="367"/>
      <c r="L77" s="367"/>
      <c r="M77" s="367"/>
      <c r="N77" s="367"/>
      <c r="O77" s="367"/>
      <c r="P77" s="367"/>
      <c r="Q77" s="367"/>
      <c r="R77" s="367"/>
      <c r="S77" s="367"/>
      <c r="T77" s="367"/>
      <c r="U77" s="367"/>
      <c r="V77" s="367"/>
      <c r="W77" s="367"/>
      <c r="X77" s="367"/>
      <c r="Y77" s="367"/>
      <c r="Z77" s="367"/>
      <c r="AA77" s="367"/>
      <c r="AB77" s="2737"/>
      <c r="AC77" s="2737"/>
      <c r="AD77" s="2737"/>
      <c r="AE77" s="2737"/>
      <c r="AF77" s="2737"/>
      <c r="AG77" s="2737"/>
      <c r="AH77" s="2737"/>
      <c r="AI77" s="2737"/>
      <c r="AJ77" s="2737"/>
    </row>
    <row r="78" s="2424" customFormat="1" ht="24.75" customHeight="1" spans="1:36">
      <c r="A78" s="2617" t="s">
        <v>757</v>
      </c>
      <c r="B78" s="432" t="s">
        <v>758</v>
      </c>
      <c r="C78" s="410">
        <f>IF(F77="购房发票",ROUND(C77*H77*D78,0),0)</f>
        <v>0</v>
      </c>
      <c r="D78" s="2640">
        <v>0.05</v>
      </c>
      <c r="E78" s="2149" t="s">
        <v>759</v>
      </c>
      <c r="F78" s="2150"/>
      <c r="G78" s="2150"/>
      <c r="H78" s="2641"/>
      <c r="I78" s="2732"/>
      <c r="J78" s="2733"/>
      <c r="K78" s="367"/>
      <c r="L78" s="367"/>
      <c r="M78" s="367"/>
      <c r="N78" s="367"/>
      <c r="O78" s="367"/>
      <c r="P78" s="367"/>
      <c r="Q78" s="367"/>
      <c r="R78" s="367"/>
      <c r="S78" s="367"/>
      <c r="T78" s="367"/>
      <c r="U78" s="367"/>
      <c r="V78" s="367"/>
      <c r="W78" s="367"/>
      <c r="X78" s="367"/>
      <c r="Y78" s="367"/>
      <c r="Z78" s="367"/>
      <c r="AA78" s="367"/>
      <c r="AB78" s="2737"/>
      <c r="AC78" s="2737"/>
      <c r="AD78" s="2737"/>
      <c r="AE78" s="2737"/>
      <c r="AF78" s="2737"/>
      <c r="AG78" s="2737"/>
      <c r="AH78" s="2737"/>
      <c r="AI78" s="2737"/>
      <c r="AJ78" s="2737"/>
    </row>
    <row r="79" s="2424" customFormat="1" ht="24.75" customHeight="1" spans="1:36">
      <c r="A79" s="2617" t="s">
        <v>760</v>
      </c>
      <c r="B79" s="410" t="s">
        <v>761</v>
      </c>
      <c r="C79" s="410">
        <f>ROUND(IF(G79="个人住宅",0,IF(G79="2016年5月1日前购买",C77*D79,C77*D79/(1+'数据-取费表'!F30))),0)</f>
        <v>0</v>
      </c>
      <c r="D79" s="2642">
        <f>'数据-取费表'!E36+'数据-取费表'!E37</f>
        <v>0.0305</v>
      </c>
      <c r="E79" s="2228" t="s">
        <v>762</v>
      </c>
      <c r="F79" s="1289"/>
      <c r="G79" s="2643" t="s">
        <v>763</v>
      </c>
      <c r="H79" s="2641" t="str">
        <f>IF(G79="个人买卖住房","免征印花税"," ")</f>
        <v> </v>
      </c>
      <c r="I79" s="2732"/>
      <c r="J79" s="2733"/>
      <c r="K79" s="367"/>
      <c r="L79" s="367"/>
      <c r="M79" s="367"/>
      <c r="N79" s="367"/>
      <c r="O79" s="367"/>
      <c r="P79" s="367"/>
      <c r="Q79" s="367"/>
      <c r="R79" s="367"/>
      <c r="S79" s="367"/>
      <c r="T79" s="367"/>
      <c r="U79" s="367"/>
      <c r="V79" s="367"/>
      <c r="W79" s="367"/>
      <c r="X79" s="367"/>
      <c r="Y79" s="367"/>
      <c r="Z79" s="367"/>
      <c r="AA79" s="367"/>
      <c r="AB79" s="2737"/>
      <c r="AC79" s="2737"/>
      <c r="AD79" s="2737"/>
      <c r="AE79" s="2737"/>
      <c r="AF79" s="2737"/>
      <c r="AG79" s="2737"/>
      <c r="AH79" s="2737"/>
      <c r="AI79" s="2737"/>
      <c r="AJ79" s="2737"/>
    </row>
    <row r="80" s="2424" customFormat="1" ht="24.75" customHeight="1" spans="1:36">
      <c r="A80" s="2617" t="s">
        <v>764</v>
      </c>
      <c r="B80" s="410" t="s">
        <v>765</v>
      </c>
      <c r="C80" s="2644">
        <f ca="1">ROUND(D47*D80/(1+'数据-取费表'!F30),0)</f>
        <v>0</v>
      </c>
      <c r="D80" s="2645">
        <f>'数据-取费表'!E31</f>
        <v>0.006</v>
      </c>
      <c r="E80" s="2646" t="s">
        <v>766</v>
      </c>
      <c r="F80" s="2647"/>
      <c r="G80" s="2647"/>
      <c r="H80" s="2648"/>
      <c r="I80" s="2653"/>
      <c r="J80" s="2735"/>
      <c r="K80" s="367"/>
      <c r="L80" s="367"/>
      <c r="M80" s="367"/>
      <c r="N80" s="367"/>
      <c r="O80" s="367"/>
      <c r="P80" s="367"/>
      <c r="Q80" s="367"/>
      <c r="R80" s="367"/>
      <c r="S80" s="367"/>
      <c r="T80" s="367"/>
      <c r="U80" s="367"/>
      <c r="V80" s="367"/>
      <c r="W80" s="367"/>
      <c r="X80" s="367"/>
      <c r="Y80" s="367"/>
      <c r="Z80" s="367"/>
      <c r="AA80" s="367"/>
      <c r="AB80" s="2737"/>
      <c r="AC80" s="2737"/>
      <c r="AD80" s="2737"/>
      <c r="AE80" s="2737"/>
      <c r="AF80" s="2737"/>
      <c r="AG80" s="2737"/>
      <c r="AH80" s="2737"/>
      <c r="AI80" s="2737"/>
      <c r="AJ80" s="2737"/>
    </row>
    <row r="81" s="2424" customFormat="1" ht="14.25" spans="1:36">
      <c r="A81" s="2621" t="s">
        <v>740</v>
      </c>
      <c r="B81" s="516" t="s">
        <v>767</v>
      </c>
      <c r="C81" s="2624">
        <f ca="1">C74-C75</f>
        <v>0</v>
      </c>
      <c r="D81" s="410" t="s">
        <v>121</v>
      </c>
      <c r="E81" s="2149"/>
      <c r="F81" s="2150"/>
      <c r="G81" s="2150"/>
      <c r="H81" s="2635"/>
      <c r="I81" s="2732"/>
      <c r="J81" s="2733"/>
      <c r="K81" s="367"/>
      <c r="L81" s="367"/>
      <c r="M81" s="367"/>
      <c r="N81" s="367"/>
      <c r="O81" s="367"/>
      <c r="P81" s="367"/>
      <c r="Q81" s="367"/>
      <c r="R81" s="367"/>
      <c r="S81" s="367"/>
      <c r="T81" s="367"/>
      <c r="U81" s="367"/>
      <c r="V81" s="367"/>
      <c r="W81" s="367"/>
      <c r="X81" s="367"/>
      <c r="Y81" s="367"/>
      <c r="Z81" s="367"/>
      <c r="AA81" s="367"/>
      <c r="AB81" s="2737"/>
      <c r="AC81" s="2737"/>
      <c r="AD81" s="2737"/>
      <c r="AE81" s="2737"/>
      <c r="AF81" s="2737"/>
      <c r="AG81" s="2737"/>
      <c r="AH81" s="2737"/>
      <c r="AI81" s="2737"/>
      <c r="AJ81" s="2737"/>
    </row>
    <row r="82" s="2424" customFormat="1" ht="14.25" spans="1:36">
      <c r="A82" s="2621" t="s">
        <v>743</v>
      </c>
      <c r="B82" s="516" t="s">
        <v>768</v>
      </c>
      <c r="C82" s="2649">
        <f ca="1">IF(C81&lt;=0,0,C81/C75)</f>
        <v>0</v>
      </c>
      <c r="D82" s="410" t="s">
        <v>121</v>
      </c>
      <c r="E82" s="2228" t="str">
        <f ca="1">IF(C82&gt;=200%,"增值额超过扣除项目金额200%",IF(C82&gt;=100%,"增值额超过扣除项目金额100%，未超过200%",IF(C82&gt;=50%,"增值额超过扣除项目金额50%，未超过100%",IF(C82&lt;50%,"增值额未超过扣除项目金额50%"))))</f>
        <v>增值额未超过扣除项目金额50%</v>
      </c>
      <c r="F82" s="2150"/>
      <c r="G82" s="2150"/>
      <c r="H82" s="2635"/>
      <c r="I82" s="2732"/>
      <c r="J82" s="2733"/>
      <c r="K82" s="367"/>
      <c r="L82" s="367"/>
      <c r="M82" s="367"/>
      <c r="N82" s="367"/>
      <c r="O82" s="367"/>
      <c r="P82" s="367"/>
      <c r="Q82" s="367"/>
      <c r="R82" s="367"/>
      <c r="S82" s="367"/>
      <c r="T82" s="367"/>
      <c r="U82" s="367"/>
      <c r="V82" s="367"/>
      <c r="W82" s="367"/>
      <c r="X82" s="367"/>
      <c r="Y82" s="367"/>
      <c r="Z82" s="367"/>
      <c r="AA82" s="367"/>
      <c r="AB82" s="2737"/>
      <c r="AC82" s="2737"/>
      <c r="AD82" s="2737"/>
      <c r="AE82" s="2737"/>
      <c r="AF82" s="2737"/>
      <c r="AG82" s="2737"/>
      <c r="AH82" s="2737"/>
      <c r="AI82" s="2737"/>
      <c r="AJ82" s="2737"/>
    </row>
    <row r="83" s="2424" customFormat="1" ht="15" spans="1:36">
      <c r="A83" s="2625" t="s">
        <v>769</v>
      </c>
      <c r="B83" s="537" t="s">
        <v>770</v>
      </c>
      <c r="C83" s="2650">
        <f ca="1">ROUND(IF(C81&lt;=0,0,IF(C82&gt;=200%,C81*60%-C75*35%,IF(C82&gt;=100%,C81*50%-C75*15%,IF(C82&gt;=50%,C81*40%-C75*5%,IF(C82&lt;50%,C81*30%,0))))),0)</f>
        <v>0</v>
      </c>
      <c r="D83" s="456" t="s">
        <v>121</v>
      </c>
      <c r="E83" s="2553"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1"/>
      <c r="G83" s="2651"/>
      <c r="H83" s="2652"/>
      <c r="I83" s="2732"/>
      <c r="J83" s="2733"/>
      <c r="K83" s="367"/>
      <c r="L83" s="367"/>
      <c r="M83" s="367"/>
      <c r="N83" s="367"/>
      <c r="O83" s="367"/>
      <c r="P83" s="367"/>
      <c r="Q83" s="367"/>
      <c r="R83" s="367"/>
      <c r="S83" s="367"/>
      <c r="T83" s="367"/>
      <c r="U83" s="367"/>
      <c r="V83" s="367"/>
      <c r="W83" s="367"/>
      <c r="X83" s="367"/>
      <c r="Y83" s="367"/>
      <c r="Z83" s="367"/>
      <c r="AA83" s="367"/>
      <c r="AB83" s="2737"/>
      <c r="AC83" s="2737"/>
      <c r="AD83" s="2737"/>
      <c r="AE83" s="2737"/>
      <c r="AF83" s="2737"/>
      <c r="AG83" s="2737"/>
      <c r="AH83" s="2737"/>
      <c r="AI83" s="2737"/>
      <c r="AJ83" s="2737"/>
    </row>
    <row r="84" s="2424" customFormat="1" ht="7.5" customHeight="1" spans="1:36">
      <c r="A84" s="544"/>
      <c r="B84" s="544"/>
      <c r="C84" s="544"/>
      <c r="D84" s="544"/>
      <c r="E84" s="544"/>
      <c r="F84" s="544"/>
      <c r="G84" s="544"/>
      <c r="H84" s="2653"/>
      <c r="I84" s="2653"/>
      <c r="J84" s="2735"/>
      <c r="K84" s="367"/>
      <c r="L84" s="367"/>
      <c r="M84" s="367"/>
      <c r="N84" s="367"/>
      <c r="O84" s="367"/>
      <c r="P84" s="367"/>
      <c r="Q84" s="367"/>
      <c r="R84" s="367"/>
      <c r="S84" s="367"/>
      <c r="T84" s="367"/>
      <c r="U84" s="367"/>
      <c r="V84" s="367"/>
      <c r="W84" s="367"/>
      <c r="X84" s="367"/>
      <c r="Y84" s="367"/>
      <c r="Z84" s="367"/>
      <c r="AA84" s="367"/>
      <c r="AB84" s="2737"/>
      <c r="AC84" s="2737"/>
      <c r="AD84" s="2737"/>
      <c r="AE84" s="2737"/>
      <c r="AF84" s="2737"/>
      <c r="AG84" s="2737"/>
      <c r="AH84" s="2737"/>
      <c r="AI84" s="2737"/>
      <c r="AJ84" s="2737"/>
    </row>
    <row r="85" s="2424" customFormat="1" ht="15" spans="1:36">
      <c r="A85" s="2630" t="s">
        <v>771</v>
      </c>
      <c r="B85" s="507"/>
      <c r="C85" s="507"/>
      <c r="D85" s="507"/>
      <c r="E85" s="507"/>
      <c r="F85" s="507"/>
      <c r="G85" s="507"/>
      <c r="H85" s="507"/>
      <c r="I85" s="544"/>
      <c r="J85" s="2734"/>
      <c r="K85" s="367"/>
      <c r="L85" s="367"/>
      <c r="M85" s="367"/>
      <c r="N85" s="367"/>
      <c r="O85" s="367"/>
      <c r="P85" s="367"/>
      <c r="Q85" s="367"/>
      <c r="R85" s="367"/>
      <c r="S85" s="367"/>
      <c r="T85" s="367"/>
      <c r="U85" s="367"/>
      <c r="V85" s="367"/>
      <c r="W85" s="367"/>
      <c r="X85" s="367"/>
      <c r="Y85" s="367"/>
      <c r="Z85" s="367"/>
      <c r="AA85" s="367"/>
      <c r="AB85" s="2737"/>
      <c r="AC85" s="2737"/>
      <c r="AD85" s="2737"/>
      <c r="AE85" s="2737"/>
      <c r="AF85" s="2737"/>
      <c r="AG85" s="2737"/>
      <c r="AH85" s="2737"/>
      <c r="AI85" s="2737"/>
      <c r="AJ85" s="2737"/>
    </row>
    <row r="86" s="2424" customFormat="1" ht="14.25" spans="1:36">
      <c r="A86" s="459" t="s">
        <v>723</v>
      </c>
      <c r="B86" s="425"/>
      <c r="C86" s="425"/>
      <c r="D86" s="425" t="s">
        <v>724</v>
      </c>
      <c r="E86" s="2631" t="s">
        <v>675</v>
      </c>
      <c r="F86" s="2632"/>
      <c r="G86" s="2632"/>
      <c r="H86" s="2654"/>
      <c r="I86" s="544"/>
      <c r="J86" s="2734"/>
      <c r="K86" s="367"/>
      <c r="L86" s="367"/>
      <c r="M86" s="367"/>
      <c r="N86" s="367"/>
      <c r="O86" s="367"/>
      <c r="P86" s="367"/>
      <c r="Q86" s="367"/>
      <c r="R86" s="367"/>
      <c r="S86" s="367"/>
      <c r="T86" s="367"/>
      <c r="U86" s="367"/>
      <c r="V86" s="367"/>
      <c r="W86" s="367"/>
      <c r="X86" s="367"/>
      <c r="Y86" s="367"/>
      <c r="Z86" s="367"/>
      <c r="AA86" s="367"/>
      <c r="AB86" s="2737"/>
      <c r="AC86" s="2737"/>
      <c r="AD86" s="2737"/>
      <c r="AE86" s="2737"/>
      <c r="AF86" s="2737"/>
      <c r="AG86" s="2737"/>
      <c r="AH86" s="2737"/>
      <c r="AI86" s="2737"/>
      <c r="AJ86" s="2737"/>
    </row>
    <row r="87" s="2424" customFormat="1" ht="14.25" spans="1:36">
      <c r="A87" s="2634">
        <v>1</v>
      </c>
      <c r="B87" s="516" t="s">
        <v>747</v>
      </c>
      <c r="C87" s="2624">
        <f ca="1">ROUND(D47/(1+'数据-取费表'!F30),0)</f>
        <v>0</v>
      </c>
      <c r="D87" s="410" t="s">
        <v>121</v>
      </c>
      <c r="E87" s="2149"/>
      <c r="F87" s="2150"/>
      <c r="G87" s="2150"/>
      <c r="H87" s="2655"/>
      <c r="I87" s="544"/>
      <c r="J87" s="2734"/>
      <c r="K87" s="367"/>
      <c r="L87" s="367"/>
      <c r="M87" s="367"/>
      <c r="N87" s="367"/>
      <c r="O87" s="367"/>
      <c r="P87" s="367"/>
      <c r="Q87" s="367"/>
      <c r="R87" s="367"/>
      <c r="S87" s="367"/>
      <c r="T87" s="367"/>
      <c r="U87" s="367"/>
      <c r="V87" s="367"/>
      <c r="W87" s="367"/>
      <c r="X87" s="367"/>
      <c r="Y87" s="367"/>
      <c r="Z87" s="367"/>
      <c r="AA87" s="367"/>
      <c r="AB87" s="2737"/>
      <c r="AC87" s="2737"/>
      <c r="AD87" s="2737"/>
      <c r="AE87" s="2737"/>
      <c r="AF87" s="2737"/>
      <c r="AG87" s="2737"/>
      <c r="AH87" s="2737"/>
      <c r="AI87" s="2737"/>
      <c r="AJ87" s="2737"/>
    </row>
    <row r="88" s="2424" customFormat="1" ht="14.25" spans="1:36">
      <c r="A88" s="2636">
        <v>2</v>
      </c>
      <c r="B88" s="2327" t="s">
        <v>749</v>
      </c>
      <c r="C88" s="2624">
        <f ca="1">IF(H90="仅含出让金",C89+C92+C93+C94+C95+C96,C89+C93+C94+C95+C96)</f>
        <v>0</v>
      </c>
      <c r="D88" s="2656"/>
      <c r="E88" s="2149"/>
      <c r="F88" s="2150"/>
      <c r="G88" s="2150"/>
      <c r="H88" s="2655"/>
      <c r="I88" s="544"/>
      <c r="J88" s="2734"/>
      <c r="K88" s="367"/>
      <c r="L88" s="367"/>
      <c r="M88" s="367"/>
      <c r="N88" s="367"/>
      <c r="O88" s="367"/>
      <c r="P88" s="367"/>
      <c r="Q88" s="367"/>
      <c r="R88" s="367"/>
      <c r="S88" s="367"/>
      <c r="T88" s="367"/>
      <c r="U88" s="367"/>
      <c r="V88" s="367"/>
      <c r="W88" s="367"/>
      <c r="X88" s="367"/>
      <c r="Y88" s="367"/>
      <c r="Z88" s="367"/>
      <c r="AA88" s="367"/>
      <c r="AB88" s="2737"/>
      <c r="AC88" s="2737"/>
      <c r="AD88" s="2737"/>
      <c r="AE88" s="2737"/>
      <c r="AF88" s="2737"/>
      <c r="AG88" s="2737"/>
      <c r="AH88" s="2737"/>
      <c r="AI88" s="2737"/>
      <c r="AJ88" s="2737"/>
    </row>
    <row r="89" s="2424" customFormat="1" ht="14.25" spans="1:36">
      <c r="A89" s="2617" t="s">
        <v>750</v>
      </c>
      <c r="B89" s="410" t="s">
        <v>772</v>
      </c>
      <c r="C89" s="2644">
        <f>C90+C91</f>
        <v>0</v>
      </c>
      <c r="D89" s="2645"/>
      <c r="E89" s="2646"/>
      <c r="F89" s="2647"/>
      <c r="G89" s="2647"/>
      <c r="H89" s="2648"/>
      <c r="I89" s="544"/>
      <c r="J89" s="2734"/>
      <c r="K89" s="367"/>
      <c r="L89" s="367"/>
      <c r="M89" s="367"/>
      <c r="N89" s="367"/>
      <c r="O89" s="367"/>
      <c r="P89" s="367"/>
      <c r="Q89" s="367"/>
      <c r="R89" s="367"/>
      <c r="S89" s="367"/>
      <c r="T89" s="367"/>
      <c r="U89" s="367"/>
      <c r="V89" s="367"/>
      <c r="W89" s="367"/>
      <c r="X89" s="367"/>
      <c r="Y89" s="367"/>
      <c r="Z89" s="367"/>
      <c r="AA89" s="367"/>
      <c r="AB89" s="2737"/>
      <c r="AC89" s="2737"/>
      <c r="AD89" s="2737"/>
      <c r="AE89" s="2737"/>
      <c r="AF89" s="2737"/>
      <c r="AG89" s="2737"/>
      <c r="AH89" s="2737"/>
      <c r="AI89" s="2737"/>
      <c r="AJ89" s="2737"/>
    </row>
    <row r="90" s="2424" customFormat="1" ht="14.25" spans="1:36">
      <c r="A90" s="2617" t="s">
        <v>752</v>
      </c>
      <c r="B90" s="410" t="s">
        <v>773</v>
      </c>
      <c r="C90" s="2657"/>
      <c r="D90" s="2645"/>
      <c r="E90" s="2589" t="s">
        <v>774</v>
      </c>
      <c r="F90" s="2647"/>
      <c r="G90" s="2658" t="s">
        <v>775</v>
      </c>
      <c r="H90" s="2659"/>
      <c r="I90" s="544"/>
      <c r="J90" s="2734"/>
      <c r="K90" s="2736" t="s">
        <v>776</v>
      </c>
      <c r="L90" s="2737"/>
      <c r="M90" s="2737"/>
      <c r="N90" s="2737"/>
      <c r="O90" s="2737"/>
      <c r="P90" s="2737"/>
      <c r="Q90" s="2737"/>
      <c r="R90" s="2737"/>
      <c r="S90" s="2737"/>
      <c r="T90" s="367"/>
      <c r="U90" s="367"/>
      <c r="V90" s="367"/>
      <c r="W90" s="367"/>
      <c r="X90" s="367"/>
      <c r="Y90" s="367"/>
      <c r="Z90" s="367"/>
      <c r="AA90" s="367"/>
      <c r="AB90" s="2737"/>
      <c r="AC90" s="2737"/>
      <c r="AD90" s="2737"/>
      <c r="AE90" s="2737"/>
      <c r="AF90" s="2737"/>
      <c r="AG90" s="2737"/>
      <c r="AH90" s="2737"/>
      <c r="AI90" s="2737"/>
      <c r="AJ90" s="2737"/>
    </row>
    <row r="91" s="2424" customFormat="1" ht="14.25" spans="1:36">
      <c r="A91" s="2617" t="s">
        <v>757</v>
      </c>
      <c r="B91" s="410" t="s">
        <v>761</v>
      </c>
      <c r="C91" s="2644">
        <f>ROUND(C90*D91,0)</f>
        <v>0</v>
      </c>
      <c r="D91" s="2645">
        <f>'数据-取费表'!E36+'数据-取费表'!E37</f>
        <v>0.0305</v>
      </c>
      <c r="E91" s="2589" t="s">
        <v>777</v>
      </c>
      <c r="F91" s="2647"/>
      <c r="G91" s="2647"/>
      <c r="H91" s="2648"/>
      <c r="I91" s="544"/>
      <c r="J91" s="2734"/>
      <c r="K91" s="367"/>
      <c r="L91" s="367"/>
      <c r="M91" s="367"/>
      <c r="N91" s="367"/>
      <c r="O91" s="367"/>
      <c r="P91" s="367"/>
      <c r="Q91" s="367"/>
      <c r="R91" s="367"/>
      <c r="S91" s="367"/>
      <c r="T91" s="367"/>
      <c r="U91" s="367"/>
      <c r="V91" s="367"/>
      <c r="W91" s="367"/>
      <c r="X91" s="367"/>
      <c r="Y91" s="367"/>
      <c r="Z91" s="367"/>
      <c r="AA91" s="367"/>
      <c r="AB91" s="2737"/>
      <c r="AC91" s="2737"/>
      <c r="AD91" s="2737"/>
      <c r="AE91" s="2737"/>
      <c r="AF91" s="2737"/>
      <c r="AG91" s="2737"/>
      <c r="AH91" s="2737"/>
      <c r="AI91" s="2737"/>
      <c r="AJ91" s="2737"/>
    </row>
    <row r="92" s="2424" customFormat="1" ht="14.25" spans="1:36">
      <c r="A92" s="2617" t="s">
        <v>764</v>
      </c>
      <c r="B92" s="410" t="s">
        <v>778</v>
      </c>
      <c r="C92" s="2657"/>
      <c r="D92" s="2645"/>
      <c r="E92" s="2589" t="str">
        <f>IF(H90="-","土地取得成本中已包含该笔费用"," ")</f>
        <v> </v>
      </c>
      <c r="F92" s="2647"/>
      <c r="G92" s="2660" t="s">
        <v>779</v>
      </c>
      <c r="H92" s="2661"/>
      <c r="I92" s="544"/>
      <c r="J92" s="2734"/>
      <c r="K92" s="2736" t="s">
        <v>780</v>
      </c>
      <c r="L92" s="2737"/>
      <c r="M92" s="2737"/>
      <c r="N92" s="2737"/>
      <c r="O92" s="2737"/>
      <c r="P92" s="2737"/>
      <c r="Q92" s="2737"/>
      <c r="R92" s="2737"/>
      <c r="S92" s="2737"/>
      <c r="T92" s="367"/>
      <c r="U92" s="367"/>
      <c r="V92" s="367"/>
      <c r="W92" s="367"/>
      <c r="X92" s="367"/>
      <c r="Y92" s="367"/>
      <c r="Z92" s="367"/>
      <c r="AA92" s="367"/>
      <c r="AB92" s="2737"/>
      <c r="AC92" s="2737"/>
      <c r="AD92" s="2737"/>
      <c r="AE92" s="2737"/>
      <c r="AF92" s="2737"/>
      <c r="AG92" s="2737"/>
      <c r="AH92" s="2737"/>
      <c r="AI92" s="2737"/>
      <c r="AJ92" s="2737"/>
    </row>
    <row r="93" s="2424" customFormat="1" ht="30.75" customHeight="1" spans="1:36">
      <c r="A93" s="2617" t="s">
        <v>781</v>
      </c>
      <c r="B93" s="410" t="s">
        <v>782</v>
      </c>
      <c r="C93" s="2644">
        <f>IF(H93="——",成本法!C33,I93)</f>
        <v>0</v>
      </c>
      <c r="D93" s="2645"/>
      <c r="E93" s="2646" t="s">
        <v>783</v>
      </c>
      <c r="F93" s="2647"/>
      <c r="G93" s="2647"/>
      <c r="H93" s="2662" t="s">
        <v>784</v>
      </c>
      <c r="I93" s="2738"/>
      <c r="J93" s="2739"/>
      <c r="K93" s="367"/>
      <c r="L93" s="367"/>
      <c r="M93" s="367"/>
      <c r="N93" s="367"/>
      <c r="O93" s="367"/>
      <c r="P93" s="367"/>
      <c r="Q93" s="367"/>
      <c r="R93" s="367"/>
      <c r="S93" s="367"/>
      <c r="T93" s="367"/>
      <c r="U93" s="367"/>
      <c r="V93" s="367"/>
      <c r="W93" s="367"/>
      <c r="X93" s="367"/>
      <c r="Y93" s="367"/>
      <c r="Z93" s="367"/>
      <c r="AA93" s="367"/>
      <c r="AB93" s="2737"/>
      <c r="AC93" s="2737"/>
      <c r="AD93" s="2737"/>
      <c r="AE93" s="2737"/>
      <c r="AF93" s="2737"/>
      <c r="AG93" s="2737"/>
      <c r="AH93" s="2737"/>
      <c r="AI93" s="2737"/>
      <c r="AJ93" s="2737"/>
    </row>
    <row r="94" s="2424" customFormat="1" ht="25.5" customHeight="1" spans="1:36">
      <c r="A94" s="2617" t="s">
        <v>785</v>
      </c>
      <c r="B94" s="410" t="s">
        <v>786</v>
      </c>
      <c r="C94" s="2644">
        <f>ROUND((C89+C92+C93)*D94,0)</f>
        <v>0</v>
      </c>
      <c r="D94" s="2645">
        <v>0.1</v>
      </c>
      <c r="E94" s="2646" t="s">
        <v>787</v>
      </c>
      <c r="F94" s="2647"/>
      <c r="G94" s="2647"/>
      <c r="H94" s="2648"/>
      <c r="I94" s="544"/>
      <c r="J94" s="2734"/>
      <c r="K94" s="2740" t="s">
        <v>788</v>
      </c>
      <c r="L94" s="2737"/>
      <c r="M94" s="2737"/>
      <c r="N94" s="2737"/>
      <c r="O94" s="2737"/>
      <c r="P94" s="2737"/>
      <c r="Q94" s="367"/>
      <c r="R94" s="367"/>
      <c r="S94" s="367"/>
      <c r="T94" s="367"/>
      <c r="U94" s="367"/>
      <c r="V94" s="367"/>
      <c r="W94" s="367"/>
      <c r="X94" s="367"/>
      <c r="Y94" s="367"/>
      <c r="Z94" s="367"/>
      <c r="AA94" s="367"/>
      <c r="AB94" s="2737"/>
      <c r="AC94" s="2737"/>
      <c r="AD94" s="2737"/>
      <c r="AE94" s="2737"/>
      <c r="AF94" s="2737"/>
      <c r="AG94" s="2737"/>
      <c r="AH94" s="2737"/>
      <c r="AI94" s="2737"/>
      <c r="AJ94" s="2737"/>
    </row>
    <row r="95" s="2424" customFormat="1" ht="25.5" customHeight="1" spans="1:36">
      <c r="A95" s="2617" t="s">
        <v>789</v>
      </c>
      <c r="B95" s="410" t="s">
        <v>765</v>
      </c>
      <c r="C95" s="2644">
        <f ca="1">ROUND(D47*D95/(1+'数据-取费表'!F30),0)</f>
        <v>0</v>
      </c>
      <c r="D95" s="2645">
        <f>'数据-取费表'!E31</f>
        <v>0.006</v>
      </c>
      <c r="E95" s="2646" t="s">
        <v>766</v>
      </c>
      <c r="F95" s="2647"/>
      <c r="G95" s="2647"/>
      <c r="H95" s="2648"/>
      <c r="I95" s="544"/>
      <c r="J95" s="2734"/>
      <c r="K95" s="367"/>
      <c r="L95" s="367"/>
      <c r="M95" s="367"/>
      <c r="N95" s="367"/>
      <c r="O95" s="367"/>
      <c r="P95" s="367"/>
      <c r="Q95" s="367"/>
      <c r="R95" s="367"/>
      <c r="S95" s="367"/>
      <c r="T95" s="367"/>
      <c r="U95" s="367"/>
      <c r="V95" s="367"/>
      <c r="W95" s="367"/>
      <c r="X95" s="367"/>
      <c r="Y95" s="367"/>
      <c r="Z95" s="367"/>
      <c r="AA95" s="367"/>
      <c r="AB95" s="2737"/>
      <c r="AC95" s="2737"/>
      <c r="AD95" s="2737"/>
      <c r="AE95" s="2737"/>
      <c r="AF95" s="2737"/>
      <c r="AG95" s="2737"/>
      <c r="AH95" s="2737"/>
      <c r="AI95" s="2737"/>
      <c r="AJ95" s="2737"/>
    </row>
    <row r="96" s="2424" customFormat="1" ht="25.5" customHeight="1" spans="1:36">
      <c r="A96" s="2617" t="s">
        <v>790</v>
      </c>
      <c r="B96" s="410" t="s">
        <v>791</v>
      </c>
      <c r="C96" s="2644">
        <f>ROUND((C89+C92+C93)*D96,0)</f>
        <v>0</v>
      </c>
      <c r="D96" s="2645">
        <v>0.2</v>
      </c>
      <c r="E96" s="2646" t="s">
        <v>792</v>
      </c>
      <c r="F96" s="2647"/>
      <c r="G96" s="2647"/>
      <c r="H96" s="2648"/>
      <c r="I96" s="544"/>
      <c r="J96" s="2734"/>
      <c r="K96" s="367"/>
      <c r="L96" s="367"/>
      <c r="M96" s="367"/>
      <c r="N96" s="367"/>
      <c r="O96" s="367"/>
      <c r="P96" s="367"/>
      <c r="Q96" s="367"/>
      <c r="R96" s="367"/>
      <c r="S96" s="367"/>
      <c r="T96" s="367"/>
      <c r="U96" s="367"/>
      <c r="V96" s="367"/>
      <c r="W96" s="367"/>
      <c r="X96" s="367"/>
      <c r="Y96" s="367"/>
      <c r="Z96" s="367"/>
      <c r="AA96" s="367"/>
      <c r="AB96" s="2737"/>
      <c r="AC96" s="2737"/>
      <c r="AD96" s="2737"/>
      <c r="AE96" s="2737"/>
      <c r="AF96" s="2737"/>
      <c r="AG96" s="2737"/>
      <c r="AH96" s="2737"/>
      <c r="AI96" s="2737"/>
      <c r="AJ96" s="2737"/>
    </row>
    <row r="97" s="2424" customFormat="1" ht="14.25" spans="1:36">
      <c r="A97" s="2621" t="s">
        <v>740</v>
      </c>
      <c r="B97" s="516" t="s">
        <v>767</v>
      </c>
      <c r="C97" s="2624">
        <f ca="1">ROUND(C87-C88,0)</f>
        <v>0</v>
      </c>
      <c r="D97" s="410" t="s">
        <v>121</v>
      </c>
      <c r="E97" s="2149"/>
      <c r="F97" s="2150"/>
      <c r="G97" s="2150"/>
      <c r="H97" s="2655"/>
      <c r="I97" s="544"/>
      <c r="J97" s="2734"/>
      <c r="K97" s="367"/>
      <c r="L97" s="367"/>
      <c r="M97" s="367"/>
      <c r="N97" s="367"/>
      <c r="O97" s="367"/>
      <c r="P97" s="367"/>
      <c r="Q97" s="367"/>
      <c r="R97" s="367"/>
      <c r="S97" s="367"/>
      <c r="T97" s="367"/>
      <c r="U97" s="367"/>
      <c r="V97" s="367"/>
      <c r="W97" s="367"/>
      <c r="X97" s="367"/>
      <c r="Y97" s="367"/>
      <c r="Z97" s="367"/>
      <c r="AA97" s="367"/>
      <c r="AB97" s="2737"/>
      <c r="AC97" s="2737"/>
      <c r="AD97" s="2737"/>
      <c r="AE97" s="2737"/>
      <c r="AF97" s="2737"/>
      <c r="AG97" s="2737"/>
      <c r="AH97" s="2737"/>
      <c r="AI97" s="2737"/>
      <c r="AJ97" s="2737"/>
    </row>
    <row r="98" s="2424" customFormat="1" ht="14.25" spans="1:36">
      <c r="A98" s="2621" t="s">
        <v>743</v>
      </c>
      <c r="B98" s="516" t="s">
        <v>768</v>
      </c>
      <c r="C98" s="2649">
        <f ca="1">IF(C97&lt;=0,0,C97/C88)</f>
        <v>0</v>
      </c>
      <c r="D98" s="410" t="s">
        <v>121</v>
      </c>
      <c r="E98" s="2228" t="str">
        <f ca="1">IF(C98&gt;=200%,"增值额超过扣除项目金额200%",IF(C98&gt;=100%,"增值额超过扣除项目金额100%，未超过200%",IF(C98&gt;=50%,"增值额超过扣除项目金额50%，未超过100%",IF(C98&lt;50%,"增值额未超过扣除项目金额50%"))))</f>
        <v>增值额未超过扣除项目金额50%</v>
      </c>
      <c r="F98" s="2150"/>
      <c r="G98" s="2150"/>
      <c r="H98" s="2655"/>
      <c r="I98" s="544"/>
      <c r="J98" s="2734"/>
      <c r="K98" s="367"/>
      <c r="L98" s="367"/>
      <c r="M98" s="367"/>
      <c r="N98" s="367"/>
      <c r="O98" s="367"/>
      <c r="P98" s="367"/>
      <c r="Q98" s="367"/>
      <c r="R98" s="367"/>
      <c r="S98" s="367"/>
      <c r="T98" s="367"/>
      <c r="U98" s="367"/>
      <c r="V98" s="367"/>
      <c r="W98" s="367"/>
      <c r="X98" s="367"/>
      <c r="Y98" s="367"/>
      <c r="Z98" s="367"/>
      <c r="AA98" s="367"/>
      <c r="AB98" s="2737"/>
      <c r="AC98" s="2737"/>
      <c r="AD98" s="2737"/>
      <c r="AE98" s="2737"/>
      <c r="AF98" s="2737"/>
      <c r="AG98" s="2737"/>
      <c r="AH98" s="2737"/>
      <c r="AI98" s="2737"/>
      <c r="AJ98" s="2737"/>
    </row>
    <row r="99" s="2424" customFormat="1" ht="15" spans="1:36">
      <c r="A99" s="2663" t="s">
        <v>769</v>
      </c>
      <c r="B99" s="537" t="s">
        <v>770</v>
      </c>
      <c r="C99" s="2664">
        <f ca="1">ROUND(IF(C97&lt;=0,0,IF(C98&gt;=200%,C97*60%-C88*35%,IF(C98&gt;=100%,C97*50%-C88*15%,IF(C98&gt;=50%,C97*40%-C88*5%,IF(C98&lt;50%,C97*30%,0))))),0)</f>
        <v>0</v>
      </c>
      <c r="D99" s="2665" t="s">
        <v>121</v>
      </c>
      <c r="E99" s="2553"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1"/>
      <c r="G99" s="2651"/>
      <c r="H99" s="2666"/>
      <c r="I99" s="2741"/>
      <c r="J99" s="2742"/>
      <c r="K99" s="367"/>
      <c r="L99" s="367"/>
      <c r="M99" s="367"/>
      <c r="N99" s="367"/>
      <c r="O99" s="367"/>
      <c r="P99" s="367"/>
      <c r="Q99" s="367"/>
      <c r="R99" s="367"/>
      <c r="S99" s="367"/>
      <c r="T99" s="367"/>
      <c r="U99" s="367"/>
      <c r="V99" s="367"/>
      <c r="W99" s="367"/>
      <c r="X99" s="367"/>
      <c r="Y99" s="367"/>
      <c r="Z99" s="367"/>
      <c r="AA99" s="367"/>
      <c r="AB99" s="2737"/>
      <c r="AC99" s="2737"/>
      <c r="AD99" s="2737"/>
      <c r="AE99" s="2737"/>
      <c r="AF99" s="2737"/>
      <c r="AG99" s="2737"/>
      <c r="AH99" s="2737"/>
      <c r="AI99" s="2737"/>
      <c r="AJ99" s="2737"/>
    </row>
    <row r="100" customHeight="1" spans="1:9">
      <c r="A100" s="2513" t="s">
        <v>793</v>
      </c>
      <c r="B100" s="2429"/>
      <c r="C100" s="2429"/>
      <c r="D100" s="2429"/>
      <c r="E100" s="2667"/>
      <c r="F100" s="2667"/>
      <c r="G100" s="2667"/>
      <c r="H100" s="2668"/>
      <c r="I100" s="2429"/>
    </row>
    <row r="101" ht="15" spans="1:10">
      <c r="A101" s="2669" t="s">
        <v>794</v>
      </c>
      <c r="B101" s="2670"/>
      <c r="C101" s="2670"/>
      <c r="D101" s="2671"/>
      <c r="E101" s="2429"/>
      <c r="F101" s="2672" t="s">
        <v>861</v>
      </c>
      <c r="G101" s="2673"/>
      <c r="H101" s="2673"/>
      <c r="I101" s="2743"/>
      <c r="J101" s="2744"/>
    </row>
    <row r="102" ht="15" spans="1:10">
      <c r="A102" s="2674" t="s">
        <v>796</v>
      </c>
      <c r="B102" s="2675"/>
      <c r="C102" s="2676">
        <f>C4</f>
        <v>0</v>
      </c>
      <c r="D102" s="2677">
        <f>D4</f>
        <v>0</v>
      </c>
      <c r="E102" s="2429"/>
      <c r="F102" s="2678" t="s">
        <v>797</v>
      </c>
      <c r="G102" s="2679"/>
      <c r="H102" s="2680" t="s">
        <v>798</v>
      </c>
      <c r="I102" s="2745"/>
      <c r="J102" s="2746"/>
    </row>
    <row r="103" ht="13.5" spans="1:10">
      <c r="A103" s="2681" t="s">
        <v>862</v>
      </c>
      <c r="B103" s="518" t="str">
        <f>IF(H19="元","总价（元）","总价（万元）")</f>
        <v>总价（元）</v>
      </c>
      <c r="C103" s="2682" t="e">
        <f ca="1">C19</f>
        <v>#REF!</v>
      </c>
      <c r="D103" s="2683" t="e">
        <f ca="1">D19</f>
        <v>#REF!</v>
      </c>
      <c r="E103" s="2429"/>
      <c r="F103" s="2684"/>
      <c r="G103" s="2685"/>
      <c r="H103" s="2686">
        <f>典型户型修正!B25</f>
        <v>0</v>
      </c>
      <c r="I103" s="2745"/>
      <c r="J103" s="2746"/>
    </row>
    <row r="104" ht="13.5" spans="1:10">
      <c r="A104" s="2681"/>
      <c r="B104" s="518" t="s">
        <v>800</v>
      </c>
      <c r="C104" s="2687" t="e">
        <f ca="1">C20</f>
        <v>#REF!</v>
      </c>
      <c r="D104" s="2688" t="e">
        <f ca="1">D20</f>
        <v>#REF!</v>
      </c>
      <c r="E104" s="2429"/>
      <c r="F104" s="2636" t="s">
        <v>801</v>
      </c>
      <c r="G104" s="2327"/>
      <c r="H104" s="2689" t="str">
        <f>C110</f>
        <v>总价（元）</v>
      </c>
      <c r="I104" s="2706">
        <f ca="1">H125</f>
        <v>0</v>
      </c>
      <c r="J104" s="2746"/>
    </row>
    <row r="105" ht="13.5" spans="1:10">
      <c r="A105" s="2681" t="s">
        <v>863</v>
      </c>
      <c r="B105" s="519" t="str">
        <f>B103</f>
        <v>总价（元）</v>
      </c>
      <c r="C105" s="2228" t="e">
        <f ca="1">ROUND(IF('数据-取费表'!B4="总价",G19,IF(H19="元",G20*'数据-取费表'!E5,G20*'数据-取费表'!E5/10000)),0)</f>
        <v>#REF!</v>
      </c>
      <c r="D105" s="2690"/>
      <c r="E105" s="2429"/>
      <c r="F105" s="2636"/>
      <c r="G105" s="2327"/>
      <c r="H105" s="2689" t="s">
        <v>800</v>
      </c>
      <c r="I105" s="2619" t="e">
        <f ca="1">I125</f>
        <v>#DIV/0!</v>
      </c>
      <c r="J105" s="2563"/>
    </row>
    <row r="106" ht="13.5" spans="1:10">
      <c r="A106" s="2681"/>
      <c r="B106" s="518" t="s">
        <v>800</v>
      </c>
      <c r="C106" s="2511" t="e">
        <f ca="1">ROUND(IF('数据-取费表'!B4="楼面单价",G20,IF(H19="元",G19/'数据-取费表'!E5,G19*10000/'数据-取费表'!E5)),0)</f>
        <v>#REF!</v>
      </c>
      <c r="D106" s="2690"/>
      <c r="E106" s="2429"/>
      <c r="F106" s="2636"/>
      <c r="G106" s="2327"/>
      <c r="H106" s="2689"/>
      <c r="I106" s="2747"/>
      <c r="J106" s="2748"/>
    </row>
    <row r="107" ht="13.5" spans="1:10">
      <c r="A107" s="2691" t="s">
        <v>864</v>
      </c>
      <c r="B107" s="2692" t="str">
        <f>B103</f>
        <v>总价（元）</v>
      </c>
      <c r="C107" s="2693">
        <f ca="1">H125</f>
        <v>0</v>
      </c>
      <c r="D107" s="2694"/>
      <c r="E107" s="2429"/>
      <c r="F107" s="2695" t="s">
        <v>804</v>
      </c>
      <c r="G107" s="2696"/>
      <c r="H107" s="2697" t="str">
        <f>C112</f>
        <v>总额（元）</v>
      </c>
      <c r="I107" s="2706">
        <f>SUMIF(I108:I110,"&lt;9E307")</f>
        <v>0</v>
      </c>
      <c r="J107" s="2746"/>
    </row>
    <row r="108" ht="15" spans="1:17">
      <c r="A108" s="567"/>
      <c r="B108" s="2698" t="s">
        <v>800</v>
      </c>
      <c r="C108" s="2699" t="e">
        <f ca="1">I125</f>
        <v>#DIV/0!</v>
      </c>
      <c r="D108" s="2700"/>
      <c r="E108" s="2429"/>
      <c r="F108" s="2701" t="s">
        <v>805</v>
      </c>
      <c r="G108" s="2702"/>
      <c r="H108" s="2697" t="str">
        <f>C113</f>
        <v>总额（元）</v>
      </c>
      <c r="I108" s="2749">
        <f>IF(D38="同一抵押权人同一抵押物续贷",C38&amp;"（续贷，未扣减，详见特别提示）",C38)</f>
        <v>0</v>
      </c>
      <c r="J108" s="2563"/>
      <c r="L108" s="2750" t="str">
        <f>IF(D125=0,"本次评估不存在"&amp;A125&amp;"。","本次评估"&amp;A125&amp;"为"&amp;D125&amp;"元人民币。")</f>
        <v>本次评估不存在北京市房地产。</v>
      </c>
      <c r="M108" s="2429"/>
      <c r="N108" s="2429"/>
      <c r="O108" s="2429"/>
      <c r="P108" s="2429"/>
      <c r="Q108" s="2429"/>
    </row>
    <row r="109" ht="15" spans="1:10">
      <c r="A109" s="2703" t="s">
        <v>803</v>
      </c>
      <c r="B109" s="2704"/>
      <c r="C109" s="2704"/>
      <c r="D109" s="2705"/>
      <c r="E109" s="2429"/>
      <c r="F109" s="2701" t="s">
        <v>806</v>
      </c>
      <c r="G109" s="2702"/>
      <c r="H109" s="2697" t="str">
        <f>C114</f>
        <v>总额（元）</v>
      </c>
      <c r="I109" s="2619">
        <f>C39</f>
        <v>0</v>
      </c>
      <c r="J109" s="2563"/>
    </row>
    <row r="110" ht="13.5" spans="1:10">
      <c r="A110" s="2636" t="s">
        <v>865</v>
      </c>
      <c r="B110" s="2327"/>
      <c r="C110" s="2689" t="str">
        <f>B103</f>
        <v>总价（元）</v>
      </c>
      <c r="D110" s="2706">
        <f ca="1">H125</f>
        <v>0</v>
      </c>
      <c r="E110" s="2429"/>
      <c r="F110" s="2701" t="s">
        <v>807</v>
      </c>
      <c r="G110" s="2702"/>
      <c r="H110" s="2697" t="str">
        <f>C115</f>
        <v>总额（元）</v>
      </c>
      <c r="I110" s="2619">
        <f>C40</f>
        <v>0</v>
      </c>
      <c r="J110" s="2563"/>
    </row>
    <row r="111" ht="13.5" spans="1:10">
      <c r="A111" s="2636"/>
      <c r="B111" s="2327"/>
      <c r="C111" s="2689" t="s">
        <v>800</v>
      </c>
      <c r="D111" s="2619" t="e">
        <f ca="1">I125</f>
        <v>#DIV/0!</v>
      </c>
      <c r="E111" s="2429"/>
      <c r="F111" s="2636"/>
      <c r="G111" s="2327"/>
      <c r="H111" s="552"/>
      <c r="I111" s="2751"/>
      <c r="J111" s="2752"/>
    </row>
    <row r="112" ht="28.5" customHeight="1" spans="1:10">
      <c r="A112" s="2707" t="s">
        <v>804</v>
      </c>
      <c r="B112" s="2708"/>
      <c r="C112" s="2697" t="str">
        <f>IF(H19="元","总额（元）","总额（万元）")</f>
        <v>总额（元）</v>
      </c>
      <c r="D112" s="2706">
        <f>IF(D38="正常操作",I108+I109+I110,I109+I110)</f>
        <v>0</v>
      </c>
      <c r="E112" s="2429"/>
      <c r="F112" s="2709" t="str">
        <f>IF(项目基本情况!F5="已注销","——","3.房地产抵押价值")</f>
        <v>3.房地产抵押价值</v>
      </c>
      <c r="G112" s="2518"/>
      <c r="H112" s="2511" t="str">
        <f>C116</f>
        <v>总价（元）</v>
      </c>
      <c r="I112" s="2706">
        <f ca="1">IF(F112="——","——",I104-I107)</f>
        <v>0</v>
      </c>
      <c r="J112" s="2746"/>
    </row>
    <row r="113" ht="13.5" spans="1:10">
      <c r="A113" s="2701" t="s">
        <v>805</v>
      </c>
      <c r="B113" s="2702"/>
      <c r="C113" s="2697" t="str">
        <f>C112</f>
        <v>总额（元）</v>
      </c>
      <c r="D113" s="2619">
        <f>IF(D38="同一抵押权人同一抵押物续贷",C38&amp;"（未扣减，详见特别提示）",C38)</f>
        <v>0</v>
      </c>
      <c r="E113" s="2429"/>
      <c r="F113" s="2710"/>
      <c r="G113" s="2527"/>
      <c r="H113" s="2689" t="s">
        <v>800</v>
      </c>
      <c r="I113" s="2753" t="e">
        <f ca="1">D117</f>
        <v>#DIV/0!</v>
      </c>
      <c r="J113" s="2754"/>
    </row>
    <row r="114" ht="13.5" spans="1:10">
      <c r="A114" s="2701" t="s">
        <v>806</v>
      </c>
      <c r="B114" s="2702"/>
      <c r="C114" s="2697" t="str">
        <f>C112</f>
        <v>总额（元）</v>
      </c>
      <c r="D114" s="2619">
        <f>C39</f>
        <v>0</v>
      </c>
      <c r="E114" s="2429"/>
      <c r="F114" s="2709" t="str">
        <f>IF(项目基本情况!F5="已注销及未注销","4.抵押担保权已注销时的房地产抵押价值",IF(项目基本情况!F5="已注销","3.抵押担保权已注销时的房地产抵押价值","——"))</f>
        <v>——</v>
      </c>
      <c r="G114" s="2518"/>
      <c r="H114" s="2511" t="str">
        <f>C118</f>
        <v>总价（元）</v>
      </c>
      <c r="I114" s="2706" t="str">
        <f ca="1">IF(F114="——","——",I104-I109-I110)</f>
        <v>——</v>
      </c>
      <c r="J114" s="2746"/>
    </row>
    <row r="115" ht="13.5" spans="1:10">
      <c r="A115" s="2701" t="s">
        <v>807</v>
      </c>
      <c r="B115" s="2702"/>
      <c r="C115" s="2697" t="str">
        <f>C112</f>
        <v>总额（元）</v>
      </c>
      <c r="D115" s="2619">
        <f>C40</f>
        <v>0</v>
      </c>
      <c r="E115" s="2429"/>
      <c r="F115" s="2710"/>
      <c r="G115" s="2527"/>
      <c r="H115" s="2689" t="s">
        <v>800</v>
      </c>
      <c r="I115" s="2619" t="str">
        <f ca="1">D119</f>
        <v>——</v>
      </c>
      <c r="J115" s="2563"/>
    </row>
    <row r="116" ht="13.5" spans="1:10">
      <c r="A116" s="2636" t="str">
        <f>IF(项目基本情况!F5="已注销","——","3.房地产抵押价值")</f>
        <v>3.房地产抵押价值</v>
      </c>
      <c r="B116" s="2327"/>
      <c r="C116" s="2689" t="str">
        <f>B103</f>
        <v>总价（元）</v>
      </c>
      <c r="D116" s="2706">
        <f ca="1">IF(A116="——","——",D110-D112)</f>
        <v>0</v>
      </c>
      <c r="E116" s="2429"/>
      <c r="F116" s="2709" t="str">
        <f>IF(项目基本情况!G5="抵押净值",IF(OR(项目基本情况!F5="已注销",项目基本情况!F5="房地产抵押价值"),"4.抵押净值","5.抵押净值"),"——")</f>
        <v>——</v>
      </c>
      <c r="G116" s="2518"/>
      <c r="H116" s="2689" t="str">
        <f>C120</f>
        <v>总价（元）</v>
      </c>
      <c r="I116" s="2706" t="str">
        <f ca="1">IF(F116="——","——",O61)</f>
        <v>——</v>
      </c>
      <c r="J116" s="2746"/>
    </row>
    <row r="117" ht="14.25" spans="1:10">
      <c r="A117" s="2636"/>
      <c r="B117" s="2327"/>
      <c r="C117" s="2689" t="s">
        <v>800</v>
      </c>
      <c r="D117" s="2619" t="e">
        <f ca="1">ROUND(IF(D116=D110,D111,IF(H19="元",D116/B125,D116*10000/B125)),0)</f>
        <v>#DIV/0!</v>
      </c>
      <c r="E117" s="2429"/>
      <c r="F117" s="2711"/>
      <c r="G117" s="2712"/>
      <c r="H117" s="2713" t="s">
        <v>800</v>
      </c>
      <c r="I117" s="2717" t="str">
        <f ca="1">D121</f>
        <v>——</v>
      </c>
      <c r="J117" s="2563"/>
    </row>
    <row r="118" ht="15.75" spans="1:16">
      <c r="A118" s="2636" t="str">
        <f>IF(项目基本情况!F5="已注销及未注销","4.抵押担保权已注销时的房地产抵押价值",IF(项目基本情况!F5="已注销","3.抵押担保权已注销时的房地产抵押价值","——"))</f>
        <v>——</v>
      </c>
      <c r="B118" s="2327"/>
      <c r="C118" s="2689" t="str">
        <f>B103</f>
        <v>总价（元）</v>
      </c>
      <c r="D118" s="2706" t="str">
        <f ca="1">IF(A118="——","——",D110-D114-D115)</f>
        <v>——</v>
      </c>
      <c r="E118" s="2429"/>
      <c r="F118" s="2714"/>
      <c r="G118" s="2714"/>
      <c r="H118" s="2715"/>
      <c r="I118" s="2715"/>
      <c r="J118" s="2755"/>
      <c r="O118" s="1709"/>
      <c r="P118" s="1709"/>
    </row>
    <row r="119" s="2425" customFormat="1" ht="12.75" spans="1:27">
      <c r="A119" s="2636"/>
      <c r="B119" s="2327"/>
      <c r="C119" s="2689" t="s">
        <v>800</v>
      </c>
      <c r="D119" s="2619" t="str">
        <f ca="1">IF(A118="——","——",IF(H19="元",ROUND(D118/B125,0),ROUND(D118*10000/B125,0)))</f>
        <v>——</v>
      </c>
      <c r="E119" s="2429"/>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56"/>
      <c r="K119" s="1712"/>
      <c r="L119" s="1712"/>
      <c r="M119" s="1712"/>
      <c r="N119" s="1712"/>
      <c r="O119" s="1709"/>
      <c r="P119" s="1709"/>
      <c r="Q119" s="1712"/>
      <c r="R119" s="1712"/>
      <c r="S119" s="1712"/>
      <c r="T119" s="1712"/>
      <c r="U119" s="1712"/>
      <c r="V119" s="1712"/>
      <c r="W119" s="1712"/>
      <c r="X119" s="1712"/>
      <c r="Y119" s="1712"/>
      <c r="Z119" s="1712"/>
      <c r="AA119" s="1712"/>
    </row>
    <row r="120" s="2425" customFormat="1" ht="12.75" spans="1:27">
      <c r="A120" s="2636" t="str">
        <f>IF(项目基本情况!G5="抵押净值",IF(OR(项目基本情况!F5="已注销",项目基本情况!F5="房地产抵押价值"),"4.抵押净值","5.抵押净值"),"——")</f>
        <v>——</v>
      </c>
      <c r="B120" s="2327"/>
      <c r="C120" s="2689" t="str">
        <f>B103</f>
        <v>总价（元）</v>
      </c>
      <c r="D120" s="2706" t="str">
        <f ca="1">IF(A120="——","——",O61)</f>
        <v>——</v>
      </c>
      <c r="E120" s="2429"/>
      <c r="F120" s="699"/>
      <c r="G120" s="699"/>
      <c r="H120" s="699"/>
      <c r="I120" s="699"/>
      <c r="J120" s="2756"/>
      <c r="K120" s="1712"/>
      <c r="L120" s="1712"/>
      <c r="M120" s="1712"/>
      <c r="N120" s="1712"/>
      <c r="O120" s="1709"/>
      <c r="P120" s="1709"/>
      <c r="Q120" s="1712"/>
      <c r="R120" s="1712"/>
      <c r="S120" s="1712"/>
      <c r="T120" s="1712"/>
      <c r="U120" s="1712"/>
      <c r="V120" s="1712"/>
      <c r="W120" s="1712"/>
      <c r="X120" s="1712"/>
      <c r="Y120" s="1712"/>
      <c r="Z120" s="1712"/>
      <c r="AA120" s="1712"/>
    </row>
    <row r="121" s="2425" customFormat="1" ht="13.5" spans="1:27">
      <c r="A121" s="2716"/>
      <c r="B121" s="2650"/>
      <c r="C121" s="2713" t="s">
        <v>800</v>
      </c>
      <c r="D121" s="2717" t="str">
        <f ca="1">IF(D120=D110,D111,IF(A120="——","——",O63))</f>
        <v>——</v>
      </c>
      <c r="E121" s="2429"/>
      <c r="F121" s="699"/>
      <c r="G121" s="699"/>
      <c r="H121" s="699"/>
      <c r="I121" s="699"/>
      <c r="J121" s="2756"/>
      <c r="K121" s="1712"/>
      <c r="L121" s="1712"/>
      <c r="M121" s="1712"/>
      <c r="N121" s="1712"/>
      <c r="O121" s="1709"/>
      <c r="P121" s="1709"/>
      <c r="Q121" s="1712"/>
      <c r="R121" s="1712"/>
      <c r="S121" s="1712"/>
      <c r="T121" s="1712"/>
      <c r="U121" s="1712"/>
      <c r="V121" s="1712"/>
      <c r="W121" s="1712"/>
      <c r="X121" s="1712"/>
      <c r="Y121" s="1712"/>
      <c r="Z121" s="1712"/>
      <c r="AA121" s="1712"/>
    </row>
    <row r="122" s="2425" customFormat="1" ht="15" spans="1:27">
      <c r="A122" s="2718" t="s">
        <v>808</v>
      </c>
      <c r="B122" s="2719"/>
      <c r="C122" s="2719"/>
      <c r="D122" s="2719"/>
      <c r="E122" s="2719"/>
      <c r="F122" s="2719"/>
      <c r="G122" s="2719"/>
      <c r="H122" s="2719"/>
      <c r="I122" s="2719"/>
      <c r="J122" s="2757"/>
      <c r="K122" s="1712"/>
      <c r="L122" s="1712"/>
      <c r="M122" s="1712"/>
      <c r="N122" s="1712"/>
      <c r="O122" s="1712"/>
      <c r="P122" s="1712"/>
      <c r="Q122" s="1712"/>
      <c r="R122" s="1712"/>
      <c r="S122" s="1712"/>
      <c r="T122" s="1712"/>
      <c r="U122" s="1712"/>
      <c r="V122" s="1712"/>
      <c r="W122" s="1712"/>
      <c r="X122" s="1712"/>
      <c r="Y122" s="1712"/>
      <c r="Z122" s="1712"/>
      <c r="AA122" s="1712"/>
    </row>
    <row r="123" s="2425" customFormat="1" ht="12.75" spans="1:27">
      <c r="A123" s="2543" t="s">
        <v>809</v>
      </c>
      <c r="B123" s="2177" t="s">
        <v>356</v>
      </c>
      <c r="C123" s="2177" t="s">
        <v>810</v>
      </c>
      <c r="D123" s="2720" t="s">
        <v>811</v>
      </c>
      <c r="E123" s="2721"/>
      <c r="F123" s="2171" t="s">
        <v>653</v>
      </c>
      <c r="G123" s="2171"/>
      <c r="H123" s="2171" t="s">
        <v>812</v>
      </c>
      <c r="I123" s="2619"/>
      <c r="J123" s="2563"/>
      <c r="K123" s="1712"/>
      <c r="L123" s="1712"/>
      <c r="M123" s="1712"/>
      <c r="N123" s="1712"/>
      <c r="O123" s="1712"/>
      <c r="P123" s="1712"/>
      <c r="Q123" s="1712"/>
      <c r="R123" s="1712"/>
      <c r="S123" s="1712"/>
      <c r="T123" s="1712"/>
      <c r="U123" s="1712"/>
      <c r="V123" s="1712"/>
      <c r="W123" s="1712"/>
      <c r="X123" s="1712"/>
      <c r="Y123" s="1712"/>
      <c r="Z123" s="1712"/>
      <c r="AA123" s="1712"/>
    </row>
    <row r="124" s="2425" customFormat="1" ht="12.75" spans="1:27">
      <c r="A124" s="2543"/>
      <c r="B124" s="447"/>
      <c r="C124" s="447"/>
      <c r="D124" s="2171" t="s">
        <v>813</v>
      </c>
      <c r="E124" s="2171" t="s">
        <v>814</v>
      </c>
      <c r="F124" s="2171" t="s">
        <v>813</v>
      </c>
      <c r="G124" s="2171" t="s">
        <v>814</v>
      </c>
      <c r="H124" s="2171" t="s">
        <v>813</v>
      </c>
      <c r="I124" s="2619" t="s">
        <v>814</v>
      </c>
      <c r="J124" s="2563"/>
      <c r="K124" s="1712"/>
      <c r="L124" s="1712"/>
      <c r="M124" s="1712"/>
      <c r="N124" s="1712"/>
      <c r="O124" s="1712"/>
      <c r="P124" s="1712"/>
      <c r="Q124" s="1712"/>
      <c r="R124" s="1712"/>
      <c r="S124" s="1712"/>
      <c r="T124" s="1712"/>
      <c r="U124" s="1712"/>
      <c r="V124" s="1712"/>
      <c r="W124" s="1712"/>
      <c r="X124" s="1712"/>
      <c r="Y124" s="1712"/>
      <c r="Z124" s="1712"/>
      <c r="AA124" s="1712"/>
    </row>
    <row r="125" s="2425" customFormat="1" ht="12.75" spans="1:27">
      <c r="A125" s="2543" t="str">
        <f>项目基本情况!I1</f>
        <v>北京市房地产</v>
      </c>
      <c r="B125" s="2171">
        <f>典型户型修正!B25</f>
        <v>0</v>
      </c>
      <c r="C125" s="2722"/>
      <c r="D125" s="2171">
        <f>C36</f>
        <v>0</v>
      </c>
      <c r="E125" s="2171" t="e">
        <f>ROUND(IF(H19="元",D125/B125,D125*10000/B125),0)</f>
        <v>#DIV/0!</v>
      </c>
      <c r="F125" s="2171">
        <f>C37</f>
        <v>0</v>
      </c>
      <c r="G125" s="2171" t="e">
        <f>ROUND(IF(H19="元",F125/B125,F125*10000/B125),0)</f>
        <v>#DIV/0!</v>
      </c>
      <c r="H125" s="2171">
        <f ca="1">C34</f>
        <v>0</v>
      </c>
      <c r="I125" s="2619" t="e">
        <f ca="1">C35</f>
        <v>#DIV/0!</v>
      </c>
      <c r="J125" s="2563"/>
      <c r="K125" s="1712"/>
      <c r="L125" s="1712"/>
      <c r="M125" s="1712"/>
      <c r="N125" s="1712"/>
      <c r="O125" s="1712"/>
      <c r="P125" s="1712"/>
      <c r="Q125" s="1712"/>
      <c r="R125" s="1712"/>
      <c r="S125" s="1712"/>
      <c r="T125" s="1712"/>
      <c r="U125" s="1712"/>
      <c r="V125" s="1712"/>
      <c r="W125" s="1712"/>
      <c r="X125" s="1712"/>
      <c r="Y125" s="1712"/>
      <c r="Z125" s="1712"/>
      <c r="AA125" s="1712"/>
    </row>
    <row r="126" s="2425" customFormat="1" ht="12.75" spans="1:27">
      <c r="A126" s="2543" t="s">
        <v>815</v>
      </c>
      <c r="B126" s="2171"/>
      <c r="C126" s="2171"/>
      <c r="D126" s="2723" t="str">
        <f>IF(H19="元",NUMBERSTRING(INT(D125),2)&amp;"元整",NUMBERSTRING(INT(D125*10000),2)&amp;"元整")</f>
        <v>零元整</v>
      </c>
      <c r="E126" s="2724"/>
      <c r="F126" s="2723" t="str">
        <f>IF(H19="元",NUMBERSTRING(INT(F125),2)&amp;"元整",NUMBERSTRING(INT(F125*10000),2)&amp;"元整")</f>
        <v>零元整</v>
      </c>
      <c r="G126" s="2724"/>
      <c r="H126" s="2723" t="str">
        <f ca="1">IF(H19="元",NUMBERSTRING(INT(H125),2)&amp;"元整",NUMBERSTRING(INT(H125*10000),2)&amp;"元整")</f>
        <v>零元整</v>
      </c>
      <c r="I126" s="2758"/>
      <c r="J126" s="2759"/>
      <c r="K126" s="1712"/>
      <c r="L126" s="1712"/>
      <c r="M126" s="1712"/>
      <c r="N126" s="1712"/>
      <c r="O126" s="1712"/>
      <c r="P126" s="1712"/>
      <c r="Q126" s="1712"/>
      <c r="R126" s="1712"/>
      <c r="S126" s="1712"/>
      <c r="T126" s="1712"/>
      <c r="U126" s="1712"/>
      <c r="V126" s="1712"/>
      <c r="W126" s="1712"/>
      <c r="X126" s="1712"/>
      <c r="Y126" s="1712"/>
      <c r="Z126" s="1712"/>
      <c r="AA126" s="1712"/>
    </row>
    <row r="127" s="2425" customFormat="1" ht="12.75" spans="1:27">
      <c r="A127" s="2678" t="str">
        <f>IF(项目基本情况!D5="房地产市场价值","——",MID(A112,3,LEN(A112)-2))</f>
        <v>估价师所知悉的法定优先受偿款</v>
      </c>
      <c r="B127" s="2680"/>
      <c r="C127" s="2679"/>
      <c r="D127" s="2686">
        <f>I107</f>
        <v>0</v>
      </c>
      <c r="E127" s="2680"/>
      <c r="F127" s="2680"/>
      <c r="G127" s="2680"/>
      <c r="H127" s="2680"/>
      <c r="I127" s="2745"/>
      <c r="J127" s="2746"/>
      <c r="K127" s="1712"/>
      <c r="L127" s="1712"/>
      <c r="M127" s="1712"/>
      <c r="N127" s="1712"/>
      <c r="O127" s="1712"/>
      <c r="P127" s="1712"/>
      <c r="Q127" s="1712"/>
      <c r="R127" s="1712"/>
      <c r="S127" s="1712"/>
      <c r="T127" s="1712"/>
      <c r="U127" s="1712"/>
      <c r="V127" s="1712"/>
      <c r="W127" s="1712"/>
      <c r="X127" s="1712"/>
      <c r="Y127" s="1712"/>
      <c r="Z127" s="1712"/>
      <c r="AA127" s="1712"/>
    </row>
    <row r="128" s="2425" customFormat="1" ht="12.75" spans="1:27">
      <c r="A128" s="2725" t="s">
        <v>815</v>
      </c>
      <c r="B128" s="2150"/>
      <c r="C128" s="2546"/>
      <c r="D128" s="2726">
        <f>H111</f>
        <v>0</v>
      </c>
      <c r="E128" s="2727"/>
      <c r="F128" s="2727"/>
      <c r="G128" s="2727"/>
      <c r="H128" s="2727"/>
      <c r="I128" s="2760"/>
      <c r="J128" s="2761"/>
      <c r="K128" s="1712"/>
      <c r="L128" s="1712"/>
      <c r="M128" s="1712"/>
      <c r="N128" s="1712"/>
      <c r="O128" s="1712"/>
      <c r="P128" s="1712"/>
      <c r="Q128" s="1712"/>
      <c r="R128" s="1712"/>
      <c r="S128" s="1712"/>
      <c r="T128" s="1712"/>
      <c r="U128" s="1712"/>
      <c r="V128" s="1712"/>
      <c r="W128" s="1712"/>
      <c r="X128" s="1712"/>
      <c r="Y128" s="1712"/>
      <c r="Z128" s="1712"/>
      <c r="AA128" s="1712"/>
    </row>
    <row r="129" s="2425" customFormat="1" ht="12.75" spans="1:27">
      <c r="A129" s="2636" t="str">
        <f>IF(项目基本情况!D5="房地产市场价值","——",MID(A116,3,LEN(A116)-2))</f>
        <v>房地产抵押价值</v>
      </c>
      <c r="B129" s="2327"/>
      <c r="C129" s="2327"/>
      <c r="D129" s="2686">
        <f ca="1">I112</f>
        <v>0</v>
      </c>
      <c r="E129" s="2680"/>
      <c r="F129" s="2680"/>
      <c r="G129" s="2680"/>
      <c r="H129" s="2680"/>
      <c r="I129" s="2745"/>
      <c r="J129" s="2746"/>
      <c r="K129" s="1712"/>
      <c r="L129" s="1712"/>
      <c r="M129" s="1712"/>
      <c r="N129" s="1712"/>
      <c r="O129" s="1712"/>
      <c r="P129" s="1712"/>
      <c r="Q129" s="1712"/>
      <c r="R129" s="1712"/>
      <c r="S129" s="1712"/>
      <c r="T129" s="1712"/>
      <c r="U129" s="1712"/>
      <c r="V129" s="1712"/>
      <c r="W129" s="1712"/>
      <c r="X129" s="1712"/>
      <c r="Y129" s="1712"/>
      <c r="Z129" s="1712"/>
      <c r="AA129" s="1712"/>
    </row>
    <row r="130" s="2425" customFormat="1" ht="12.75" spans="1:27">
      <c r="A130" s="2543" t="s">
        <v>815</v>
      </c>
      <c r="B130" s="2171"/>
      <c r="C130" s="2171"/>
      <c r="D130" s="2726" t="e">
        <f ca="1">I113</f>
        <v>#DIV/0!</v>
      </c>
      <c r="E130" s="2727"/>
      <c r="F130" s="2727"/>
      <c r="G130" s="2727"/>
      <c r="H130" s="2727"/>
      <c r="I130" s="2760"/>
      <c r="J130" s="2761"/>
      <c r="K130" s="1712"/>
      <c r="L130" s="1712"/>
      <c r="M130" s="1712"/>
      <c r="N130" s="1712"/>
      <c r="O130" s="1712"/>
      <c r="P130" s="1712"/>
      <c r="Q130" s="1712"/>
      <c r="R130" s="1712"/>
      <c r="S130" s="1712"/>
      <c r="T130" s="1712"/>
      <c r="U130" s="1712"/>
      <c r="V130" s="1712"/>
      <c r="W130" s="1712"/>
      <c r="X130" s="1712"/>
      <c r="Y130" s="1712"/>
      <c r="Z130" s="1712"/>
      <c r="AA130" s="1712"/>
    </row>
    <row r="131" s="2425" customFormat="1" ht="13.5" spans="1:27">
      <c r="A131" s="2636" t="str">
        <f>IF(项目基本情况!D5="房地产市场价值","——",MID(A118,3,LEN(A118)-2))</f>
        <v/>
      </c>
      <c r="B131" s="2327"/>
      <c r="C131" s="2327"/>
      <c r="D131" s="2516" t="str">
        <f ca="1">I114</f>
        <v>——</v>
      </c>
      <c r="E131" s="2517"/>
      <c r="F131" s="2517"/>
      <c r="G131" s="2517"/>
      <c r="H131" s="2517"/>
      <c r="I131" s="2784"/>
      <c r="J131" s="2746"/>
      <c r="K131" s="1712"/>
      <c r="L131" s="1712"/>
      <c r="M131" s="1712"/>
      <c r="N131" s="1712"/>
      <c r="O131" s="1712"/>
      <c r="P131" s="1712"/>
      <c r="Q131" s="1712"/>
      <c r="R131" s="1712"/>
      <c r="S131" s="1712"/>
      <c r="T131" s="1712"/>
      <c r="U131" s="1712"/>
      <c r="V131" s="1712"/>
      <c r="W131" s="1712"/>
      <c r="X131" s="1712"/>
      <c r="Y131" s="1712"/>
      <c r="Z131" s="1712"/>
      <c r="AA131" s="1712"/>
    </row>
    <row r="132" s="2425" customFormat="1" ht="14.25" spans="1:27">
      <c r="A132" s="2543" t="s">
        <v>815</v>
      </c>
      <c r="B132" s="2171"/>
      <c r="C132" s="2149"/>
      <c r="D132" s="2762" t="str">
        <f ca="1">I115</f>
        <v>——</v>
      </c>
      <c r="E132" s="2762"/>
      <c r="F132" s="2762"/>
      <c r="G132" s="2762"/>
      <c r="H132" s="2762"/>
      <c r="I132" s="2762"/>
      <c r="J132" s="2761"/>
      <c r="K132" s="1712"/>
      <c r="L132" s="1712"/>
      <c r="M132" s="1712"/>
      <c r="N132" s="1712"/>
      <c r="O132" s="1712"/>
      <c r="P132" s="1712"/>
      <c r="Q132" s="1712"/>
      <c r="R132" s="1712"/>
      <c r="S132" s="1712"/>
      <c r="T132" s="1712"/>
      <c r="U132" s="1712"/>
      <c r="V132" s="1712"/>
      <c r="W132" s="1712"/>
      <c r="X132" s="1712"/>
      <c r="Y132" s="1712"/>
      <c r="Z132" s="1712"/>
      <c r="AA132" s="1712"/>
    </row>
    <row r="133" s="2425" customFormat="1" ht="14.25" spans="1:27">
      <c r="A133" s="2636" t="str">
        <f>IF(项目基本情况!D5="房地产市场价值","——",MID(F116,3,LEN(F116)-2))</f>
        <v/>
      </c>
      <c r="B133" s="2327"/>
      <c r="C133" s="2686"/>
      <c r="D133" s="2763" t="str">
        <f ca="1">I116</f>
        <v>——</v>
      </c>
      <c r="E133" s="2763"/>
      <c r="F133" s="2763"/>
      <c r="G133" s="2763"/>
      <c r="H133" s="2763"/>
      <c r="I133" s="2763"/>
      <c r="J133" s="2746"/>
      <c r="K133" s="1712"/>
      <c r="L133" s="1712"/>
      <c r="M133" s="1712"/>
      <c r="N133" s="1712"/>
      <c r="O133" s="1712"/>
      <c r="P133" s="1712"/>
      <c r="Q133" s="1712"/>
      <c r="R133" s="1712"/>
      <c r="S133" s="1712"/>
      <c r="T133" s="1712"/>
      <c r="U133" s="1712"/>
      <c r="V133" s="1712"/>
      <c r="W133" s="1712"/>
      <c r="X133" s="1712"/>
      <c r="Y133" s="1712"/>
      <c r="Z133" s="1712"/>
      <c r="AA133" s="1712"/>
    </row>
    <row r="134" s="2425" customFormat="1" ht="14.25" spans="1:27">
      <c r="A134" s="2551" t="s">
        <v>815</v>
      </c>
      <c r="B134" s="2552"/>
      <c r="C134" s="2552"/>
      <c r="D134" s="2764">
        <f>H118</f>
        <v>0</v>
      </c>
      <c r="E134" s="2765"/>
      <c r="F134" s="2765"/>
      <c r="G134" s="2765"/>
      <c r="H134" s="2765"/>
      <c r="I134" s="2785"/>
      <c r="J134" s="2761"/>
      <c r="K134" s="1712"/>
      <c r="L134" s="1712"/>
      <c r="M134" s="1712"/>
      <c r="N134" s="1712"/>
      <c r="O134" s="1712"/>
      <c r="P134" s="1712"/>
      <c r="Q134" s="1712"/>
      <c r="R134" s="1712"/>
      <c r="S134" s="1712"/>
      <c r="T134" s="1712"/>
      <c r="U134" s="1712"/>
      <c r="V134" s="1712"/>
      <c r="W134" s="1712"/>
      <c r="X134" s="1712"/>
      <c r="Y134" s="1712"/>
      <c r="Z134" s="1712"/>
      <c r="AA134" s="1712"/>
    </row>
    <row r="135" s="2425" customFormat="1" ht="12.75" spans="1:27">
      <c r="A135" s="2511" t="str">
        <f>IF(H19="元","单位：平方米、元、元/平方米（币种：人民币）","单位：平方米、万元、元/平方米（币种：人民币）")</f>
        <v>单位：平方米、元、元/平方米（币种：人民币）</v>
      </c>
      <c r="B135" s="2511"/>
      <c r="C135" s="2511"/>
      <c r="D135" s="2511"/>
      <c r="E135" s="2511"/>
      <c r="F135" s="2511"/>
      <c r="G135" s="2511"/>
      <c r="H135" s="2511"/>
      <c r="I135" s="2511"/>
      <c r="J135" s="2786"/>
      <c r="K135" s="1712"/>
      <c r="L135" s="1712"/>
      <c r="M135" s="1712"/>
      <c r="N135" s="1712"/>
      <c r="O135" s="1712"/>
      <c r="P135" s="1712"/>
      <c r="Q135" s="1712"/>
      <c r="R135" s="1712"/>
      <c r="S135" s="1712"/>
      <c r="T135" s="1712"/>
      <c r="U135" s="1712"/>
      <c r="V135" s="1712"/>
      <c r="W135" s="1712"/>
      <c r="X135" s="1712"/>
      <c r="Y135" s="1712"/>
      <c r="Z135" s="1712"/>
      <c r="AA135" s="1712"/>
    </row>
    <row r="136" s="2425" customFormat="1" ht="13.5" spans="1:27">
      <c r="A136" s="2766" t="str">
        <f>IF(B33="总价","（以上估价结果中楼面单价为总价除以建筑面积得出）","（以上估价结果中总价为楼面单价乘以建筑面积得出）")</f>
        <v>（以上估价结果中总价为楼面单价乘以建筑面积得出）</v>
      </c>
      <c r="B136" s="2766"/>
      <c r="C136" s="2766"/>
      <c r="D136" s="2766"/>
      <c r="E136" s="2766"/>
      <c r="F136" s="2766"/>
      <c r="G136" s="2766"/>
      <c r="H136" s="2766"/>
      <c r="I136" s="2766"/>
      <c r="J136" s="2752"/>
      <c r="K136" s="1712"/>
      <c r="L136" s="1712"/>
      <c r="M136" s="1712"/>
      <c r="N136" s="1712"/>
      <c r="O136" s="1712"/>
      <c r="P136" s="1712"/>
      <c r="Q136" s="1712"/>
      <c r="R136" s="1712"/>
      <c r="S136" s="1712"/>
      <c r="T136" s="1712"/>
      <c r="U136" s="1712"/>
      <c r="V136" s="1712"/>
      <c r="W136" s="1712"/>
      <c r="X136" s="1712"/>
      <c r="Y136" s="1712"/>
      <c r="Z136" s="1712"/>
      <c r="AA136" s="1712"/>
    </row>
    <row r="137" s="2425" customFormat="1" customHeight="1" spans="1:27">
      <c r="A137" s="2767" t="s">
        <v>816</v>
      </c>
      <c r="B137" s="2768"/>
      <c r="C137" s="2769" t="s">
        <v>817</v>
      </c>
      <c r="D137" s="2770"/>
      <c r="E137" s="2770"/>
      <c r="F137" s="2770"/>
      <c r="G137" s="2770"/>
      <c r="H137" s="2771"/>
      <c r="I137" s="2787"/>
      <c r="J137" s="2788"/>
      <c r="K137" s="1712"/>
      <c r="L137" s="1712"/>
      <c r="M137" s="1712"/>
      <c r="N137" s="1712"/>
      <c r="O137" s="1712"/>
      <c r="P137" s="1712"/>
      <c r="Q137" s="1712"/>
      <c r="R137" s="1712"/>
      <c r="S137" s="1712"/>
      <c r="T137" s="1712"/>
      <c r="U137" s="1712"/>
      <c r="V137" s="1712"/>
      <c r="W137" s="1712"/>
      <c r="X137" s="1712"/>
      <c r="Y137" s="1712"/>
      <c r="Z137" s="1712"/>
      <c r="AA137" s="1712"/>
    </row>
    <row r="138" s="2425" customFormat="1" customHeight="1" spans="1:27">
      <c r="A138" s="2772">
        <v>1</v>
      </c>
      <c r="B138" s="2773"/>
      <c r="C138" s="2773"/>
      <c r="D138" s="2770"/>
      <c r="E138" s="2770"/>
      <c r="F138" s="2770"/>
      <c r="G138" s="2770"/>
      <c r="H138" s="2771"/>
      <c r="I138" s="2787"/>
      <c r="J138" s="2788"/>
      <c r="K138" s="1712"/>
      <c r="L138" s="1712"/>
      <c r="M138" s="1712"/>
      <c r="N138" s="1712"/>
      <c r="O138" s="1712"/>
      <c r="P138" s="1712"/>
      <c r="Q138" s="1712"/>
      <c r="R138" s="1712"/>
      <c r="S138" s="1712"/>
      <c r="T138" s="1712"/>
      <c r="U138" s="1712"/>
      <c r="V138" s="1712"/>
      <c r="W138" s="1712"/>
      <c r="X138" s="1712"/>
      <c r="Y138" s="1712"/>
      <c r="Z138" s="1712"/>
      <c r="AA138" s="1712"/>
    </row>
    <row r="139" s="2425" customFormat="1" customHeight="1" spans="1:27">
      <c r="A139" s="2772">
        <v>2</v>
      </c>
      <c r="B139" s="2773"/>
      <c r="C139" s="2773"/>
      <c r="D139" s="2770"/>
      <c r="E139" s="2770"/>
      <c r="F139" s="2770"/>
      <c r="G139" s="2770"/>
      <c r="H139" s="2771"/>
      <c r="I139" s="2787"/>
      <c r="J139" s="2788"/>
      <c r="K139" s="1712"/>
      <c r="L139" s="1712"/>
      <c r="M139" s="1712"/>
      <c r="N139" s="1712"/>
      <c r="O139" s="1712"/>
      <c r="P139" s="1712"/>
      <c r="Q139" s="1712"/>
      <c r="R139" s="1712"/>
      <c r="S139" s="1712"/>
      <c r="T139" s="1712"/>
      <c r="U139" s="1712"/>
      <c r="V139" s="1712"/>
      <c r="W139" s="1712"/>
      <c r="X139" s="1712"/>
      <c r="Y139" s="1712"/>
      <c r="Z139" s="1712"/>
      <c r="AA139" s="1712"/>
    </row>
    <row r="140" s="2425" customFormat="1" customHeight="1" spans="1:27">
      <c r="A140" s="2772">
        <v>3</v>
      </c>
      <c r="B140" s="2773"/>
      <c r="C140" s="2773"/>
      <c r="D140" s="2770"/>
      <c r="E140" s="2770"/>
      <c r="F140" s="1709"/>
      <c r="G140" s="1709"/>
      <c r="H140" s="1709"/>
      <c r="I140" s="1709"/>
      <c r="J140" s="2789"/>
      <c r="K140" s="1712"/>
      <c r="L140" s="1712"/>
      <c r="M140" s="1712"/>
      <c r="N140" s="1712"/>
      <c r="O140" s="1712"/>
      <c r="P140" s="1712"/>
      <c r="Q140" s="1712"/>
      <c r="R140" s="1712"/>
      <c r="S140" s="1712"/>
      <c r="T140" s="1712"/>
      <c r="U140" s="1712"/>
      <c r="V140" s="1712"/>
      <c r="W140" s="1712"/>
      <c r="X140" s="1712"/>
      <c r="Y140" s="1712"/>
      <c r="Z140" s="1712"/>
      <c r="AA140" s="1712"/>
    </row>
    <row r="141" s="2425" customFormat="1" customHeight="1" spans="1:27">
      <c r="A141" s="2774"/>
      <c r="B141" s="2775"/>
      <c r="C141" s="2775"/>
      <c r="D141" s="2776"/>
      <c r="E141" s="2776"/>
      <c r="F141" s="2776"/>
      <c r="G141" s="2776"/>
      <c r="H141" s="2777"/>
      <c r="I141" s="2790"/>
      <c r="J141" s="2788"/>
      <c r="K141" s="1712"/>
      <c r="L141" s="1712"/>
      <c r="M141" s="1712"/>
      <c r="N141" s="1712"/>
      <c r="O141" s="1712"/>
      <c r="P141" s="1712"/>
      <c r="Q141" s="1712"/>
      <c r="R141" s="1712"/>
      <c r="S141" s="1712"/>
      <c r="T141" s="1712"/>
      <c r="U141" s="1712"/>
      <c r="V141" s="1712"/>
      <c r="W141" s="1712"/>
      <c r="X141" s="1712"/>
      <c r="Y141" s="1712"/>
      <c r="Z141" s="1712"/>
      <c r="AA141" s="1712"/>
    </row>
    <row r="142" s="2425" customFormat="1" customHeight="1" spans="1:27">
      <c r="A142" s="2773"/>
      <c r="B142" s="2773"/>
      <c r="C142" s="2773"/>
      <c r="D142" s="2770"/>
      <c r="E142" s="2770"/>
      <c r="F142" s="2770"/>
      <c r="G142" s="2770"/>
      <c r="H142" s="2771"/>
      <c r="I142" s="1712"/>
      <c r="J142" s="2789"/>
      <c r="K142" s="1712"/>
      <c r="L142" s="1712"/>
      <c r="M142" s="1712"/>
      <c r="N142" s="1712"/>
      <c r="O142" s="1712"/>
      <c r="P142" s="1712"/>
      <c r="Q142" s="1712"/>
      <c r="R142" s="1712"/>
      <c r="S142" s="1712"/>
      <c r="T142" s="1712"/>
      <c r="U142" s="1712"/>
      <c r="V142" s="1712"/>
      <c r="W142" s="1712"/>
      <c r="X142" s="1712"/>
      <c r="Y142" s="1712"/>
      <c r="Z142" s="1712"/>
      <c r="AA142" s="1712"/>
    </row>
    <row r="143" s="2425" customFormat="1" customHeight="1" spans="1:27">
      <c r="A143" s="1712"/>
      <c r="B143" s="1712"/>
      <c r="C143" s="1712"/>
      <c r="D143" s="1712"/>
      <c r="E143" s="1712"/>
      <c r="F143" s="2778" t="s">
        <v>818</v>
      </c>
      <c r="G143" s="2779"/>
      <c r="H143" s="2779"/>
      <c r="I143" s="2791" t="s">
        <v>819</v>
      </c>
      <c r="J143" s="2792"/>
      <c r="K143" s="1712"/>
      <c r="L143" s="1712"/>
      <c r="M143" s="1712"/>
      <c r="N143" s="1712"/>
      <c r="O143" s="1712"/>
      <c r="P143" s="1712"/>
      <c r="Q143" s="1712"/>
      <c r="R143" s="1712"/>
      <c r="S143" s="1712"/>
      <c r="T143" s="1712"/>
      <c r="U143" s="1712"/>
      <c r="V143" s="1712"/>
      <c r="W143" s="1712"/>
      <c r="X143" s="1712"/>
      <c r="Y143" s="1712"/>
      <c r="Z143" s="1712"/>
      <c r="AA143" s="1712"/>
    </row>
    <row r="144" s="2425" customFormat="1" customHeight="1" spans="1:27">
      <c r="A144" s="1712"/>
      <c r="B144" s="2780" t="s">
        <v>820</v>
      </c>
      <c r="C144" s="1712"/>
      <c r="D144" s="1712"/>
      <c r="E144" s="1712"/>
      <c r="F144" s="1712"/>
      <c r="G144" s="1712"/>
      <c r="H144" s="1712"/>
      <c r="I144" s="1712"/>
      <c r="J144" s="2789"/>
      <c r="K144" s="1712"/>
      <c r="L144" s="1712"/>
      <c r="M144" s="1712"/>
      <c r="N144" s="1712"/>
      <c r="O144" s="1712"/>
      <c r="P144" s="1712"/>
      <c r="Q144" s="1712"/>
      <c r="R144" s="1712"/>
      <c r="S144" s="1712"/>
      <c r="T144" s="1712"/>
      <c r="U144" s="1712"/>
      <c r="V144" s="1712"/>
      <c r="W144" s="1712"/>
      <c r="X144" s="1712"/>
      <c r="Y144" s="1712"/>
      <c r="Z144" s="1712"/>
      <c r="AA144" s="1712"/>
    </row>
    <row r="145" s="2425" customFormat="1" customHeight="1" spans="1:27">
      <c r="A145" s="1712"/>
      <c r="B145" s="1712"/>
      <c r="C145" s="1712"/>
      <c r="D145" s="1712"/>
      <c r="E145" s="1712"/>
      <c r="F145" s="1712"/>
      <c r="G145" s="1712"/>
      <c r="H145" s="1712"/>
      <c r="I145" s="1712"/>
      <c r="J145" s="2789"/>
      <c r="K145" s="1712"/>
      <c r="L145" s="1712"/>
      <c r="M145" s="1712"/>
      <c r="N145" s="1712"/>
      <c r="O145" s="1712"/>
      <c r="P145" s="1712"/>
      <c r="Q145" s="1712"/>
      <c r="R145" s="1712"/>
      <c r="S145" s="1712"/>
      <c r="T145" s="1712"/>
      <c r="U145" s="1712"/>
      <c r="V145" s="1712"/>
      <c r="W145" s="1712"/>
      <c r="X145" s="1712"/>
      <c r="Y145" s="1712"/>
      <c r="Z145" s="1712"/>
      <c r="AA145" s="1712"/>
    </row>
    <row r="146" s="2425" customFormat="1" customHeight="1" spans="1:27">
      <c r="A146" s="1712"/>
      <c r="B146" s="2779"/>
      <c r="C146" s="2779"/>
      <c r="D146" s="2779"/>
      <c r="E146" s="2779"/>
      <c r="F146" s="2779"/>
      <c r="G146" s="2779"/>
      <c r="H146" s="2779"/>
      <c r="I146" s="2791" t="s">
        <v>821</v>
      </c>
      <c r="J146" s="2792"/>
      <c r="K146" s="1712"/>
      <c r="L146" s="1712"/>
      <c r="M146" s="1712"/>
      <c r="N146" s="1712"/>
      <c r="O146" s="1712"/>
      <c r="P146" s="1712"/>
      <c r="Q146" s="1712"/>
      <c r="R146" s="1712"/>
      <c r="S146" s="1712"/>
      <c r="T146" s="1712"/>
      <c r="U146" s="1712"/>
      <c r="V146" s="1712"/>
      <c r="W146" s="1712"/>
      <c r="X146" s="1712"/>
      <c r="Y146" s="1712"/>
      <c r="Z146" s="1712"/>
      <c r="AA146" s="1712"/>
    </row>
    <row r="147" s="2425" customFormat="1" customHeight="1" spans="1:27">
      <c r="A147" s="1712"/>
      <c r="B147" s="2780" t="s">
        <v>822</v>
      </c>
      <c r="C147" s="1712"/>
      <c r="D147" s="1712"/>
      <c r="E147" s="1712"/>
      <c r="F147" s="1712"/>
      <c r="G147" s="1712"/>
      <c r="H147" s="1712"/>
      <c r="I147" s="1712"/>
      <c r="J147" s="2789"/>
      <c r="K147" s="1712"/>
      <c r="L147" s="1712"/>
      <c r="M147" s="1712"/>
      <c r="N147" s="1712"/>
      <c r="O147" s="1712"/>
      <c r="P147" s="1712"/>
      <c r="Q147" s="1712"/>
      <c r="R147" s="1712"/>
      <c r="S147" s="1712"/>
      <c r="T147" s="1712"/>
      <c r="U147" s="1712"/>
      <c r="V147" s="1712"/>
      <c r="W147" s="1712"/>
      <c r="X147" s="1712"/>
      <c r="Y147" s="1712"/>
      <c r="Z147" s="1712"/>
      <c r="AA147" s="1712"/>
    </row>
    <row r="148" s="2425" customFormat="1" customHeight="1" spans="1:27">
      <c r="A148" s="1712"/>
      <c r="B148" s="2780"/>
      <c r="C148" s="1712"/>
      <c r="D148" s="1712"/>
      <c r="E148" s="1712"/>
      <c r="F148" s="1712"/>
      <c r="G148" s="1712"/>
      <c r="H148" s="1712"/>
      <c r="I148" s="1712"/>
      <c r="J148" s="2789"/>
      <c r="K148" s="1712"/>
      <c r="L148" s="1712"/>
      <c r="M148" s="1712"/>
      <c r="N148" s="1712"/>
      <c r="O148" s="1712"/>
      <c r="P148" s="1712"/>
      <c r="Q148" s="1712"/>
      <c r="R148" s="1712"/>
      <c r="S148" s="1712"/>
      <c r="T148" s="1712"/>
      <c r="U148" s="1712"/>
      <c r="V148" s="1712"/>
      <c r="W148" s="1712"/>
      <c r="X148" s="1712"/>
      <c r="Y148" s="1712"/>
      <c r="Z148" s="1712"/>
      <c r="AA148" s="1712"/>
    </row>
    <row r="149" s="2425" customFormat="1" customHeight="1" spans="1:27">
      <c r="A149" s="1712"/>
      <c r="B149" s="2779"/>
      <c r="C149" s="2779"/>
      <c r="D149" s="2779"/>
      <c r="E149" s="2779"/>
      <c r="F149" s="2779"/>
      <c r="G149" s="2779"/>
      <c r="H149" s="2779"/>
      <c r="I149" s="2791" t="s">
        <v>821</v>
      </c>
      <c r="J149" s="2792"/>
      <c r="K149" s="1712"/>
      <c r="L149" s="1712"/>
      <c r="M149" s="1712"/>
      <c r="N149" s="1712"/>
      <c r="O149" s="1712"/>
      <c r="P149" s="1712"/>
      <c r="Q149" s="1712"/>
      <c r="R149" s="1712"/>
      <c r="S149" s="1712"/>
      <c r="T149" s="1712"/>
      <c r="U149" s="1712"/>
      <c r="V149" s="1712"/>
      <c r="W149" s="1712"/>
      <c r="X149" s="1712"/>
      <c r="Y149" s="1712"/>
      <c r="Z149" s="1712"/>
      <c r="AA149" s="1712"/>
    </row>
    <row r="150" s="2425" customFormat="1" customHeight="1" spans="1:27">
      <c r="A150" s="1712"/>
      <c r="B150" s="2780"/>
      <c r="C150" s="2781"/>
      <c r="D150" s="2782"/>
      <c r="E150" s="2782"/>
      <c r="F150" s="2783"/>
      <c r="G150" s="1712"/>
      <c r="H150" s="1712"/>
      <c r="I150" s="1712"/>
      <c r="J150" s="2789"/>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80"/>
      <c r="C151" s="2781"/>
      <c r="D151" s="2782"/>
      <c r="E151" s="2782"/>
      <c r="J151" s="2789"/>
    </row>
    <row r="152" s="1712" customFormat="1" customHeight="1" spans="10:10">
      <c r="J152" s="2789"/>
    </row>
    <row r="153" s="1712" customFormat="1" customHeight="1" spans="10:10">
      <c r="J153" s="2789"/>
    </row>
    <row r="154" s="1712" customFormat="1" customHeight="1" spans="10:10">
      <c r="J154" s="2789"/>
    </row>
    <row r="155" s="1712" customFormat="1" customHeight="1" spans="10:10">
      <c r="J155" s="2789"/>
    </row>
    <row r="156" s="1712" customFormat="1" customHeight="1" spans="10:10">
      <c r="J156" s="2789"/>
    </row>
    <row r="157" s="1712" customFormat="1" customHeight="1" spans="10:10">
      <c r="J157" s="2789"/>
    </row>
    <row r="158" s="1712" customFormat="1" customHeight="1" spans="10:10">
      <c r="J158" s="2789"/>
    </row>
    <row r="159" s="1712" customFormat="1" customHeight="1" spans="10:10">
      <c r="J159" s="2789"/>
    </row>
    <row r="160" s="1712" customFormat="1" customHeight="1" spans="10:10">
      <c r="J160" s="2789"/>
    </row>
    <row r="161" s="1712" customFormat="1" customHeight="1" spans="10:10">
      <c r="J161" s="2789"/>
    </row>
    <row r="162" s="1712" customFormat="1" customHeight="1" spans="10:10">
      <c r="J162" s="2789"/>
    </row>
    <row r="163" s="1712" customFormat="1" customHeight="1" spans="10:10">
      <c r="J163" s="2789"/>
    </row>
    <row r="164" s="1712" customFormat="1" customHeight="1" spans="10:10">
      <c r="J164" s="2789"/>
    </row>
    <row r="165" s="1712" customFormat="1" customHeight="1" spans="10:10">
      <c r="J165" s="2789"/>
    </row>
    <row r="166" s="1712" customFormat="1" customHeight="1" spans="10:10">
      <c r="J166" s="2789"/>
    </row>
    <row r="167" s="1712" customFormat="1" customHeight="1" spans="10:10">
      <c r="J167" s="2789"/>
    </row>
    <row r="168" s="1712" customFormat="1" customHeight="1" spans="10:10">
      <c r="J168" s="2789"/>
    </row>
    <row r="169" s="1712" customFormat="1" customHeight="1" spans="10:10">
      <c r="J169" s="2789"/>
    </row>
    <row r="170" s="1712" customFormat="1" customHeight="1" spans="10:10">
      <c r="J170" s="2789"/>
    </row>
    <row r="171" s="1712" customFormat="1" customHeight="1" spans="10:10">
      <c r="J171" s="2789"/>
    </row>
    <row r="172" s="1712" customFormat="1" customHeight="1" spans="10:10">
      <c r="J172" s="2789"/>
    </row>
    <row r="173" s="1712" customFormat="1" customHeight="1" spans="10:10">
      <c r="J173" s="2789"/>
    </row>
    <row r="174" s="1712" customFormat="1" customHeight="1" spans="10:10">
      <c r="J174" s="2789"/>
    </row>
    <row r="175" s="1712" customFormat="1" customHeight="1" spans="10:10">
      <c r="J175" s="2789"/>
    </row>
    <row r="176" s="1712" customFormat="1" customHeight="1" spans="10:10">
      <c r="J176" s="2789"/>
    </row>
    <row r="177" s="1712" customFormat="1" customHeight="1" spans="10:10">
      <c r="J177" s="2789"/>
    </row>
    <row r="178" s="1712" customFormat="1" customHeight="1" spans="10:10">
      <c r="J178" s="2789"/>
    </row>
    <row r="179" s="1712" customFormat="1" customHeight="1" spans="10:10">
      <c r="J179" s="2789"/>
    </row>
    <row r="180" s="1712" customFormat="1" customHeight="1" spans="10:10">
      <c r="J180" s="2789"/>
    </row>
    <row r="181" s="1712" customFormat="1" customHeight="1" spans="10:10">
      <c r="J181" s="2789"/>
    </row>
    <row r="182" s="1712" customFormat="1" customHeight="1" spans="10:10">
      <c r="J182" s="2789"/>
    </row>
    <row r="183" s="1712" customFormat="1" customHeight="1" spans="10:10">
      <c r="J183" s="2789"/>
    </row>
    <row r="184" s="1712" customFormat="1" customHeight="1" spans="10:10">
      <c r="J184" s="2789"/>
    </row>
    <row r="185" s="1712" customFormat="1" customHeight="1" spans="10:10">
      <c r="J185" s="2789"/>
    </row>
    <row r="186" s="1712" customFormat="1" customHeight="1" spans="10:10">
      <c r="J186" s="2789"/>
    </row>
    <row r="187" s="1712" customFormat="1" customHeight="1" spans="10:10">
      <c r="J187" s="2789"/>
    </row>
    <row r="188" s="1712" customFormat="1" customHeight="1" spans="10:10">
      <c r="J188" s="2789"/>
    </row>
    <row r="189" s="1712" customFormat="1" customHeight="1" spans="10:10">
      <c r="J189" s="2789"/>
    </row>
    <row r="190" s="1712" customFormat="1" customHeight="1" spans="10:10">
      <c r="J190" s="2789"/>
    </row>
    <row r="191" s="1712" customFormat="1" customHeight="1" spans="10:10">
      <c r="J191" s="2789"/>
    </row>
    <row r="192" s="1712" customFormat="1" customHeight="1" spans="10:10">
      <c r="J192" s="2789"/>
    </row>
    <row r="193" s="1712" customFormat="1" customHeight="1" spans="10:10">
      <c r="J193" s="2789"/>
    </row>
    <row r="194" s="1712" customFormat="1" customHeight="1" spans="10:10">
      <c r="J194" s="2789"/>
    </row>
    <row r="195" s="1712" customFormat="1" customHeight="1" spans="10:10">
      <c r="J195" s="2789"/>
    </row>
    <row r="196" s="1712" customFormat="1" customHeight="1" spans="10:10">
      <c r="J196" s="2789"/>
    </row>
    <row r="197" s="1712" customFormat="1" customHeight="1" spans="10:10">
      <c r="J197" s="2789"/>
    </row>
    <row r="198" s="1712" customFormat="1" customHeight="1" spans="10:10">
      <c r="J198" s="2789"/>
    </row>
    <row r="199" s="1712" customFormat="1" customHeight="1" spans="10:10">
      <c r="J199" s="2789"/>
    </row>
    <row r="200" s="1712" customFormat="1" customHeight="1" spans="10:10">
      <c r="J200" s="2789"/>
    </row>
    <row r="201" s="1712" customFormat="1" customHeight="1" spans="10:10">
      <c r="J201" s="2789"/>
    </row>
    <row r="202" s="1712" customFormat="1" customHeight="1" spans="10:10">
      <c r="J202" s="2789"/>
    </row>
    <row r="203" s="1712" customFormat="1" customHeight="1" spans="10:10">
      <c r="J203" s="2789"/>
    </row>
    <row r="204" s="1712" customFormat="1" customHeight="1" spans="10:10">
      <c r="J204" s="2789"/>
    </row>
    <row r="205" s="1712" customFormat="1" customHeight="1" spans="10:10">
      <c r="J205" s="2789"/>
    </row>
    <row r="206" s="1712" customFormat="1" customHeight="1" spans="10:10">
      <c r="J206" s="2789"/>
    </row>
    <row r="207" s="1712" customFormat="1" customHeight="1" spans="10:10">
      <c r="J207" s="2789"/>
    </row>
    <row r="208" s="1712" customFormat="1" customHeight="1" spans="10:10">
      <c r="J208" s="2789"/>
    </row>
    <row r="209" s="1712" customFormat="1" customHeight="1" spans="10:10">
      <c r="J209" s="2789"/>
    </row>
    <row r="210" s="1712" customFormat="1" customHeight="1" spans="10:10">
      <c r="J210" s="2789"/>
    </row>
    <row r="211" s="1712" customFormat="1" customHeight="1" spans="10:10">
      <c r="J211" s="2789"/>
    </row>
    <row r="212" s="1712" customFormat="1" customHeight="1" spans="10:10">
      <c r="J212" s="2789"/>
    </row>
    <row r="213" s="1712" customFormat="1" customHeight="1" spans="10:10">
      <c r="J213" s="2789"/>
    </row>
    <row r="214" s="1712" customFormat="1" customHeight="1" spans="10:10">
      <c r="J214" s="2789"/>
    </row>
    <row r="215" s="1712" customFormat="1" customHeight="1" spans="10:10">
      <c r="J215" s="2789"/>
    </row>
    <row r="216" s="1712" customFormat="1" customHeight="1" spans="10:10">
      <c r="J216" s="2789"/>
    </row>
    <row r="217" s="1712" customFormat="1" customHeight="1" spans="10:10">
      <c r="J217" s="2789"/>
    </row>
    <row r="218" s="1712" customFormat="1" customHeight="1" spans="10:10">
      <c r="J218" s="2789"/>
    </row>
    <row r="219" s="1712" customFormat="1" customHeight="1" spans="10:10">
      <c r="J219" s="2789"/>
    </row>
    <row r="220" s="1712" customFormat="1" customHeight="1" spans="10:10">
      <c r="J220" s="2789"/>
    </row>
    <row r="221" s="1712" customFormat="1" customHeight="1" spans="10:10">
      <c r="J221" s="2789"/>
    </row>
    <row r="222" s="1712" customFormat="1" customHeight="1" spans="10:10">
      <c r="J222" s="2789"/>
    </row>
    <row r="223" s="1712" customFormat="1" customHeight="1" spans="10:10">
      <c r="J223" s="2789"/>
    </row>
    <row r="224" s="1712" customFormat="1" customHeight="1" spans="10:10">
      <c r="J224" s="2789"/>
    </row>
    <row r="225" s="1712" customFormat="1" customHeight="1" spans="10:10">
      <c r="J225" s="2789"/>
    </row>
    <row r="226" s="1712" customFormat="1" customHeight="1" spans="10:10">
      <c r="J226" s="2789"/>
    </row>
    <row r="227" s="1712" customFormat="1" customHeight="1" spans="10:10">
      <c r="J227" s="2789"/>
    </row>
    <row r="228" s="1712" customFormat="1" customHeight="1" spans="10:10">
      <c r="J228" s="2789"/>
    </row>
    <row r="229" s="1712" customFormat="1" customHeight="1" spans="10:10">
      <c r="J229" s="2789"/>
    </row>
    <row r="230" s="1712" customFormat="1" customHeight="1" spans="10:10">
      <c r="J230" s="2789"/>
    </row>
    <row r="231" s="1712" customFormat="1" customHeight="1" spans="10:10">
      <c r="J231" s="2789"/>
    </row>
    <row r="232" s="1712" customFormat="1" customHeight="1" spans="10:10">
      <c r="J232" s="2789"/>
    </row>
    <row r="233" s="1712" customFormat="1" customHeight="1" spans="10:10">
      <c r="J233" s="2789"/>
    </row>
    <row r="234" s="1712" customFormat="1" customHeight="1" spans="10:10">
      <c r="J234" s="2789"/>
    </row>
    <row r="235" s="1712" customFormat="1" customHeight="1" spans="10:10">
      <c r="J235" s="2789"/>
    </row>
    <row r="236" s="1712" customFormat="1" customHeight="1" spans="10:10">
      <c r="J236" s="2789"/>
    </row>
    <row r="237" s="1712" customFormat="1" customHeight="1" spans="10:10">
      <c r="J237" s="2789"/>
    </row>
    <row r="238" s="1712" customFormat="1" customHeight="1" spans="10:10">
      <c r="J238" s="2789"/>
    </row>
    <row r="239" s="1712" customFormat="1" customHeight="1" spans="10:10">
      <c r="J239" s="2789"/>
    </row>
    <row r="240" s="1712" customFormat="1" customHeight="1" spans="10:10">
      <c r="J240" s="2789"/>
    </row>
    <row r="241" s="1712" customFormat="1" customHeight="1" spans="10:10">
      <c r="J241" s="2789"/>
    </row>
    <row r="242" s="1712" customFormat="1" customHeight="1" spans="10:10">
      <c r="J242" s="2789"/>
    </row>
    <row r="243" s="1712" customFormat="1" customHeight="1" spans="10:10">
      <c r="J243" s="2789"/>
    </row>
    <row r="244" s="1712" customFormat="1" customHeight="1" spans="10:10">
      <c r="J244" s="2789"/>
    </row>
    <row r="245" s="1712" customFormat="1" customHeight="1" spans="10:10">
      <c r="J245" s="2789"/>
    </row>
    <row r="246" s="1712" customFormat="1" customHeight="1" spans="10:10">
      <c r="J246" s="2789"/>
    </row>
    <row r="247" s="1712" customFormat="1" customHeight="1" spans="10:10">
      <c r="J247" s="2789"/>
    </row>
    <row r="248" s="1712" customFormat="1" customHeight="1" spans="10:10">
      <c r="J248" s="2789"/>
    </row>
    <row r="249" s="1712" customFormat="1" customHeight="1" spans="10:10">
      <c r="J249" s="2789"/>
    </row>
    <row r="250" s="1712" customFormat="1" customHeight="1" spans="10:10">
      <c r="J250" s="2789"/>
    </row>
    <row r="251" s="1712" customFormat="1" customHeight="1" spans="10:10">
      <c r="J251" s="2789"/>
    </row>
    <row r="252" s="1712" customFormat="1" customHeight="1" spans="10:10">
      <c r="J252" s="2789"/>
    </row>
    <row r="253" s="1712" customFormat="1" customHeight="1" spans="10:10">
      <c r="J253" s="2789"/>
    </row>
    <row r="254" s="1712" customFormat="1" customHeight="1" spans="10:10">
      <c r="J254" s="2789"/>
    </row>
    <row r="255" s="1712" customFormat="1" customHeight="1" spans="10:10">
      <c r="J255" s="2789"/>
    </row>
    <row r="256" s="1712" customFormat="1" customHeight="1" spans="10:10">
      <c r="J256" s="2789"/>
    </row>
    <row r="257" s="1712" customFormat="1" customHeight="1" spans="10:10">
      <c r="J257" s="2789"/>
    </row>
    <row r="258" s="1712" customFormat="1" customHeight="1" spans="10:10">
      <c r="J258" s="2789"/>
    </row>
    <row r="259" s="1712" customFormat="1" customHeight="1" spans="10:10">
      <c r="J259" s="2789"/>
    </row>
    <row r="260" s="1712" customFormat="1" customHeight="1" spans="10:10">
      <c r="J260" s="2789"/>
    </row>
    <row r="261" s="1712" customFormat="1" customHeight="1" spans="10:10">
      <c r="J261" s="2789"/>
    </row>
    <row r="262" s="1712" customFormat="1" customHeight="1" spans="10:10">
      <c r="J262" s="2789"/>
    </row>
    <row r="263" s="1712" customFormat="1" customHeight="1" spans="10:10">
      <c r="J263" s="2789"/>
    </row>
    <row r="264" s="1712" customFormat="1" customHeight="1" spans="10:10">
      <c r="J264" s="2789"/>
    </row>
    <row r="265" s="1712" customFormat="1" customHeight="1" spans="10:10">
      <c r="J265" s="2789"/>
    </row>
    <row r="266" s="1712" customFormat="1" customHeight="1" spans="10:10">
      <c r="J266" s="2789"/>
    </row>
    <row r="267" s="1712" customFormat="1" customHeight="1" spans="10:10">
      <c r="J267" s="2789"/>
    </row>
    <row r="268" s="1712" customFormat="1" customHeight="1" spans="10:10">
      <c r="J268" s="2789"/>
    </row>
    <row r="269" s="1712" customFormat="1" customHeight="1" spans="10:10">
      <c r="J269" s="2789"/>
    </row>
    <row r="270" s="1712" customFormat="1" customHeight="1" spans="10:10">
      <c r="J270" s="2789"/>
    </row>
    <row r="271" s="1712" customFormat="1" customHeight="1" spans="10:10">
      <c r="J271" s="2789"/>
    </row>
    <row r="272" s="1712" customFormat="1" customHeight="1" spans="10:10">
      <c r="J272" s="2789"/>
    </row>
    <row r="273" s="1712" customFormat="1" customHeight="1" spans="10:10">
      <c r="J273" s="2789"/>
    </row>
    <row r="274" s="1712" customFormat="1" customHeight="1" spans="10:10">
      <c r="J274" s="2789"/>
    </row>
    <row r="275" s="1712" customFormat="1" customHeight="1" spans="10:10">
      <c r="J275" s="2789"/>
    </row>
    <row r="276" s="1712" customFormat="1" customHeight="1" spans="10:10">
      <c r="J276" s="2789"/>
    </row>
    <row r="277" s="1712" customFormat="1" customHeight="1" spans="10:10">
      <c r="J277" s="2789"/>
    </row>
    <row r="278" s="1712" customFormat="1" customHeight="1" spans="10:10">
      <c r="J278" s="2789"/>
    </row>
    <row r="279" s="1712" customFormat="1" customHeight="1" spans="10:10">
      <c r="J279" s="2789"/>
    </row>
    <row r="280" s="1712" customFormat="1" customHeight="1" spans="10:10">
      <c r="J280" s="2789"/>
    </row>
    <row r="281" s="1712" customFormat="1" customHeight="1" spans="10:10">
      <c r="J281" s="2789"/>
    </row>
    <row r="282" s="1712" customFormat="1" customHeight="1" spans="10:10">
      <c r="J282" s="2789"/>
    </row>
    <row r="283" s="1712" customFormat="1" customHeight="1" spans="10:10">
      <c r="J283" s="2789"/>
    </row>
    <row r="284" s="1712" customFormat="1" customHeight="1" spans="10:10">
      <c r="J284" s="2789"/>
    </row>
    <row r="285" s="1712" customFormat="1" customHeight="1" spans="10:10">
      <c r="J285" s="2789"/>
    </row>
    <row r="286" s="1712" customFormat="1" customHeight="1" spans="10:10">
      <c r="J286" s="2789"/>
    </row>
    <row r="287" s="1712" customFormat="1" customHeight="1" spans="10:10">
      <c r="J287" s="2789"/>
    </row>
    <row r="288" s="1712" customFormat="1" customHeight="1" spans="10:10">
      <c r="J288" s="2789"/>
    </row>
    <row r="289" s="1712" customFormat="1" customHeight="1" spans="10:10">
      <c r="J289" s="2789"/>
    </row>
    <row r="290" s="1712" customFormat="1" customHeight="1" spans="10:10">
      <c r="J290" s="2789"/>
    </row>
    <row r="291" s="1712" customFormat="1" customHeight="1" spans="10:10">
      <c r="J291" s="2789"/>
    </row>
    <row r="292" s="1712" customFormat="1" customHeight="1" spans="10:10">
      <c r="J292" s="2789"/>
    </row>
    <row r="293" s="1712" customFormat="1" customHeight="1" spans="10:10">
      <c r="J293" s="2789"/>
    </row>
    <row r="294" s="1712" customFormat="1" customHeight="1" spans="10:10">
      <c r="J294" s="2789"/>
    </row>
    <row r="295" s="1712" customFormat="1" customHeight="1" spans="10:10">
      <c r="J295" s="2789"/>
    </row>
    <row r="296" s="1712" customFormat="1" customHeight="1" spans="10:10">
      <c r="J296" s="2789"/>
    </row>
    <row r="297" s="1712" customFormat="1" customHeight="1" spans="10:10">
      <c r="J297" s="2789"/>
    </row>
    <row r="298" s="1712" customFormat="1" customHeight="1" spans="10:10">
      <c r="J298" s="2789"/>
    </row>
    <row r="299" s="1712" customFormat="1" customHeight="1" spans="10:10">
      <c r="J299" s="2789"/>
    </row>
    <row r="300" s="1712" customFormat="1" customHeight="1" spans="10:10">
      <c r="J300" s="2789"/>
    </row>
    <row r="301" s="1712" customFormat="1" customHeight="1" spans="10:10">
      <c r="J301" s="2789"/>
    </row>
    <row r="302" s="1712" customFormat="1" customHeight="1" spans="10:10">
      <c r="J302" s="2789"/>
    </row>
    <row r="303" s="1712" customFormat="1" customHeight="1" spans="10:10">
      <c r="J303" s="2789"/>
    </row>
    <row r="304" s="1712" customFormat="1" customHeight="1" spans="10:10">
      <c r="J304" s="2789"/>
    </row>
    <row r="305" s="1712" customFormat="1" customHeight="1" spans="10:10">
      <c r="J305" s="2789"/>
    </row>
    <row r="306" s="1712" customFormat="1" customHeight="1" spans="10:10">
      <c r="J306" s="2789"/>
    </row>
    <row r="307" s="1712" customFormat="1" customHeight="1" spans="10:10">
      <c r="J307" s="2789"/>
    </row>
    <row r="308" s="1712" customFormat="1" customHeight="1" spans="10:10">
      <c r="J308" s="2789"/>
    </row>
    <row r="309" s="1712" customFormat="1" customHeight="1" spans="10:10">
      <c r="J309" s="2789"/>
    </row>
    <row r="310" s="1712" customFormat="1" customHeight="1" spans="10:10">
      <c r="J310" s="2789"/>
    </row>
    <row r="311" s="1712" customFormat="1" customHeight="1" spans="10:10">
      <c r="J311" s="2789"/>
    </row>
    <row r="312" s="1712" customFormat="1" customHeight="1" spans="10:10">
      <c r="J312" s="2789"/>
    </row>
    <row r="313" s="1712" customFormat="1" customHeight="1" spans="10:10">
      <c r="J313" s="2789"/>
    </row>
    <row r="314" s="1712" customFormat="1" customHeight="1" spans="10:10">
      <c r="J314" s="2789"/>
    </row>
    <row r="315" s="1712" customFormat="1" customHeight="1" spans="10:10">
      <c r="J315" s="2789"/>
    </row>
    <row r="316" s="1712" customFormat="1" customHeight="1" spans="10:10">
      <c r="J316" s="2789"/>
    </row>
    <row r="317" s="1712" customFormat="1" customHeight="1" spans="10:10">
      <c r="J317" s="2789"/>
    </row>
    <row r="318" s="1712" customFormat="1" customHeight="1" spans="10:10">
      <c r="J318" s="2789"/>
    </row>
    <row r="319" s="1712" customFormat="1" customHeight="1" spans="10:10">
      <c r="J319" s="2789"/>
    </row>
    <row r="320" s="1712" customFormat="1" customHeight="1" spans="10:10">
      <c r="J320" s="2789"/>
    </row>
    <row r="321" s="1712" customFormat="1" customHeight="1" spans="10:10">
      <c r="J321" s="2789"/>
    </row>
    <row r="322" s="1712" customFormat="1" customHeight="1" spans="10:10">
      <c r="J322" s="2789"/>
    </row>
    <row r="323" s="1712" customFormat="1" customHeight="1" spans="10:10">
      <c r="J323" s="2789"/>
    </row>
    <row r="324" s="1712" customFormat="1" customHeight="1" spans="10:10">
      <c r="J324" s="2789"/>
    </row>
    <row r="325" s="1712" customFormat="1" customHeight="1" spans="10:10">
      <c r="J325" s="2789"/>
    </row>
    <row r="326" s="1712" customFormat="1" customHeight="1" spans="10:10">
      <c r="J326" s="2789"/>
    </row>
    <row r="327" s="1712" customFormat="1" customHeight="1" spans="10:10">
      <c r="J327" s="2789"/>
    </row>
    <row r="328" s="1712" customFormat="1" customHeight="1" spans="10:10">
      <c r="J328" s="2789"/>
    </row>
    <row r="329" s="1712" customFormat="1" customHeight="1" spans="10:10">
      <c r="J329" s="2789"/>
    </row>
    <row r="330" s="1712" customFormat="1" customHeight="1" spans="10:10">
      <c r="J330" s="2789"/>
    </row>
    <row r="331" s="1712" customFormat="1" customHeight="1" spans="10:10">
      <c r="J331" s="2789"/>
    </row>
    <row r="332" s="1712" customFormat="1" customHeight="1" spans="10:10">
      <c r="J332" s="2789"/>
    </row>
    <row r="333" s="1712" customFormat="1" customHeight="1" spans="10:10">
      <c r="J333" s="2789"/>
    </row>
    <row r="334" s="1712" customFormat="1" customHeight="1" spans="10:10">
      <c r="J334" s="2789"/>
    </row>
    <row r="335" s="1712" customFormat="1" customHeight="1" spans="10:10">
      <c r="J335" s="2789"/>
    </row>
    <row r="336" s="1712" customFormat="1" customHeight="1" spans="10:10">
      <c r="J336" s="2789"/>
    </row>
    <row r="337" s="1712" customFormat="1" customHeight="1" spans="10:10">
      <c r="J337" s="2789"/>
    </row>
    <row r="338" s="1712" customFormat="1" customHeight="1" spans="10:10">
      <c r="J338" s="2789"/>
    </row>
    <row r="339" s="1712" customFormat="1" customHeight="1" spans="10:10">
      <c r="J339" s="2789"/>
    </row>
    <row r="340" s="1712" customFormat="1" customHeight="1" spans="10:10">
      <c r="J340" s="2789"/>
    </row>
    <row r="341" s="1712" customFormat="1" customHeight="1" spans="10:10">
      <c r="J341" s="2789"/>
    </row>
    <row r="342" s="1712" customFormat="1" customHeight="1" spans="10:10">
      <c r="J342" s="2789"/>
    </row>
    <row r="343" s="1712" customFormat="1" customHeight="1" spans="10:10">
      <c r="J343" s="2789"/>
    </row>
    <row r="344" s="1712" customFormat="1" customHeight="1" spans="10:10">
      <c r="J344" s="2789"/>
    </row>
    <row r="345" s="1712" customFormat="1" customHeight="1" spans="10:10">
      <c r="J345" s="2789"/>
    </row>
    <row r="346" s="1712" customFormat="1" customHeight="1" spans="10:10">
      <c r="J346" s="2789"/>
    </row>
    <row r="347" s="1712" customFormat="1" customHeight="1" spans="10:10">
      <c r="J347" s="2789"/>
    </row>
    <row r="348" s="1712" customFormat="1" customHeight="1" spans="10:10">
      <c r="J348" s="2789"/>
    </row>
    <row r="349" s="1712" customFormat="1" customHeight="1" spans="10:10">
      <c r="J349" s="2789"/>
    </row>
    <row r="350" s="1712" customFormat="1" customHeight="1" spans="10:10">
      <c r="J350" s="2789"/>
    </row>
    <row r="351" s="1712" customFormat="1" customHeight="1" spans="10:10">
      <c r="J351" s="2789"/>
    </row>
    <row r="352" s="1712" customFormat="1" customHeight="1" spans="10:10">
      <c r="J352" s="2789"/>
    </row>
    <row r="353" s="1712" customFormat="1" customHeight="1" spans="10:10">
      <c r="J353" s="2789"/>
    </row>
    <row r="354" s="1712" customFormat="1" customHeight="1" spans="10:10">
      <c r="J354" s="2789"/>
    </row>
    <row r="355" s="1712" customFormat="1" customHeight="1" spans="10:10">
      <c r="J355" s="2789"/>
    </row>
    <row r="356" s="1712" customFormat="1" customHeight="1" spans="10:10">
      <c r="J356" s="2789"/>
    </row>
    <row r="357" s="1712" customFormat="1" customHeight="1" spans="10:10">
      <c r="J357" s="2789"/>
    </row>
    <row r="358" s="1712" customFormat="1" customHeight="1" spans="10:10">
      <c r="J358" s="2789"/>
    </row>
    <row r="359" s="1712" customFormat="1" customHeight="1" spans="10:10">
      <c r="J359" s="2789"/>
    </row>
    <row r="360" s="1712" customFormat="1" customHeight="1" spans="10:10">
      <c r="J360" s="2789"/>
    </row>
    <row r="361" s="1712" customFormat="1" customHeight="1" spans="10:10">
      <c r="J361" s="2789"/>
    </row>
    <row r="362" s="1712" customFormat="1" customHeight="1" spans="10:10">
      <c r="J362" s="2789"/>
    </row>
    <row r="363" s="1712" customFormat="1" customHeight="1" spans="10:10">
      <c r="J363" s="2789"/>
    </row>
    <row r="364" s="1712" customFormat="1" customHeight="1" spans="10:10">
      <c r="J364" s="2789"/>
    </row>
    <row r="365" s="1712" customFormat="1" customHeight="1" spans="10:10">
      <c r="J365" s="2789"/>
    </row>
    <row r="366" s="1712" customFormat="1" customHeight="1" spans="10:10">
      <c r="J366" s="2789"/>
    </row>
    <row r="367" s="1712" customFormat="1" customHeight="1" spans="10:10">
      <c r="J367" s="2789"/>
    </row>
    <row r="368" s="1712" customFormat="1" customHeight="1" spans="10:10">
      <c r="J368" s="2789"/>
    </row>
    <row r="369" s="1712" customFormat="1" customHeight="1" spans="10:10">
      <c r="J369" s="2789"/>
    </row>
    <row r="370" s="1712" customFormat="1" customHeight="1" spans="10:10">
      <c r="J370" s="2789"/>
    </row>
    <row r="371" s="1712" customFormat="1" customHeight="1" spans="10:10">
      <c r="J371" s="2789"/>
    </row>
    <row r="372" s="1712" customFormat="1" customHeight="1" spans="10:10">
      <c r="J372" s="2789"/>
    </row>
    <row r="373" s="1712" customFormat="1" customHeight="1" spans="10:10">
      <c r="J373" s="2789"/>
    </row>
    <row r="374" s="1712" customFormat="1" customHeight="1" spans="10:10">
      <c r="J374" s="2789"/>
    </row>
    <row r="375" s="1712" customFormat="1" customHeight="1" spans="10:10">
      <c r="J375" s="2789"/>
    </row>
    <row r="376" s="1712" customFormat="1" customHeight="1" spans="10:10">
      <c r="J376" s="2789"/>
    </row>
    <row r="377" s="1712" customFormat="1" customHeight="1" spans="10:10">
      <c r="J377" s="2789"/>
    </row>
    <row r="378" s="1712" customFormat="1" customHeight="1" spans="10:10">
      <c r="J378" s="2789"/>
    </row>
    <row r="379" s="1712" customFormat="1" customHeight="1" spans="10:10">
      <c r="J379" s="2789"/>
    </row>
    <row r="380" s="1712" customFormat="1" customHeight="1" spans="10:10">
      <c r="J380" s="2789"/>
    </row>
    <row r="381" s="1712" customFormat="1" customHeight="1" spans="10:10">
      <c r="J381" s="2789"/>
    </row>
    <row r="382" s="1712" customFormat="1" customHeight="1" spans="10:10">
      <c r="J382" s="2789"/>
    </row>
    <row r="383" s="2425" customFormat="1" customHeight="1" spans="10:27">
      <c r="J383" s="2427"/>
      <c r="K383" s="1712"/>
      <c r="L383" s="1712"/>
      <c r="M383" s="1712"/>
      <c r="N383" s="1712"/>
      <c r="O383" s="1712"/>
      <c r="P383" s="1712"/>
      <c r="Q383" s="1712"/>
      <c r="R383" s="1712"/>
      <c r="S383" s="1712"/>
      <c r="T383" s="1712"/>
      <c r="U383" s="1712"/>
      <c r="V383" s="1712"/>
      <c r="W383" s="1712"/>
      <c r="X383" s="1712"/>
      <c r="Y383" s="1712"/>
      <c r="Z383" s="1712"/>
      <c r="AA383" s="1712"/>
    </row>
    <row r="384" s="2425" customFormat="1" customHeight="1" spans="10:27">
      <c r="J384" s="2427"/>
      <c r="K384" s="1712"/>
      <c r="L384" s="1712"/>
      <c r="M384" s="1712"/>
      <c r="N384" s="1712"/>
      <c r="O384" s="1712"/>
      <c r="P384" s="1712"/>
      <c r="Q384" s="1712"/>
      <c r="R384" s="1712"/>
      <c r="S384" s="1712"/>
      <c r="T384" s="1712"/>
      <c r="U384" s="1712"/>
      <c r="V384" s="1712"/>
      <c r="W384" s="1712"/>
      <c r="X384" s="1712"/>
      <c r="Y384" s="1712"/>
      <c r="Z384" s="1712"/>
      <c r="AA384" s="1712"/>
    </row>
    <row r="385" s="2425" customFormat="1" customHeight="1" spans="10:27">
      <c r="J385" s="2427"/>
      <c r="K385" s="1712"/>
      <c r="L385" s="1712"/>
      <c r="M385" s="1712"/>
      <c r="N385" s="1712"/>
      <c r="O385" s="1712"/>
      <c r="P385" s="1712"/>
      <c r="Q385" s="1712"/>
      <c r="R385" s="1712"/>
      <c r="S385" s="1712"/>
      <c r="T385" s="1712"/>
      <c r="U385" s="1712"/>
      <c r="V385" s="1712"/>
      <c r="W385" s="1712"/>
      <c r="X385" s="1712"/>
      <c r="Y385" s="1712"/>
      <c r="Z385" s="1712"/>
      <c r="AA385" s="1712"/>
    </row>
    <row r="386" s="2425" customFormat="1" customHeight="1" spans="10:27">
      <c r="J386" s="2427"/>
      <c r="K386" s="1712"/>
      <c r="L386" s="1712"/>
      <c r="M386" s="1712"/>
      <c r="N386" s="1712"/>
      <c r="O386" s="1712"/>
      <c r="P386" s="1712"/>
      <c r="Q386" s="1712"/>
      <c r="R386" s="1712"/>
      <c r="S386" s="1712"/>
      <c r="T386" s="1712"/>
      <c r="U386" s="1712"/>
      <c r="V386" s="1712"/>
      <c r="W386" s="1712"/>
      <c r="X386" s="1712"/>
      <c r="Y386" s="1712"/>
      <c r="Z386" s="1712"/>
      <c r="AA386" s="1712"/>
    </row>
    <row r="387" s="2425" customFormat="1" customHeight="1" spans="10:27">
      <c r="J387" s="2427"/>
      <c r="K387" s="1712"/>
      <c r="L387" s="1712"/>
      <c r="M387" s="1712"/>
      <c r="N387" s="1712"/>
      <c r="O387" s="1712"/>
      <c r="P387" s="1712"/>
      <c r="Q387" s="1712"/>
      <c r="R387" s="1712"/>
      <c r="S387" s="1712"/>
      <c r="T387" s="1712"/>
      <c r="U387" s="1712"/>
      <c r="V387" s="1712"/>
      <c r="W387" s="1712"/>
      <c r="X387" s="1712"/>
      <c r="Y387" s="1712"/>
      <c r="Z387" s="1712"/>
      <c r="AA387" s="1712"/>
    </row>
    <row r="388" s="2425" customFormat="1" customHeight="1" spans="10:27">
      <c r="J388" s="2427"/>
      <c r="K388" s="1712"/>
      <c r="L388" s="1712"/>
      <c r="M388" s="1712"/>
      <c r="N388" s="1712"/>
      <c r="O388" s="1712"/>
      <c r="P388" s="1712"/>
      <c r="Q388" s="1712"/>
      <c r="R388" s="1712"/>
      <c r="S388" s="1712"/>
      <c r="T388" s="1712"/>
      <c r="U388" s="1712"/>
      <c r="V388" s="1712"/>
      <c r="W388" s="1712"/>
      <c r="X388" s="1712"/>
      <c r="Y388" s="1712"/>
      <c r="Z388" s="1712"/>
      <c r="AA388" s="1712"/>
    </row>
    <row r="389" s="2425" customFormat="1" customHeight="1" spans="10:27">
      <c r="J389" s="2427"/>
      <c r="K389" s="1712"/>
      <c r="L389" s="1712"/>
      <c r="M389" s="1712"/>
      <c r="N389" s="1712"/>
      <c r="O389" s="1712"/>
      <c r="P389" s="1712"/>
      <c r="Q389" s="1712"/>
      <c r="R389" s="1712"/>
      <c r="S389" s="1712"/>
      <c r="T389" s="1712"/>
      <c r="U389" s="1712"/>
      <c r="V389" s="1712"/>
      <c r="W389" s="1712"/>
      <c r="X389" s="1712"/>
      <c r="Y389" s="1712"/>
      <c r="Z389" s="1712"/>
      <c r="AA389" s="1712"/>
    </row>
    <row r="390" s="2425" customFormat="1" customHeight="1" spans="10:27">
      <c r="J390" s="2427"/>
      <c r="K390" s="1712"/>
      <c r="L390" s="1712"/>
      <c r="M390" s="1712"/>
      <c r="N390" s="1712"/>
      <c r="O390" s="1712"/>
      <c r="P390" s="1712"/>
      <c r="Q390" s="1712"/>
      <c r="R390" s="1712"/>
      <c r="S390" s="1712"/>
      <c r="T390" s="1712"/>
      <c r="U390" s="1712"/>
      <c r="V390" s="1712"/>
      <c r="W390" s="1712"/>
      <c r="X390" s="1712"/>
      <c r="Y390" s="1712"/>
      <c r="Z390" s="1712"/>
      <c r="AA390" s="1712"/>
    </row>
    <row r="391" s="2425" customFormat="1" customHeight="1" spans="10:27">
      <c r="J391" s="2427"/>
      <c r="K391" s="1712"/>
      <c r="L391" s="1712"/>
      <c r="M391" s="1712"/>
      <c r="N391" s="1712"/>
      <c r="O391" s="1712"/>
      <c r="P391" s="1712"/>
      <c r="Q391" s="1712"/>
      <c r="R391" s="1712"/>
      <c r="S391" s="1712"/>
      <c r="T391" s="1712"/>
      <c r="U391" s="1712"/>
      <c r="V391" s="1712"/>
      <c r="W391" s="1712"/>
      <c r="X391" s="1712"/>
      <c r="Y391" s="1712"/>
      <c r="Z391" s="1712"/>
      <c r="AA391" s="1712"/>
    </row>
    <row r="392" s="2425" customFormat="1" customHeight="1" spans="10:27">
      <c r="J392" s="2427"/>
      <c r="K392" s="1712"/>
      <c r="L392" s="1712"/>
      <c r="M392" s="1712"/>
      <c r="N392" s="1712"/>
      <c r="O392" s="1712"/>
      <c r="P392" s="1712"/>
      <c r="Q392" s="1712"/>
      <c r="R392" s="1712"/>
      <c r="S392" s="1712"/>
      <c r="T392" s="1712"/>
      <c r="U392" s="1712"/>
      <c r="V392" s="1712"/>
      <c r="W392" s="1712"/>
      <c r="X392" s="1712"/>
      <c r="Y392" s="1712"/>
      <c r="Z392" s="1712"/>
      <c r="AA392" s="1712"/>
    </row>
    <row r="393" s="2425" customFormat="1" customHeight="1" spans="10:27">
      <c r="J393" s="2427"/>
      <c r="K393" s="1712"/>
      <c r="L393" s="1712"/>
      <c r="M393" s="1712"/>
      <c r="N393" s="1712"/>
      <c r="O393" s="1712"/>
      <c r="P393" s="1712"/>
      <c r="Q393" s="1712"/>
      <c r="R393" s="1712"/>
      <c r="S393" s="1712"/>
      <c r="T393" s="1712"/>
      <c r="U393" s="1712"/>
      <c r="V393" s="1712"/>
      <c r="W393" s="1712"/>
      <c r="X393" s="1712"/>
      <c r="Y393" s="1712"/>
      <c r="Z393" s="1712"/>
      <c r="AA393" s="1712"/>
    </row>
    <row r="394" s="2425" customFormat="1" customHeight="1" spans="10:27">
      <c r="J394" s="2427"/>
      <c r="K394" s="1712"/>
      <c r="L394" s="1712"/>
      <c r="M394" s="1712"/>
      <c r="N394" s="1712"/>
      <c r="O394" s="1712"/>
      <c r="P394" s="1712"/>
      <c r="Q394" s="1712"/>
      <c r="R394" s="1712"/>
      <c r="S394" s="1712"/>
      <c r="T394" s="1712"/>
      <c r="U394" s="1712"/>
      <c r="V394" s="1712"/>
      <c r="W394" s="1712"/>
      <c r="X394" s="1712"/>
      <c r="Y394" s="1712"/>
      <c r="Z394" s="1712"/>
      <c r="AA394" s="1712"/>
    </row>
    <row r="395" s="2425" customFormat="1" customHeight="1" spans="10:27">
      <c r="J395" s="2427"/>
      <c r="K395" s="1712"/>
      <c r="L395" s="1712"/>
      <c r="M395" s="1712"/>
      <c r="N395" s="1712"/>
      <c r="O395" s="1712"/>
      <c r="P395" s="1712"/>
      <c r="Q395" s="1712"/>
      <c r="R395" s="1712"/>
      <c r="S395" s="1712"/>
      <c r="T395" s="1712"/>
      <c r="U395" s="1712"/>
      <c r="V395" s="1712"/>
      <c r="W395" s="1712"/>
      <c r="X395" s="1712"/>
      <c r="Y395" s="1712"/>
      <c r="Z395" s="1712"/>
      <c r="AA395" s="1712"/>
    </row>
    <row r="396" s="2425" customFormat="1" customHeight="1" spans="10:27">
      <c r="J396" s="2427"/>
      <c r="K396" s="1712"/>
      <c r="L396" s="1712"/>
      <c r="M396" s="1712"/>
      <c r="N396" s="1712"/>
      <c r="O396" s="1712"/>
      <c r="P396" s="1712"/>
      <c r="Q396" s="1712"/>
      <c r="R396" s="1712"/>
      <c r="S396" s="1712"/>
      <c r="T396" s="1712"/>
      <c r="U396" s="1712"/>
      <c r="V396" s="1712"/>
      <c r="W396" s="1712"/>
      <c r="X396" s="1712"/>
      <c r="Y396" s="1712"/>
      <c r="Z396" s="1712"/>
      <c r="AA396" s="1712"/>
    </row>
    <row r="397" s="2425" customFormat="1" customHeight="1" spans="10:27">
      <c r="J397" s="2427"/>
      <c r="K397" s="1712"/>
      <c r="L397" s="1712"/>
      <c r="M397" s="1712"/>
      <c r="N397" s="1712"/>
      <c r="O397" s="1712"/>
      <c r="P397" s="1712"/>
      <c r="Q397" s="1712"/>
      <c r="R397" s="1712"/>
      <c r="S397" s="1712"/>
      <c r="T397" s="1712"/>
      <c r="U397" s="1712"/>
      <c r="V397" s="1712"/>
      <c r="W397" s="1712"/>
      <c r="X397" s="1712"/>
      <c r="Y397" s="1712"/>
      <c r="Z397" s="1712"/>
      <c r="AA397" s="1712"/>
    </row>
    <row r="398" s="2425" customFormat="1" customHeight="1" spans="10:27">
      <c r="J398" s="2427"/>
      <c r="K398" s="1712"/>
      <c r="L398" s="1712"/>
      <c r="M398" s="1712"/>
      <c r="N398" s="1712"/>
      <c r="O398" s="1712"/>
      <c r="P398" s="1712"/>
      <c r="Q398" s="1712"/>
      <c r="R398" s="1712"/>
      <c r="S398" s="1712"/>
      <c r="T398" s="1712"/>
      <c r="U398" s="1712"/>
      <c r="V398" s="1712"/>
      <c r="W398" s="1712"/>
      <c r="X398" s="1712"/>
      <c r="Y398" s="1712"/>
      <c r="Z398" s="1712"/>
      <c r="AA398" s="1712"/>
    </row>
    <row r="399" s="2425" customFormat="1" customHeight="1" spans="10:27">
      <c r="J399" s="2427"/>
      <c r="K399" s="1712"/>
      <c r="L399" s="1712"/>
      <c r="M399" s="1712"/>
      <c r="N399" s="1712"/>
      <c r="O399" s="1712"/>
      <c r="P399" s="1712"/>
      <c r="Q399" s="1712"/>
      <c r="R399" s="1712"/>
      <c r="S399" s="1712"/>
      <c r="T399" s="1712"/>
      <c r="U399" s="1712"/>
      <c r="V399" s="1712"/>
      <c r="W399" s="1712"/>
      <c r="X399" s="1712"/>
      <c r="Y399" s="1712"/>
      <c r="Z399" s="1712"/>
      <c r="AA399" s="1712"/>
    </row>
    <row r="400" s="2425" customFormat="1" customHeight="1" spans="10:27">
      <c r="J400" s="2427"/>
      <c r="K400" s="1712"/>
      <c r="L400" s="1712"/>
      <c r="M400" s="1712"/>
      <c r="N400" s="1712"/>
      <c r="O400" s="1712"/>
      <c r="P400" s="1712"/>
      <c r="Q400" s="1712"/>
      <c r="R400" s="1712"/>
      <c r="S400" s="1712"/>
      <c r="T400" s="1712"/>
      <c r="U400" s="1712"/>
      <c r="V400" s="1712"/>
      <c r="W400" s="1712"/>
      <c r="X400" s="1712"/>
      <c r="Y400" s="1712"/>
      <c r="Z400" s="1712"/>
      <c r="AA400" s="1712"/>
    </row>
    <row r="401" s="2425" customFormat="1" customHeight="1" spans="10:27">
      <c r="J401" s="2427"/>
      <c r="K401" s="1712"/>
      <c r="L401" s="1712"/>
      <c r="M401" s="1712"/>
      <c r="N401" s="1712"/>
      <c r="O401" s="1712"/>
      <c r="P401" s="1712"/>
      <c r="Q401" s="1712"/>
      <c r="R401" s="1712"/>
      <c r="S401" s="1712"/>
      <c r="T401" s="1712"/>
      <c r="U401" s="1712"/>
      <c r="V401" s="1712"/>
      <c r="W401" s="1712"/>
      <c r="X401" s="1712"/>
      <c r="Y401" s="1712"/>
      <c r="Z401" s="1712"/>
      <c r="AA401" s="1712"/>
    </row>
    <row r="402" s="2425" customFormat="1" customHeight="1" spans="10:27">
      <c r="J402" s="2427"/>
      <c r="K402" s="1712"/>
      <c r="L402" s="1712"/>
      <c r="M402" s="1712"/>
      <c r="N402" s="1712"/>
      <c r="O402" s="1712"/>
      <c r="P402" s="1712"/>
      <c r="Q402" s="1712"/>
      <c r="R402" s="1712"/>
      <c r="S402" s="1712"/>
      <c r="T402" s="1712"/>
      <c r="U402" s="1712"/>
      <c r="V402" s="1712"/>
      <c r="W402" s="1712"/>
      <c r="X402" s="1712"/>
      <c r="Y402" s="1712"/>
      <c r="Z402" s="1712"/>
      <c r="AA402" s="1712"/>
    </row>
    <row r="403" s="2425" customFormat="1" customHeight="1" spans="10:27">
      <c r="J403" s="2427"/>
      <c r="K403" s="1712"/>
      <c r="L403" s="1712"/>
      <c r="M403" s="1712"/>
      <c r="N403" s="1712"/>
      <c r="O403" s="1712"/>
      <c r="P403" s="1712"/>
      <c r="Q403" s="1712"/>
      <c r="R403" s="1712"/>
      <c r="S403" s="1712"/>
      <c r="T403" s="1712"/>
      <c r="U403" s="1712"/>
      <c r="V403" s="1712"/>
      <c r="W403" s="1712"/>
      <c r="X403" s="1712"/>
      <c r="Y403" s="1712"/>
      <c r="Z403" s="1712"/>
      <c r="AA403" s="1712"/>
    </row>
    <row r="404" s="2425" customFormat="1" customHeight="1" spans="10:27">
      <c r="J404" s="2427"/>
      <c r="K404" s="1712"/>
      <c r="L404" s="1712"/>
      <c r="M404" s="1712"/>
      <c r="N404" s="1712"/>
      <c r="O404" s="1712"/>
      <c r="P404" s="1712"/>
      <c r="Q404" s="1712"/>
      <c r="R404" s="1712"/>
      <c r="S404" s="1712"/>
      <c r="T404" s="1712"/>
      <c r="U404" s="1712"/>
      <c r="V404" s="1712"/>
      <c r="W404" s="1712"/>
      <c r="X404" s="1712"/>
      <c r="Y404" s="1712"/>
      <c r="Z404" s="1712"/>
      <c r="AA404" s="1712"/>
    </row>
    <row r="405" s="2425" customFormat="1" customHeight="1" spans="10:27">
      <c r="J405" s="2427"/>
      <c r="K405" s="1712"/>
      <c r="L405" s="1712"/>
      <c r="M405" s="1712"/>
      <c r="N405" s="1712"/>
      <c r="O405" s="1712"/>
      <c r="P405" s="1712"/>
      <c r="Q405" s="1712"/>
      <c r="R405" s="1712"/>
      <c r="S405" s="1712"/>
      <c r="T405" s="1712"/>
      <c r="U405" s="1712"/>
      <c r="V405" s="1712"/>
      <c r="W405" s="1712"/>
      <c r="X405" s="1712"/>
      <c r="Y405" s="1712"/>
      <c r="Z405" s="1712"/>
      <c r="AA405" s="1712"/>
    </row>
    <row r="406" s="2425" customFormat="1" customHeight="1" spans="10:27">
      <c r="J406" s="2427"/>
      <c r="K406" s="1712"/>
      <c r="L406" s="1712"/>
      <c r="M406" s="1712"/>
      <c r="N406" s="1712"/>
      <c r="O406" s="1712"/>
      <c r="P406" s="1712"/>
      <c r="Q406" s="1712"/>
      <c r="R406" s="1712"/>
      <c r="S406" s="1712"/>
      <c r="T406" s="1712"/>
      <c r="U406" s="1712"/>
      <c r="V406" s="1712"/>
      <c r="W406" s="1712"/>
      <c r="X406" s="1712"/>
      <c r="Y406" s="1712"/>
      <c r="Z406" s="1712"/>
      <c r="AA406" s="1712"/>
    </row>
    <row r="407" s="2425" customFormat="1" customHeight="1" spans="10:27">
      <c r="J407" s="2427"/>
      <c r="K407" s="1712"/>
      <c r="L407" s="1712"/>
      <c r="M407" s="1712"/>
      <c r="N407" s="1712"/>
      <c r="O407" s="1712"/>
      <c r="P407" s="1712"/>
      <c r="Q407" s="1712"/>
      <c r="R407" s="1712"/>
      <c r="S407" s="1712"/>
      <c r="T407" s="1712"/>
      <c r="U407" s="1712"/>
      <c r="V407" s="1712"/>
      <c r="W407" s="1712"/>
      <c r="X407" s="1712"/>
      <c r="Y407" s="1712"/>
      <c r="Z407" s="1712"/>
      <c r="AA407" s="1712"/>
    </row>
    <row r="408" s="2425" customFormat="1" customHeight="1" spans="10:27">
      <c r="J408" s="2427"/>
      <c r="K408" s="1712"/>
      <c r="L408" s="1712"/>
      <c r="M408" s="1712"/>
      <c r="N408" s="1712"/>
      <c r="O408" s="1712"/>
      <c r="P408" s="1712"/>
      <c r="Q408" s="1712"/>
      <c r="R408" s="1712"/>
      <c r="S408" s="1712"/>
      <c r="T408" s="1712"/>
      <c r="U408" s="1712"/>
      <c r="V408" s="1712"/>
      <c r="W408" s="1712"/>
      <c r="X408" s="1712"/>
      <c r="Y408" s="1712"/>
      <c r="Z408" s="1712"/>
      <c r="AA408" s="1712"/>
    </row>
    <row r="409" s="2425" customFormat="1" customHeight="1" spans="10:27">
      <c r="J409" s="2427"/>
      <c r="K409" s="1712"/>
      <c r="L409" s="1712"/>
      <c r="M409" s="1712"/>
      <c r="N409" s="1712"/>
      <c r="O409" s="1712"/>
      <c r="P409" s="1712"/>
      <c r="Q409" s="1712"/>
      <c r="R409" s="1712"/>
      <c r="S409" s="1712"/>
      <c r="T409" s="1712"/>
      <c r="U409" s="1712"/>
      <c r="V409" s="1712"/>
      <c r="W409" s="1712"/>
      <c r="X409" s="1712"/>
      <c r="Y409" s="1712"/>
      <c r="Z409" s="1712"/>
      <c r="AA409" s="1712"/>
    </row>
    <row r="410" s="2425" customFormat="1" customHeight="1" spans="10:27">
      <c r="J410" s="2427"/>
      <c r="K410" s="1712"/>
      <c r="L410" s="1712"/>
      <c r="M410" s="1712"/>
      <c r="N410" s="1712"/>
      <c r="O410" s="1712"/>
      <c r="P410" s="1712"/>
      <c r="Q410" s="1712"/>
      <c r="R410" s="1712"/>
      <c r="S410" s="1712"/>
      <c r="T410" s="1712"/>
      <c r="U410" s="1712"/>
      <c r="V410" s="1712"/>
      <c r="W410" s="1712"/>
      <c r="X410" s="1712"/>
      <c r="Y410" s="1712"/>
      <c r="Z410" s="1712"/>
      <c r="AA410" s="1712"/>
    </row>
    <row r="411" s="2425" customFormat="1" customHeight="1" spans="10:27">
      <c r="J411" s="2427"/>
      <c r="K411" s="1712"/>
      <c r="L411" s="1712"/>
      <c r="M411" s="1712"/>
      <c r="N411" s="1712"/>
      <c r="O411" s="1712"/>
      <c r="P411" s="1712"/>
      <c r="Q411" s="1712"/>
      <c r="R411" s="1712"/>
      <c r="S411" s="1712"/>
      <c r="T411" s="1712"/>
      <c r="U411" s="1712"/>
      <c r="V411" s="1712"/>
      <c r="W411" s="1712"/>
      <c r="X411" s="1712"/>
      <c r="Y411" s="1712"/>
      <c r="Z411" s="1712"/>
      <c r="AA411" s="1712"/>
    </row>
    <row r="412" s="2425" customFormat="1" customHeight="1" spans="10:27">
      <c r="J412" s="2427"/>
      <c r="K412" s="1712"/>
      <c r="L412" s="1712"/>
      <c r="M412" s="1712"/>
      <c r="N412" s="1712"/>
      <c r="O412" s="1712"/>
      <c r="P412" s="1712"/>
      <c r="Q412" s="1712"/>
      <c r="R412" s="1712"/>
      <c r="S412" s="1712"/>
      <c r="T412" s="1712"/>
      <c r="U412" s="1712"/>
      <c r="V412" s="1712"/>
      <c r="W412" s="1712"/>
      <c r="X412" s="1712"/>
      <c r="Y412" s="1712"/>
      <c r="Z412" s="1712"/>
      <c r="AA412" s="1712"/>
    </row>
    <row r="413" s="2425" customFormat="1" customHeight="1" spans="10:27">
      <c r="J413" s="2427"/>
      <c r="K413" s="1712"/>
      <c r="L413" s="1712"/>
      <c r="M413" s="1712"/>
      <c r="N413" s="1712"/>
      <c r="O413" s="1712"/>
      <c r="P413" s="1712"/>
      <c r="Q413" s="1712"/>
      <c r="R413" s="1712"/>
      <c r="S413" s="1712"/>
      <c r="T413" s="1712"/>
      <c r="U413" s="1712"/>
      <c r="V413" s="1712"/>
      <c r="W413" s="1712"/>
      <c r="X413" s="1712"/>
      <c r="Y413" s="1712"/>
      <c r="Z413" s="1712"/>
      <c r="AA413" s="1712"/>
    </row>
    <row r="414" s="2425" customFormat="1" customHeight="1" spans="10:27">
      <c r="J414" s="2427"/>
      <c r="K414" s="1712"/>
      <c r="L414" s="1712"/>
      <c r="M414" s="1712"/>
      <c r="N414" s="1712"/>
      <c r="O414" s="1712"/>
      <c r="P414" s="1712"/>
      <c r="Q414" s="1712"/>
      <c r="R414" s="1712"/>
      <c r="S414" s="1712"/>
      <c r="T414" s="1712"/>
      <c r="U414" s="1712"/>
      <c r="V414" s="1712"/>
      <c r="W414" s="1712"/>
      <c r="X414" s="1712"/>
      <c r="Y414" s="1712"/>
      <c r="Z414" s="1712"/>
      <c r="AA414" s="1712"/>
    </row>
    <row r="415" s="2425" customFormat="1" customHeight="1" spans="10:27">
      <c r="J415" s="2427"/>
      <c r="K415" s="1712"/>
      <c r="L415" s="1712"/>
      <c r="M415" s="1712"/>
      <c r="N415" s="1712"/>
      <c r="O415" s="1712"/>
      <c r="P415" s="1712"/>
      <c r="Q415" s="1712"/>
      <c r="R415" s="1712"/>
      <c r="S415" s="1712"/>
      <c r="T415" s="1712"/>
      <c r="U415" s="1712"/>
      <c r="V415" s="1712"/>
      <c r="W415" s="1712"/>
      <c r="X415" s="1712"/>
      <c r="Y415" s="1712"/>
      <c r="Z415" s="1712"/>
      <c r="AA415" s="1712"/>
    </row>
    <row r="416" s="2425" customFormat="1" customHeight="1" spans="10:27">
      <c r="J416" s="2427"/>
      <c r="K416" s="1712"/>
      <c r="L416" s="1712"/>
      <c r="M416" s="1712"/>
      <c r="N416" s="1712"/>
      <c r="O416" s="1712"/>
      <c r="P416" s="1712"/>
      <c r="Q416" s="1712"/>
      <c r="R416" s="1712"/>
      <c r="S416" s="1712"/>
      <c r="T416" s="1712"/>
      <c r="U416" s="1712"/>
      <c r="V416" s="1712"/>
      <c r="W416" s="1712"/>
      <c r="X416" s="1712"/>
      <c r="Y416" s="1712"/>
      <c r="Z416" s="1712"/>
      <c r="AA416" s="1712"/>
    </row>
    <row r="417" s="2425" customFormat="1" customHeight="1" spans="10:27">
      <c r="J417" s="2427"/>
      <c r="K417" s="1712"/>
      <c r="L417" s="1712"/>
      <c r="M417" s="1712"/>
      <c r="N417" s="1712"/>
      <c r="O417" s="1712"/>
      <c r="P417" s="1712"/>
      <c r="Q417" s="1712"/>
      <c r="R417" s="1712"/>
      <c r="S417" s="1712"/>
      <c r="T417" s="1712"/>
      <c r="U417" s="1712"/>
      <c r="V417" s="1712"/>
      <c r="W417" s="1712"/>
      <c r="X417" s="1712"/>
      <c r="Y417" s="1712"/>
      <c r="Z417" s="1712"/>
      <c r="AA417" s="1712"/>
    </row>
    <row r="418" s="2425" customFormat="1" customHeight="1" spans="10:27">
      <c r="J418" s="2427"/>
      <c r="K418" s="1712"/>
      <c r="L418" s="1712"/>
      <c r="M418" s="1712"/>
      <c r="N418" s="1712"/>
      <c r="O418" s="1712"/>
      <c r="P418" s="1712"/>
      <c r="Q418" s="1712"/>
      <c r="R418" s="1712"/>
      <c r="S418" s="1712"/>
      <c r="T418" s="1712"/>
      <c r="U418" s="1712"/>
      <c r="V418" s="1712"/>
      <c r="W418" s="1712"/>
      <c r="X418" s="1712"/>
      <c r="Y418" s="1712"/>
      <c r="Z418" s="1712"/>
      <c r="AA418" s="1712"/>
    </row>
    <row r="419" s="2425" customFormat="1" customHeight="1" spans="10:27">
      <c r="J419" s="2427"/>
      <c r="K419" s="1712"/>
      <c r="L419" s="1712"/>
      <c r="M419" s="1712"/>
      <c r="N419" s="1712"/>
      <c r="O419" s="1712"/>
      <c r="P419" s="1712"/>
      <c r="Q419" s="1712"/>
      <c r="R419" s="1712"/>
      <c r="S419" s="1712"/>
      <c r="T419" s="1712"/>
      <c r="U419" s="1712"/>
      <c r="V419" s="1712"/>
      <c r="W419" s="1712"/>
      <c r="X419" s="1712"/>
      <c r="Y419" s="1712"/>
      <c r="Z419" s="1712"/>
      <c r="AA419" s="1712"/>
    </row>
    <row r="420" s="2425" customFormat="1" customHeight="1" spans="10:27">
      <c r="J420" s="2427"/>
      <c r="K420" s="1712"/>
      <c r="L420" s="1712"/>
      <c r="M420" s="1712"/>
      <c r="N420" s="1712"/>
      <c r="O420" s="1712"/>
      <c r="P420" s="1712"/>
      <c r="Q420" s="1712"/>
      <c r="R420" s="1712"/>
      <c r="S420" s="1712"/>
      <c r="T420" s="1712"/>
      <c r="U420" s="1712"/>
      <c r="V420" s="1712"/>
      <c r="W420" s="1712"/>
      <c r="X420" s="1712"/>
      <c r="Y420" s="1712"/>
      <c r="Z420" s="1712"/>
      <c r="AA420" s="1712"/>
    </row>
    <row r="421" s="2425" customFormat="1" customHeight="1" spans="10:27">
      <c r="J421" s="2427"/>
      <c r="K421" s="1712"/>
      <c r="L421" s="1712"/>
      <c r="M421" s="1712"/>
      <c r="N421" s="1712"/>
      <c r="O421" s="1712"/>
      <c r="P421" s="1712"/>
      <c r="Q421" s="1712"/>
      <c r="R421" s="1712"/>
      <c r="S421" s="1712"/>
      <c r="T421" s="1712"/>
      <c r="U421" s="1712"/>
      <c r="V421" s="1712"/>
      <c r="W421" s="1712"/>
      <c r="X421" s="1712"/>
      <c r="Y421" s="1712"/>
      <c r="Z421" s="1712"/>
      <c r="AA421" s="1712"/>
    </row>
    <row r="422" s="2425" customFormat="1" customHeight="1" spans="10:27">
      <c r="J422" s="2427"/>
      <c r="K422" s="1712"/>
      <c r="L422" s="1712"/>
      <c r="M422" s="1712"/>
      <c r="N422" s="1712"/>
      <c r="O422" s="1712"/>
      <c r="P422" s="1712"/>
      <c r="Q422" s="1712"/>
      <c r="R422" s="1712"/>
      <c r="S422" s="1712"/>
      <c r="T422" s="1712"/>
      <c r="U422" s="1712"/>
      <c r="V422" s="1712"/>
      <c r="W422" s="1712"/>
      <c r="X422" s="1712"/>
      <c r="Y422" s="1712"/>
      <c r="Z422" s="1712"/>
      <c r="AA422" s="1712"/>
    </row>
    <row r="423" s="2425" customFormat="1" customHeight="1" spans="10:27">
      <c r="J423" s="2427"/>
      <c r="K423" s="1712"/>
      <c r="L423" s="1712"/>
      <c r="M423" s="1712"/>
      <c r="N423" s="1712"/>
      <c r="O423" s="1712"/>
      <c r="P423" s="1712"/>
      <c r="Q423" s="1712"/>
      <c r="R423" s="1712"/>
      <c r="S423" s="1712"/>
      <c r="T423" s="1712"/>
      <c r="U423" s="1712"/>
      <c r="V423" s="1712"/>
      <c r="W423" s="1712"/>
      <c r="X423" s="1712"/>
      <c r="Y423" s="1712"/>
      <c r="Z423" s="1712"/>
      <c r="AA423" s="1712"/>
    </row>
    <row r="424" s="2425" customFormat="1" customHeight="1" spans="10:27">
      <c r="J424" s="2427"/>
      <c r="K424" s="1712"/>
      <c r="L424" s="1712"/>
      <c r="M424" s="1712"/>
      <c r="N424" s="1712"/>
      <c r="O424" s="1712"/>
      <c r="P424" s="1712"/>
      <c r="Q424" s="1712"/>
      <c r="R424" s="1712"/>
      <c r="S424" s="1712"/>
      <c r="T424" s="1712"/>
      <c r="U424" s="1712"/>
      <c r="V424" s="1712"/>
      <c r="W424" s="1712"/>
      <c r="X424" s="1712"/>
      <c r="Y424" s="1712"/>
      <c r="Z424" s="1712"/>
      <c r="AA424" s="1712"/>
    </row>
    <row r="425" s="2425" customFormat="1" customHeight="1" spans="10:27">
      <c r="J425" s="2427"/>
      <c r="K425" s="1712"/>
      <c r="L425" s="1712"/>
      <c r="M425" s="1712"/>
      <c r="N425" s="1712"/>
      <c r="O425" s="1712"/>
      <c r="P425" s="1712"/>
      <c r="Q425" s="1712"/>
      <c r="R425" s="1712"/>
      <c r="S425" s="1712"/>
      <c r="T425" s="1712"/>
      <c r="U425" s="1712"/>
      <c r="V425" s="1712"/>
      <c r="W425" s="1712"/>
      <c r="X425" s="1712"/>
      <c r="Y425" s="1712"/>
      <c r="Z425" s="1712"/>
      <c r="AA425" s="1712"/>
    </row>
    <row r="426" s="2425" customFormat="1" customHeight="1" spans="10:27">
      <c r="J426" s="2427"/>
      <c r="K426" s="1712"/>
      <c r="L426" s="1712"/>
      <c r="M426" s="1712"/>
      <c r="N426" s="1712"/>
      <c r="O426" s="1712"/>
      <c r="P426" s="1712"/>
      <c r="Q426" s="1712"/>
      <c r="R426" s="1712"/>
      <c r="S426" s="1712"/>
      <c r="T426" s="1712"/>
      <c r="U426" s="1712"/>
      <c r="V426" s="1712"/>
      <c r="W426" s="1712"/>
      <c r="X426" s="1712"/>
      <c r="Y426" s="1712"/>
      <c r="Z426" s="1712"/>
      <c r="AA426" s="1712"/>
    </row>
    <row r="427" s="2425" customFormat="1" customHeight="1" spans="10:27">
      <c r="J427" s="2427"/>
      <c r="K427" s="1712"/>
      <c r="L427" s="1712"/>
      <c r="M427" s="1712"/>
      <c r="N427" s="1712"/>
      <c r="O427" s="1712"/>
      <c r="P427" s="1712"/>
      <c r="Q427" s="1712"/>
      <c r="R427" s="1712"/>
      <c r="S427" s="1712"/>
      <c r="T427" s="1712"/>
      <c r="U427" s="1712"/>
      <c r="V427" s="1712"/>
      <c r="W427" s="1712"/>
      <c r="X427" s="1712"/>
      <c r="Y427" s="1712"/>
      <c r="Z427" s="1712"/>
      <c r="AA427" s="1712"/>
    </row>
    <row r="428" s="2425" customFormat="1" customHeight="1" spans="10:27">
      <c r="J428" s="2427"/>
      <c r="K428" s="1712"/>
      <c r="L428" s="1712"/>
      <c r="M428" s="1712"/>
      <c r="N428" s="1712"/>
      <c r="O428" s="1712"/>
      <c r="P428" s="1712"/>
      <c r="Q428" s="1712"/>
      <c r="R428" s="1712"/>
      <c r="S428" s="1712"/>
      <c r="T428" s="1712"/>
      <c r="U428" s="1712"/>
      <c r="V428" s="1712"/>
      <c r="W428" s="1712"/>
      <c r="X428" s="1712"/>
      <c r="Y428" s="1712"/>
      <c r="Z428" s="1712"/>
      <c r="AA428" s="1712"/>
    </row>
    <row r="429" s="2425" customFormat="1" customHeight="1" spans="10:27">
      <c r="J429" s="2427"/>
      <c r="K429" s="1712"/>
      <c r="L429" s="1712"/>
      <c r="M429" s="1712"/>
      <c r="N429" s="1712"/>
      <c r="O429" s="1712"/>
      <c r="P429" s="1712"/>
      <c r="Q429" s="1712"/>
      <c r="R429" s="1712"/>
      <c r="S429" s="1712"/>
      <c r="T429" s="1712"/>
      <c r="U429" s="1712"/>
      <c r="V429" s="1712"/>
      <c r="W429" s="1712"/>
      <c r="X429" s="1712"/>
      <c r="Y429" s="1712"/>
      <c r="Z429" s="1712"/>
      <c r="AA429" s="1712"/>
    </row>
    <row r="430" s="2425" customFormat="1" customHeight="1" spans="10:27">
      <c r="J430" s="2427"/>
      <c r="K430" s="1712"/>
      <c r="L430" s="1712"/>
      <c r="M430" s="1712"/>
      <c r="N430" s="1712"/>
      <c r="O430" s="1712"/>
      <c r="P430" s="1712"/>
      <c r="Q430" s="1712"/>
      <c r="R430" s="1712"/>
      <c r="S430" s="1712"/>
      <c r="T430" s="1712"/>
      <c r="U430" s="1712"/>
      <c r="V430" s="1712"/>
      <c r="W430" s="1712"/>
      <c r="X430" s="1712"/>
      <c r="Y430" s="1712"/>
      <c r="Z430" s="1712"/>
      <c r="AA430" s="1712"/>
    </row>
    <row r="431" s="2425" customFormat="1" customHeight="1" spans="10:27">
      <c r="J431" s="2427"/>
      <c r="K431" s="1712"/>
      <c r="L431" s="1712"/>
      <c r="M431" s="1712"/>
      <c r="N431" s="1712"/>
      <c r="O431" s="1712"/>
      <c r="P431" s="1712"/>
      <c r="Q431" s="1712"/>
      <c r="R431" s="1712"/>
      <c r="S431" s="1712"/>
      <c r="T431" s="1712"/>
      <c r="U431" s="1712"/>
      <c r="V431" s="1712"/>
      <c r="W431" s="1712"/>
      <c r="X431" s="1712"/>
      <c r="Y431" s="1712"/>
      <c r="Z431" s="1712"/>
      <c r="AA431" s="1712"/>
    </row>
    <row r="432" s="2425" customFormat="1" customHeight="1" spans="10:27">
      <c r="J432" s="2427"/>
      <c r="K432" s="1712"/>
      <c r="L432" s="1712"/>
      <c r="M432" s="1712"/>
      <c r="N432" s="1712"/>
      <c r="O432" s="1712"/>
      <c r="P432" s="1712"/>
      <c r="Q432" s="1712"/>
      <c r="R432" s="1712"/>
      <c r="S432" s="1712"/>
      <c r="T432" s="1712"/>
      <c r="U432" s="1712"/>
      <c r="V432" s="1712"/>
      <c r="W432" s="1712"/>
      <c r="X432" s="1712"/>
      <c r="Y432" s="1712"/>
      <c r="Z432" s="1712"/>
      <c r="AA432" s="1712"/>
    </row>
    <row r="433" s="2425" customFormat="1" customHeight="1" spans="10:27">
      <c r="J433" s="2427"/>
      <c r="K433" s="1712"/>
      <c r="L433" s="1712"/>
      <c r="M433" s="1712"/>
      <c r="N433" s="1712"/>
      <c r="O433" s="1712"/>
      <c r="P433" s="1712"/>
      <c r="Q433" s="1712"/>
      <c r="R433" s="1712"/>
      <c r="S433" s="1712"/>
      <c r="T433" s="1712"/>
      <c r="U433" s="1712"/>
      <c r="V433" s="1712"/>
      <c r="W433" s="1712"/>
      <c r="X433" s="1712"/>
      <c r="Y433" s="1712"/>
      <c r="Z433" s="1712"/>
      <c r="AA433" s="1712"/>
    </row>
    <row r="434" s="2425" customFormat="1" customHeight="1" spans="10:27">
      <c r="J434" s="2427"/>
      <c r="K434" s="1712"/>
      <c r="L434" s="1712"/>
      <c r="M434" s="1712"/>
      <c r="N434" s="1712"/>
      <c r="O434" s="1712"/>
      <c r="P434" s="1712"/>
      <c r="Q434" s="1712"/>
      <c r="R434" s="1712"/>
      <c r="S434" s="1712"/>
      <c r="T434" s="1712"/>
      <c r="U434" s="1712"/>
      <c r="V434" s="1712"/>
      <c r="W434" s="1712"/>
      <c r="X434" s="1712"/>
      <c r="Y434" s="1712"/>
      <c r="Z434" s="1712"/>
      <c r="AA434" s="1712"/>
    </row>
    <row r="435" s="2425" customFormat="1" customHeight="1" spans="10:27">
      <c r="J435" s="2427"/>
      <c r="K435" s="1712"/>
      <c r="L435" s="1712"/>
      <c r="M435" s="1712"/>
      <c r="N435" s="1712"/>
      <c r="O435" s="1712"/>
      <c r="P435" s="1712"/>
      <c r="Q435" s="1712"/>
      <c r="R435" s="1712"/>
      <c r="S435" s="1712"/>
      <c r="T435" s="1712"/>
      <c r="U435" s="1712"/>
      <c r="V435" s="1712"/>
      <c r="W435" s="1712"/>
      <c r="X435" s="1712"/>
      <c r="Y435" s="1712"/>
      <c r="Z435" s="1712"/>
      <c r="AA435" s="1712"/>
    </row>
    <row r="436" s="2425" customFormat="1" customHeight="1" spans="10:27">
      <c r="J436" s="2427"/>
      <c r="K436" s="1712"/>
      <c r="L436" s="1712"/>
      <c r="M436" s="1712"/>
      <c r="N436" s="1712"/>
      <c r="O436" s="1712"/>
      <c r="P436" s="1712"/>
      <c r="Q436" s="1712"/>
      <c r="R436" s="1712"/>
      <c r="S436" s="1712"/>
      <c r="T436" s="1712"/>
      <c r="U436" s="1712"/>
      <c r="V436" s="1712"/>
      <c r="W436" s="1712"/>
      <c r="X436" s="1712"/>
      <c r="Y436" s="1712"/>
      <c r="Z436" s="1712"/>
      <c r="AA436" s="1712"/>
    </row>
    <row r="437" s="2425" customFormat="1" customHeight="1" spans="10:27">
      <c r="J437" s="2427"/>
      <c r="K437" s="1712"/>
      <c r="L437" s="1712"/>
      <c r="M437" s="1712"/>
      <c r="N437" s="1712"/>
      <c r="O437" s="1712"/>
      <c r="P437" s="1712"/>
      <c r="Q437" s="1712"/>
      <c r="R437" s="1712"/>
      <c r="S437" s="1712"/>
      <c r="T437" s="1712"/>
      <c r="U437" s="1712"/>
      <c r="V437" s="1712"/>
      <c r="W437" s="1712"/>
      <c r="X437" s="1712"/>
      <c r="Y437" s="1712"/>
      <c r="Z437" s="1712"/>
      <c r="AA437" s="1712"/>
    </row>
    <row r="438" s="2425" customFormat="1" customHeight="1" spans="10:27">
      <c r="J438" s="2427"/>
      <c r="K438" s="1712"/>
      <c r="L438" s="1712"/>
      <c r="M438" s="1712"/>
      <c r="N438" s="1712"/>
      <c r="O438" s="1712"/>
      <c r="P438" s="1712"/>
      <c r="Q438" s="1712"/>
      <c r="R438" s="1712"/>
      <c r="S438" s="1712"/>
      <c r="T438" s="1712"/>
      <c r="U438" s="1712"/>
      <c r="V438" s="1712"/>
      <c r="W438" s="1712"/>
      <c r="X438" s="1712"/>
      <c r="Y438" s="1712"/>
      <c r="Z438" s="1712"/>
      <c r="AA438" s="1712"/>
    </row>
    <row r="439" s="2425" customFormat="1" customHeight="1" spans="10:27">
      <c r="J439" s="2427"/>
      <c r="K439" s="1712"/>
      <c r="L439" s="1712"/>
      <c r="M439" s="1712"/>
      <c r="N439" s="1712"/>
      <c r="O439" s="1712"/>
      <c r="P439" s="1712"/>
      <c r="Q439" s="1712"/>
      <c r="R439" s="1712"/>
      <c r="S439" s="1712"/>
      <c r="T439" s="1712"/>
      <c r="U439" s="1712"/>
      <c r="V439" s="1712"/>
      <c r="W439" s="1712"/>
      <c r="X439" s="1712"/>
      <c r="Y439" s="1712"/>
      <c r="Z439" s="1712"/>
      <c r="AA439" s="1712"/>
    </row>
    <row r="440" s="2425" customFormat="1" customHeight="1" spans="10:27">
      <c r="J440" s="2427"/>
      <c r="K440" s="1712"/>
      <c r="L440" s="1712"/>
      <c r="M440" s="1712"/>
      <c r="N440" s="1712"/>
      <c r="O440" s="1712"/>
      <c r="P440" s="1712"/>
      <c r="Q440" s="1712"/>
      <c r="R440" s="1712"/>
      <c r="S440" s="1712"/>
      <c r="T440" s="1712"/>
      <c r="U440" s="1712"/>
      <c r="V440" s="1712"/>
      <c r="W440" s="1712"/>
      <c r="X440" s="1712"/>
      <c r="Y440" s="1712"/>
      <c r="Z440" s="1712"/>
      <c r="AA440" s="1712"/>
    </row>
    <row r="441" s="2425" customFormat="1" customHeight="1" spans="10:27">
      <c r="J441" s="2427"/>
      <c r="K441" s="1712"/>
      <c r="L441" s="1712"/>
      <c r="M441" s="1712"/>
      <c r="N441" s="1712"/>
      <c r="O441" s="1712"/>
      <c r="P441" s="1712"/>
      <c r="Q441" s="1712"/>
      <c r="R441" s="1712"/>
      <c r="S441" s="1712"/>
      <c r="T441" s="1712"/>
      <c r="U441" s="1712"/>
      <c r="V441" s="1712"/>
      <c r="W441" s="1712"/>
      <c r="X441" s="1712"/>
      <c r="Y441" s="1712"/>
      <c r="Z441" s="1712"/>
      <c r="AA441" s="1712"/>
    </row>
    <row r="442" s="2425" customFormat="1" customHeight="1" spans="10:27">
      <c r="J442" s="2427"/>
      <c r="K442" s="1712"/>
      <c r="L442" s="1712"/>
      <c r="M442" s="1712"/>
      <c r="N442" s="1712"/>
      <c r="O442" s="1712"/>
      <c r="P442" s="1712"/>
      <c r="Q442" s="1712"/>
      <c r="R442" s="1712"/>
      <c r="S442" s="1712"/>
      <c r="T442" s="1712"/>
      <c r="U442" s="1712"/>
      <c r="V442" s="1712"/>
      <c r="W442" s="1712"/>
      <c r="X442" s="1712"/>
      <c r="Y442" s="1712"/>
      <c r="Z442" s="1712"/>
      <c r="AA442" s="1712"/>
    </row>
    <row r="443" s="2425" customFormat="1" customHeight="1" spans="10:27">
      <c r="J443" s="2427"/>
      <c r="K443" s="1712"/>
      <c r="L443" s="1712"/>
      <c r="M443" s="1712"/>
      <c r="N443" s="1712"/>
      <c r="O443" s="1712"/>
      <c r="P443" s="1712"/>
      <c r="Q443" s="1712"/>
      <c r="R443" s="1712"/>
      <c r="S443" s="1712"/>
      <c r="T443" s="1712"/>
      <c r="U443" s="1712"/>
      <c r="V443" s="1712"/>
      <c r="W443" s="1712"/>
      <c r="X443" s="1712"/>
      <c r="Y443" s="1712"/>
      <c r="Z443" s="1712"/>
      <c r="AA443" s="1712"/>
    </row>
    <row r="444" s="2425" customFormat="1" customHeight="1" spans="10:27">
      <c r="J444" s="2427"/>
      <c r="K444" s="1712"/>
      <c r="L444" s="1712"/>
      <c r="M444" s="1712"/>
      <c r="N444" s="1712"/>
      <c r="O444" s="1712"/>
      <c r="P444" s="1712"/>
      <c r="Q444" s="1712"/>
      <c r="R444" s="1712"/>
      <c r="S444" s="1712"/>
      <c r="T444" s="1712"/>
      <c r="U444" s="1712"/>
      <c r="V444" s="1712"/>
      <c r="W444" s="1712"/>
      <c r="X444" s="1712"/>
      <c r="Y444" s="1712"/>
      <c r="Z444" s="1712"/>
      <c r="AA444" s="1712"/>
    </row>
    <row r="445" s="2425" customFormat="1" customHeight="1" spans="10:27">
      <c r="J445" s="2427"/>
      <c r="K445" s="1712"/>
      <c r="L445" s="1712"/>
      <c r="M445" s="1712"/>
      <c r="N445" s="1712"/>
      <c r="O445" s="1712"/>
      <c r="P445" s="1712"/>
      <c r="Q445" s="1712"/>
      <c r="R445" s="1712"/>
      <c r="S445" s="1712"/>
      <c r="T445" s="1712"/>
      <c r="U445" s="1712"/>
      <c r="V445" s="1712"/>
      <c r="W445" s="1712"/>
      <c r="X445" s="1712"/>
      <c r="Y445" s="1712"/>
      <c r="Z445" s="1712"/>
      <c r="AA445" s="1712"/>
    </row>
    <row r="446" s="2425" customFormat="1" customHeight="1" spans="10:27">
      <c r="J446" s="2427"/>
      <c r="K446" s="1712"/>
      <c r="L446" s="1712"/>
      <c r="M446" s="1712"/>
      <c r="N446" s="1712"/>
      <c r="O446" s="1712"/>
      <c r="P446" s="1712"/>
      <c r="Q446" s="1712"/>
      <c r="R446" s="1712"/>
      <c r="S446" s="1712"/>
      <c r="T446" s="1712"/>
      <c r="U446" s="1712"/>
      <c r="V446" s="1712"/>
      <c r="W446" s="1712"/>
      <c r="X446" s="1712"/>
      <c r="Y446" s="1712"/>
      <c r="Z446" s="1712"/>
      <c r="AA446" s="1712"/>
    </row>
    <row r="447" s="2425" customFormat="1" customHeight="1" spans="10:27">
      <c r="J447" s="2427"/>
      <c r="K447" s="1712"/>
      <c r="L447" s="1712"/>
      <c r="M447" s="1712"/>
      <c r="N447" s="1712"/>
      <c r="O447" s="1712"/>
      <c r="P447" s="1712"/>
      <c r="Q447" s="1712"/>
      <c r="R447" s="1712"/>
      <c r="S447" s="1712"/>
      <c r="T447" s="1712"/>
      <c r="U447" s="1712"/>
      <c r="V447" s="1712"/>
      <c r="W447" s="1712"/>
      <c r="X447" s="1712"/>
      <c r="Y447" s="1712"/>
      <c r="Z447" s="1712"/>
      <c r="AA447" s="1712"/>
    </row>
    <row r="448" s="2425" customFormat="1" customHeight="1" spans="10:27">
      <c r="J448" s="2427"/>
      <c r="K448" s="1712"/>
      <c r="L448" s="1712"/>
      <c r="M448" s="1712"/>
      <c r="N448" s="1712"/>
      <c r="O448" s="1712"/>
      <c r="P448" s="1712"/>
      <c r="Q448" s="1712"/>
      <c r="R448" s="1712"/>
      <c r="S448" s="1712"/>
      <c r="T448" s="1712"/>
      <c r="U448" s="1712"/>
      <c r="V448" s="1712"/>
      <c r="W448" s="1712"/>
      <c r="X448" s="1712"/>
      <c r="Y448" s="1712"/>
      <c r="Z448" s="1712"/>
      <c r="AA448" s="1712"/>
    </row>
    <row r="449" s="2425" customFormat="1" customHeight="1" spans="10:27">
      <c r="J449" s="2427"/>
      <c r="K449" s="1712"/>
      <c r="L449" s="1712"/>
      <c r="M449" s="1712"/>
      <c r="N449" s="1712"/>
      <c r="O449" s="1712"/>
      <c r="P449" s="1712"/>
      <c r="Q449" s="1712"/>
      <c r="R449" s="1712"/>
      <c r="S449" s="1712"/>
      <c r="T449" s="1712"/>
      <c r="U449" s="1712"/>
      <c r="V449" s="1712"/>
      <c r="W449" s="1712"/>
      <c r="X449" s="1712"/>
      <c r="Y449" s="1712"/>
      <c r="Z449" s="1712"/>
      <c r="AA449" s="1712"/>
    </row>
    <row r="450" s="2425" customFormat="1" customHeight="1" spans="10:27">
      <c r="J450" s="2427"/>
      <c r="K450" s="1712"/>
      <c r="L450" s="1712"/>
      <c r="M450" s="1712"/>
      <c r="N450" s="1712"/>
      <c r="O450" s="1712"/>
      <c r="P450" s="1712"/>
      <c r="Q450" s="1712"/>
      <c r="R450" s="1712"/>
      <c r="S450" s="1712"/>
      <c r="T450" s="1712"/>
      <c r="U450" s="1712"/>
      <c r="V450" s="1712"/>
      <c r="W450" s="1712"/>
      <c r="X450" s="1712"/>
      <c r="Y450" s="1712"/>
      <c r="Z450" s="1712"/>
      <c r="AA450" s="1712"/>
    </row>
    <row r="451" s="2425" customFormat="1" customHeight="1" spans="10:27">
      <c r="J451" s="2427"/>
      <c r="K451" s="1712"/>
      <c r="L451" s="1712"/>
      <c r="M451" s="1712"/>
      <c r="N451" s="1712"/>
      <c r="O451" s="1712"/>
      <c r="P451" s="1712"/>
      <c r="Q451" s="1712"/>
      <c r="R451" s="1712"/>
      <c r="S451" s="1712"/>
      <c r="T451" s="1712"/>
      <c r="U451" s="1712"/>
      <c r="V451" s="1712"/>
      <c r="W451" s="1712"/>
      <c r="X451" s="1712"/>
      <c r="Y451" s="1712"/>
      <c r="Z451" s="1712"/>
      <c r="AA451" s="1712"/>
    </row>
    <row r="452" s="2425" customFormat="1" customHeight="1" spans="10:27">
      <c r="J452" s="2427"/>
      <c r="K452" s="1712"/>
      <c r="L452" s="1712"/>
      <c r="M452" s="1712"/>
      <c r="N452" s="1712"/>
      <c r="O452" s="1712"/>
      <c r="P452" s="1712"/>
      <c r="Q452" s="1712"/>
      <c r="R452" s="1712"/>
      <c r="S452" s="1712"/>
      <c r="T452" s="1712"/>
      <c r="U452" s="1712"/>
      <c r="V452" s="1712"/>
      <c r="W452" s="1712"/>
      <c r="X452" s="1712"/>
      <c r="Y452" s="1712"/>
      <c r="Z452" s="1712"/>
      <c r="AA452" s="1712"/>
    </row>
    <row r="453" s="2425" customFormat="1" customHeight="1" spans="10:27">
      <c r="J453" s="2427"/>
      <c r="K453" s="1712"/>
      <c r="L453" s="1712"/>
      <c r="M453" s="1712"/>
      <c r="N453" s="1712"/>
      <c r="O453" s="1712"/>
      <c r="P453" s="1712"/>
      <c r="Q453" s="1712"/>
      <c r="R453" s="1712"/>
      <c r="S453" s="1712"/>
      <c r="T453" s="1712"/>
      <c r="U453" s="1712"/>
      <c r="V453" s="1712"/>
      <c r="W453" s="1712"/>
      <c r="X453" s="1712"/>
      <c r="Y453" s="1712"/>
      <c r="Z453" s="1712"/>
      <c r="AA453" s="1712"/>
    </row>
    <row r="454" s="2425" customFormat="1" customHeight="1" spans="10:27">
      <c r="J454" s="2427"/>
      <c r="K454" s="1712"/>
      <c r="L454" s="1712"/>
      <c r="M454" s="1712"/>
      <c r="N454" s="1712"/>
      <c r="O454" s="1712"/>
      <c r="P454" s="1712"/>
      <c r="Q454" s="1712"/>
      <c r="R454" s="1712"/>
      <c r="S454" s="1712"/>
      <c r="T454" s="1712"/>
      <c r="U454" s="1712"/>
      <c r="V454" s="1712"/>
      <c r="W454" s="1712"/>
      <c r="X454" s="1712"/>
      <c r="Y454" s="1712"/>
      <c r="Z454" s="1712"/>
      <c r="AA454" s="1712"/>
    </row>
    <row r="455" s="2425" customFormat="1" customHeight="1" spans="10:27">
      <c r="J455" s="2427"/>
      <c r="K455" s="1712"/>
      <c r="L455" s="1712"/>
      <c r="M455" s="1712"/>
      <c r="N455" s="1712"/>
      <c r="O455" s="1712"/>
      <c r="P455" s="1712"/>
      <c r="Q455" s="1712"/>
      <c r="R455" s="1712"/>
      <c r="S455" s="1712"/>
      <c r="T455" s="1712"/>
      <c r="U455" s="1712"/>
      <c r="V455" s="1712"/>
      <c r="W455" s="1712"/>
      <c r="X455" s="1712"/>
      <c r="Y455" s="1712"/>
      <c r="Z455" s="1712"/>
      <c r="AA455" s="1712"/>
    </row>
    <row r="456" s="2425" customFormat="1" customHeight="1" spans="10:27">
      <c r="J456" s="2427"/>
      <c r="K456" s="1712"/>
      <c r="L456" s="1712"/>
      <c r="M456" s="1712"/>
      <c r="N456" s="1712"/>
      <c r="O456" s="1712"/>
      <c r="P456" s="1712"/>
      <c r="Q456" s="1712"/>
      <c r="R456" s="1712"/>
      <c r="S456" s="1712"/>
      <c r="T456" s="1712"/>
      <c r="U456" s="1712"/>
      <c r="V456" s="1712"/>
      <c r="W456" s="1712"/>
      <c r="X456" s="1712"/>
      <c r="Y456" s="1712"/>
      <c r="Z456" s="1712"/>
      <c r="AA456" s="1712"/>
    </row>
    <row r="457" s="2425" customFormat="1" customHeight="1" spans="10:27">
      <c r="J457" s="2427"/>
      <c r="K457" s="1712"/>
      <c r="L457" s="1712"/>
      <c r="M457" s="1712"/>
      <c r="N457" s="1712"/>
      <c r="O457" s="1712"/>
      <c r="P457" s="1712"/>
      <c r="Q457" s="1712"/>
      <c r="R457" s="1712"/>
      <c r="S457" s="1712"/>
      <c r="T457" s="1712"/>
      <c r="U457" s="1712"/>
      <c r="V457" s="1712"/>
      <c r="W457" s="1712"/>
      <c r="X457" s="1712"/>
      <c r="Y457" s="1712"/>
      <c r="Z457" s="1712"/>
      <c r="AA457" s="1712"/>
    </row>
    <row r="458" s="2425" customFormat="1" customHeight="1" spans="10:27">
      <c r="J458" s="2427"/>
      <c r="K458" s="1712"/>
      <c r="L458" s="1712"/>
      <c r="M458" s="1712"/>
      <c r="N458" s="1712"/>
      <c r="O458" s="1712"/>
      <c r="P458" s="1712"/>
      <c r="Q458" s="1712"/>
      <c r="R458" s="1712"/>
      <c r="S458" s="1712"/>
      <c r="T458" s="1712"/>
      <c r="U458" s="1712"/>
      <c r="V458" s="1712"/>
      <c r="W458" s="1712"/>
      <c r="X458" s="1712"/>
      <c r="Y458" s="1712"/>
      <c r="Z458" s="1712"/>
      <c r="AA458" s="1712"/>
    </row>
    <row r="459" s="2425" customFormat="1" customHeight="1" spans="10:27">
      <c r="J459" s="2427"/>
      <c r="K459" s="1712"/>
      <c r="L459" s="1712"/>
      <c r="M459" s="1712"/>
      <c r="N459" s="1712"/>
      <c r="O459" s="1712"/>
      <c r="P459" s="1712"/>
      <c r="Q459" s="1712"/>
      <c r="R459" s="1712"/>
      <c r="S459" s="1712"/>
      <c r="T459" s="1712"/>
      <c r="U459" s="1712"/>
      <c r="V459" s="1712"/>
      <c r="W459" s="1712"/>
      <c r="X459" s="1712"/>
      <c r="Y459" s="1712"/>
      <c r="Z459" s="1712"/>
      <c r="AA459" s="1712"/>
    </row>
    <row r="460" s="2425" customFormat="1" customHeight="1" spans="10:27">
      <c r="J460" s="2427"/>
      <c r="K460" s="1712"/>
      <c r="L460" s="1712"/>
      <c r="M460" s="1712"/>
      <c r="N460" s="1712"/>
      <c r="O460" s="1712"/>
      <c r="P460" s="1712"/>
      <c r="Q460" s="1712"/>
      <c r="R460" s="1712"/>
      <c r="S460" s="1712"/>
      <c r="T460" s="1712"/>
      <c r="U460" s="1712"/>
      <c r="V460" s="1712"/>
      <c r="W460" s="1712"/>
      <c r="X460" s="1712"/>
      <c r="Y460" s="1712"/>
      <c r="Z460" s="1712"/>
      <c r="AA460" s="1712"/>
    </row>
    <row r="461" s="2425" customFormat="1" customHeight="1" spans="10:27">
      <c r="J461" s="2427"/>
      <c r="K461" s="1712"/>
      <c r="L461" s="1712"/>
      <c r="M461" s="1712"/>
      <c r="N461" s="1712"/>
      <c r="O461" s="1712"/>
      <c r="P461" s="1712"/>
      <c r="Q461" s="1712"/>
      <c r="R461" s="1712"/>
      <c r="S461" s="1712"/>
      <c r="T461" s="1712"/>
      <c r="U461" s="1712"/>
      <c r="V461" s="1712"/>
      <c r="W461" s="1712"/>
      <c r="X461" s="1712"/>
      <c r="Y461" s="1712"/>
      <c r="Z461" s="1712"/>
      <c r="AA461" s="1712"/>
    </row>
    <row r="462" s="2425" customFormat="1" customHeight="1" spans="10:27">
      <c r="J462" s="2427"/>
      <c r="K462" s="1712"/>
      <c r="L462" s="1712"/>
      <c r="M462" s="1712"/>
      <c r="N462" s="1712"/>
      <c r="O462" s="1712"/>
      <c r="P462" s="1712"/>
      <c r="Q462" s="1712"/>
      <c r="R462" s="1712"/>
      <c r="S462" s="1712"/>
      <c r="T462" s="1712"/>
      <c r="U462" s="1712"/>
      <c r="V462" s="1712"/>
      <c r="W462" s="1712"/>
      <c r="X462" s="1712"/>
      <c r="Y462" s="1712"/>
      <c r="Z462" s="1712"/>
      <c r="AA462" s="1712"/>
    </row>
    <row r="463" s="2425" customFormat="1" customHeight="1" spans="10:27">
      <c r="J463" s="2427"/>
      <c r="K463" s="1712"/>
      <c r="L463" s="1712"/>
      <c r="M463" s="1712"/>
      <c r="N463" s="1712"/>
      <c r="O463" s="1712"/>
      <c r="P463" s="1712"/>
      <c r="Q463" s="1712"/>
      <c r="R463" s="1712"/>
      <c r="S463" s="1712"/>
      <c r="T463" s="1712"/>
      <c r="U463" s="1712"/>
      <c r="V463" s="1712"/>
      <c r="W463" s="1712"/>
      <c r="X463" s="1712"/>
      <c r="Y463" s="1712"/>
      <c r="Z463" s="1712"/>
      <c r="AA463" s="1712"/>
    </row>
    <row r="464" s="2425" customFormat="1" customHeight="1" spans="10:27">
      <c r="J464" s="2427"/>
      <c r="K464" s="1712"/>
      <c r="L464" s="1712"/>
      <c r="M464" s="1712"/>
      <c r="N464" s="1712"/>
      <c r="O464" s="1712"/>
      <c r="P464" s="1712"/>
      <c r="Q464" s="1712"/>
      <c r="R464" s="1712"/>
      <c r="S464" s="1712"/>
      <c r="T464" s="1712"/>
      <c r="U464" s="1712"/>
      <c r="V464" s="1712"/>
      <c r="W464" s="1712"/>
      <c r="X464" s="1712"/>
      <c r="Y464" s="1712"/>
      <c r="Z464" s="1712"/>
      <c r="AA464" s="1712"/>
    </row>
    <row r="465" s="2425" customFormat="1" customHeight="1" spans="10:27">
      <c r="J465" s="2427"/>
      <c r="K465" s="1712"/>
      <c r="L465" s="1712"/>
      <c r="M465" s="1712"/>
      <c r="N465" s="1712"/>
      <c r="O465" s="1712"/>
      <c r="P465" s="1712"/>
      <c r="Q465" s="1712"/>
      <c r="R465" s="1712"/>
      <c r="S465" s="1712"/>
      <c r="T465" s="1712"/>
      <c r="U465" s="1712"/>
      <c r="V465" s="1712"/>
      <c r="W465" s="1712"/>
      <c r="X465" s="1712"/>
      <c r="Y465" s="1712"/>
      <c r="Z465" s="1712"/>
      <c r="AA465" s="1712"/>
    </row>
    <row r="466" s="2425" customFormat="1" customHeight="1" spans="10:27">
      <c r="J466" s="2427"/>
      <c r="K466" s="1712"/>
      <c r="L466" s="1712"/>
      <c r="M466" s="1712"/>
      <c r="N466" s="1712"/>
      <c r="O466" s="1712"/>
      <c r="P466" s="1712"/>
      <c r="Q466" s="1712"/>
      <c r="R466" s="1712"/>
      <c r="S466" s="1712"/>
      <c r="T466" s="1712"/>
      <c r="U466" s="1712"/>
      <c r="V466" s="1712"/>
      <c r="W466" s="1712"/>
      <c r="X466" s="1712"/>
      <c r="Y466" s="1712"/>
      <c r="Z466" s="1712"/>
      <c r="AA466" s="1712"/>
    </row>
    <row r="467" s="2425" customFormat="1" customHeight="1" spans="10:27">
      <c r="J467" s="2427"/>
      <c r="K467" s="1712"/>
      <c r="L467" s="1712"/>
      <c r="M467" s="1712"/>
      <c r="N467" s="1712"/>
      <c r="O467" s="1712"/>
      <c r="P467" s="1712"/>
      <c r="Q467" s="1712"/>
      <c r="R467" s="1712"/>
      <c r="S467" s="1712"/>
      <c r="T467" s="1712"/>
      <c r="U467" s="1712"/>
      <c r="V467" s="1712"/>
      <c r="W467" s="1712"/>
      <c r="X467" s="1712"/>
      <c r="Y467" s="1712"/>
      <c r="Z467" s="1712"/>
      <c r="AA467" s="1712"/>
    </row>
    <row r="468" s="2425" customFormat="1" customHeight="1" spans="10:27">
      <c r="J468" s="2427"/>
      <c r="K468" s="1712"/>
      <c r="L468" s="1712"/>
      <c r="M468" s="1712"/>
      <c r="N468" s="1712"/>
      <c r="O468" s="1712"/>
      <c r="P468" s="1712"/>
      <c r="Q468" s="1712"/>
      <c r="R468" s="1712"/>
      <c r="S468" s="1712"/>
      <c r="T468" s="1712"/>
      <c r="U468" s="1712"/>
      <c r="V468" s="1712"/>
      <c r="W468" s="1712"/>
      <c r="X468" s="1712"/>
      <c r="Y468" s="1712"/>
      <c r="Z468" s="1712"/>
      <c r="AA468" s="1712"/>
    </row>
    <row r="469" s="2425" customFormat="1" customHeight="1" spans="10:27">
      <c r="J469" s="2427"/>
      <c r="K469" s="1712"/>
      <c r="L469" s="1712"/>
      <c r="M469" s="1712"/>
      <c r="N469" s="1712"/>
      <c r="O469" s="1712"/>
      <c r="P469" s="1712"/>
      <c r="Q469" s="1712"/>
      <c r="R469" s="1712"/>
      <c r="S469" s="1712"/>
      <c r="T469" s="1712"/>
      <c r="U469" s="1712"/>
      <c r="V469" s="1712"/>
      <c r="W469" s="1712"/>
      <c r="X469" s="1712"/>
      <c r="Y469" s="1712"/>
      <c r="Z469" s="1712"/>
      <c r="AA469" s="1712"/>
    </row>
    <row r="470" s="2425" customFormat="1" customHeight="1" spans="10:27">
      <c r="J470" s="2427"/>
      <c r="K470" s="1712"/>
      <c r="L470" s="1712"/>
      <c r="M470" s="1712"/>
      <c r="N470" s="1712"/>
      <c r="O470" s="1712"/>
      <c r="P470" s="1712"/>
      <c r="Q470" s="1712"/>
      <c r="R470" s="1712"/>
      <c r="S470" s="1712"/>
      <c r="T470" s="1712"/>
      <c r="U470" s="1712"/>
      <c r="V470" s="1712"/>
      <c r="W470" s="1712"/>
      <c r="X470" s="1712"/>
      <c r="Y470" s="1712"/>
      <c r="Z470" s="1712"/>
      <c r="AA470" s="1712"/>
    </row>
    <row r="471" s="2425" customFormat="1" customHeight="1" spans="10:27">
      <c r="J471" s="2427"/>
      <c r="K471" s="1712"/>
      <c r="L471" s="1712"/>
      <c r="M471" s="1712"/>
      <c r="N471" s="1712"/>
      <c r="O471" s="1712"/>
      <c r="P471" s="1712"/>
      <c r="Q471" s="1712"/>
      <c r="R471" s="1712"/>
      <c r="S471" s="1712"/>
      <c r="T471" s="1712"/>
      <c r="U471" s="1712"/>
      <c r="V471" s="1712"/>
      <c r="W471" s="1712"/>
      <c r="X471" s="1712"/>
      <c r="Y471" s="1712"/>
      <c r="Z471" s="1712"/>
      <c r="AA471" s="1712"/>
    </row>
    <row r="472" s="2425" customFormat="1" customHeight="1" spans="10:27">
      <c r="J472" s="2427"/>
      <c r="K472" s="1712"/>
      <c r="L472" s="1712"/>
      <c r="M472" s="1712"/>
      <c r="N472" s="1712"/>
      <c r="O472" s="1712"/>
      <c r="P472" s="1712"/>
      <c r="Q472" s="1712"/>
      <c r="R472" s="1712"/>
      <c r="S472" s="1712"/>
      <c r="T472" s="1712"/>
      <c r="U472" s="1712"/>
      <c r="V472" s="1712"/>
      <c r="W472" s="1712"/>
      <c r="X472" s="1712"/>
      <c r="Y472" s="1712"/>
      <c r="Z472" s="1712"/>
      <c r="AA472" s="1712"/>
    </row>
    <row r="473" s="2425" customFormat="1" customHeight="1" spans="10:27">
      <c r="J473" s="2427"/>
      <c r="K473" s="1712"/>
      <c r="L473" s="1712"/>
      <c r="M473" s="1712"/>
      <c r="N473" s="1712"/>
      <c r="O473" s="1712"/>
      <c r="P473" s="1712"/>
      <c r="Q473" s="1712"/>
      <c r="R473" s="1712"/>
      <c r="S473" s="1712"/>
      <c r="T473" s="1712"/>
      <c r="U473" s="1712"/>
      <c r="V473" s="1712"/>
      <c r="W473" s="1712"/>
      <c r="X473" s="1712"/>
      <c r="Y473" s="1712"/>
      <c r="Z473" s="1712"/>
      <c r="AA473" s="1712"/>
    </row>
    <row r="474" s="2425" customFormat="1" customHeight="1" spans="10:27">
      <c r="J474" s="2427"/>
      <c r="K474" s="1712"/>
      <c r="L474" s="1712"/>
      <c r="M474" s="1712"/>
      <c r="N474" s="1712"/>
      <c r="O474" s="1712"/>
      <c r="P474" s="1712"/>
      <c r="Q474" s="1712"/>
      <c r="R474" s="1712"/>
      <c r="S474" s="1712"/>
      <c r="T474" s="1712"/>
      <c r="U474" s="1712"/>
      <c r="V474" s="1712"/>
      <c r="W474" s="1712"/>
      <c r="X474" s="1712"/>
      <c r="Y474" s="1712"/>
      <c r="Z474" s="1712"/>
      <c r="AA474" s="1712"/>
    </row>
    <row r="475" s="2425" customFormat="1" customHeight="1" spans="10:27">
      <c r="J475" s="2427"/>
      <c r="K475" s="1712"/>
      <c r="L475" s="1712"/>
      <c r="M475" s="1712"/>
      <c r="N475" s="1712"/>
      <c r="O475" s="1712"/>
      <c r="P475" s="1712"/>
      <c r="Q475" s="1712"/>
      <c r="R475" s="1712"/>
      <c r="S475" s="1712"/>
      <c r="T475" s="1712"/>
      <c r="U475" s="1712"/>
      <c r="V475" s="1712"/>
      <c r="W475" s="1712"/>
      <c r="X475" s="1712"/>
      <c r="Y475" s="1712"/>
      <c r="Z475" s="1712"/>
      <c r="AA475" s="1712"/>
    </row>
    <row r="476" s="2425" customFormat="1" customHeight="1" spans="10:27">
      <c r="J476" s="2427"/>
      <c r="K476" s="1712"/>
      <c r="L476" s="1712"/>
      <c r="M476" s="1712"/>
      <c r="N476" s="1712"/>
      <c r="O476" s="1712"/>
      <c r="P476" s="1712"/>
      <c r="Q476" s="1712"/>
      <c r="R476" s="1712"/>
      <c r="S476" s="1712"/>
      <c r="T476" s="1712"/>
      <c r="U476" s="1712"/>
      <c r="V476" s="1712"/>
      <c r="W476" s="1712"/>
      <c r="X476" s="1712"/>
      <c r="Y476" s="1712"/>
      <c r="Z476" s="1712"/>
      <c r="AA476" s="1712"/>
    </row>
    <row r="477" s="2425" customFormat="1" customHeight="1" spans="10:27">
      <c r="J477" s="2427"/>
      <c r="K477" s="1712"/>
      <c r="L477" s="1712"/>
      <c r="M477" s="1712"/>
      <c r="N477" s="1712"/>
      <c r="O477" s="1712"/>
      <c r="P477" s="1712"/>
      <c r="Q477" s="1712"/>
      <c r="R477" s="1712"/>
      <c r="S477" s="1712"/>
      <c r="T477" s="1712"/>
      <c r="U477" s="1712"/>
      <c r="V477" s="1712"/>
      <c r="W477" s="1712"/>
      <c r="X477" s="1712"/>
      <c r="Y477" s="1712"/>
      <c r="Z477" s="1712"/>
      <c r="AA477" s="1712"/>
    </row>
    <row r="478" s="2425" customFormat="1" customHeight="1" spans="10:27">
      <c r="J478" s="2427"/>
      <c r="K478" s="1712"/>
      <c r="L478" s="1712"/>
      <c r="M478" s="1712"/>
      <c r="N478" s="1712"/>
      <c r="O478" s="1712"/>
      <c r="P478" s="1712"/>
      <c r="Q478" s="1712"/>
      <c r="R478" s="1712"/>
      <c r="S478" s="1712"/>
      <c r="T478" s="1712"/>
      <c r="U478" s="1712"/>
      <c r="V478" s="1712"/>
      <c r="W478" s="1712"/>
      <c r="X478" s="1712"/>
      <c r="Y478" s="1712"/>
      <c r="Z478" s="1712"/>
      <c r="AA478" s="1712"/>
    </row>
    <row r="479" s="2425" customFormat="1" customHeight="1" spans="10:27">
      <c r="J479" s="2427"/>
      <c r="K479" s="1712"/>
      <c r="L479" s="1712"/>
      <c r="M479" s="1712"/>
      <c r="N479" s="1712"/>
      <c r="O479" s="1712"/>
      <c r="P479" s="1712"/>
      <c r="Q479" s="1712"/>
      <c r="R479" s="1712"/>
      <c r="S479" s="1712"/>
      <c r="T479" s="1712"/>
      <c r="U479" s="1712"/>
      <c r="V479" s="1712"/>
      <c r="W479" s="1712"/>
      <c r="X479" s="1712"/>
      <c r="Y479" s="1712"/>
      <c r="Z479" s="1712"/>
      <c r="AA479" s="1712"/>
    </row>
    <row r="480" s="2425" customFormat="1" customHeight="1" spans="10:27">
      <c r="J480" s="2427"/>
      <c r="K480" s="1712"/>
      <c r="L480" s="1712"/>
      <c r="M480" s="1712"/>
      <c r="N480" s="1712"/>
      <c r="O480" s="1712"/>
      <c r="P480" s="1712"/>
      <c r="Q480" s="1712"/>
      <c r="R480" s="1712"/>
      <c r="S480" s="1712"/>
      <c r="T480" s="1712"/>
      <c r="U480" s="1712"/>
      <c r="V480" s="1712"/>
      <c r="W480" s="1712"/>
      <c r="X480" s="1712"/>
      <c r="Y480" s="1712"/>
      <c r="Z480" s="1712"/>
      <c r="AA480" s="1712"/>
    </row>
    <row r="481" s="2425" customFormat="1" customHeight="1" spans="10:27">
      <c r="J481" s="2427"/>
      <c r="K481" s="1712"/>
      <c r="L481" s="1712"/>
      <c r="M481" s="1712"/>
      <c r="N481" s="1712"/>
      <c r="O481" s="1712"/>
      <c r="P481" s="1712"/>
      <c r="Q481" s="1712"/>
      <c r="R481" s="1712"/>
      <c r="S481" s="1712"/>
      <c r="T481" s="1712"/>
      <c r="U481" s="1712"/>
      <c r="V481" s="1712"/>
      <c r="W481" s="1712"/>
      <c r="X481" s="1712"/>
      <c r="Y481" s="1712"/>
      <c r="Z481" s="1712"/>
      <c r="AA481" s="1712"/>
    </row>
    <row r="482" s="2425" customFormat="1" customHeight="1" spans="10:27">
      <c r="J482" s="2427"/>
      <c r="K482" s="1712"/>
      <c r="L482" s="1712"/>
      <c r="M482" s="1712"/>
      <c r="N482" s="1712"/>
      <c r="O482" s="1712"/>
      <c r="P482" s="1712"/>
      <c r="Q482" s="1712"/>
      <c r="R482" s="1712"/>
      <c r="S482" s="1712"/>
      <c r="T482" s="1712"/>
      <c r="U482" s="1712"/>
      <c r="V482" s="1712"/>
      <c r="W482" s="1712"/>
      <c r="X482" s="1712"/>
      <c r="Y482" s="1712"/>
      <c r="Z482" s="1712"/>
      <c r="AA482" s="1712"/>
    </row>
    <row r="483" s="2425" customFormat="1" customHeight="1" spans="10:27">
      <c r="J483" s="2427"/>
      <c r="K483" s="1712"/>
      <c r="L483" s="1712"/>
      <c r="M483" s="1712"/>
      <c r="N483" s="1712"/>
      <c r="O483" s="1712"/>
      <c r="P483" s="1712"/>
      <c r="Q483" s="1712"/>
      <c r="R483" s="1712"/>
      <c r="S483" s="1712"/>
      <c r="T483" s="1712"/>
      <c r="U483" s="1712"/>
      <c r="V483" s="1712"/>
      <c r="W483" s="1712"/>
      <c r="X483" s="1712"/>
      <c r="Y483" s="1712"/>
      <c r="Z483" s="1712"/>
      <c r="AA483" s="1712"/>
    </row>
    <row r="484" s="2425" customFormat="1" customHeight="1" spans="10:27">
      <c r="J484" s="2427"/>
      <c r="K484" s="1712"/>
      <c r="L484" s="1712"/>
      <c r="M484" s="1712"/>
      <c r="N484" s="1712"/>
      <c r="O484" s="1712"/>
      <c r="P484" s="1712"/>
      <c r="Q484" s="1712"/>
      <c r="R484" s="1712"/>
      <c r="S484" s="1712"/>
      <c r="T484" s="1712"/>
      <c r="U484" s="1712"/>
      <c r="V484" s="1712"/>
      <c r="W484" s="1712"/>
      <c r="X484" s="1712"/>
      <c r="Y484" s="1712"/>
      <c r="Z484" s="1712"/>
      <c r="AA484" s="1712"/>
    </row>
    <row r="485" s="2425" customFormat="1" customHeight="1" spans="10:27">
      <c r="J485" s="2427"/>
      <c r="K485" s="1712"/>
      <c r="L485" s="1712"/>
      <c r="M485" s="1712"/>
      <c r="N485" s="1712"/>
      <c r="O485" s="1712"/>
      <c r="P485" s="1712"/>
      <c r="Q485" s="1712"/>
      <c r="R485" s="1712"/>
      <c r="S485" s="1712"/>
      <c r="T485" s="1712"/>
      <c r="U485" s="1712"/>
      <c r="V485" s="1712"/>
      <c r="W485" s="1712"/>
      <c r="X485" s="1712"/>
      <c r="Y485" s="1712"/>
      <c r="Z485" s="1712"/>
      <c r="AA485" s="1712"/>
    </row>
    <row r="486" s="2425" customFormat="1" customHeight="1" spans="10:27">
      <c r="J486" s="2427"/>
      <c r="K486" s="1712"/>
      <c r="L486" s="1712"/>
      <c r="M486" s="1712"/>
      <c r="N486" s="1712"/>
      <c r="O486" s="1712"/>
      <c r="P486" s="1712"/>
      <c r="Q486" s="1712"/>
      <c r="R486" s="1712"/>
      <c r="S486" s="1712"/>
      <c r="T486" s="1712"/>
      <c r="U486" s="1712"/>
      <c r="V486" s="1712"/>
      <c r="W486" s="1712"/>
      <c r="X486" s="1712"/>
      <c r="Y486" s="1712"/>
      <c r="Z486" s="1712"/>
      <c r="AA486" s="1712"/>
    </row>
    <row r="487" s="2425" customFormat="1" customHeight="1" spans="10:27">
      <c r="J487" s="2427"/>
      <c r="K487" s="1712"/>
      <c r="L487" s="1712"/>
      <c r="M487" s="1712"/>
      <c r="N487" s="1712"/>
      <c r="O487" s="1712"/>
      <c r="P487" s="1712"/>
      <c r="Q487" s="1712"/>
      <c r="R487" s="1712"/>
      <c r="S487" s="1712"/>
      <c r="T487" s="1712"/>
      <c r="U487" s="1712"/>
      <c r="V487" s="1712"/>
      <c r="W487" s="1712"/>
      <c r="X487" s="1712"/>
      <c r="Y487" s="1712"/>
      <c r="Z487" s="1712"/>
      <c r="AA487" s="1712"/>
    </row>
    <row r="488" s="2425" customFormat="1" customHeight="1" spans="10:27">
      <c r="J488" s="2427"/>
      <c r="K488" s="1712"/>
      <c r="L488" s="1712"/>
      <c r="M488" s="1712"/>
      <c r="N488" s="1712"/>
      <c r="O488" s="1712"/>
      <c r="P488" s="1712"/>
      <c r="Q488" s="1712"/>
      <c r="R488" s="1712"/>
      <c r="S488" s="1712"/>
      <c r="T488" s="1712"/>
      <c r="U488" s="1712"/>
      <c r="V488" s="1712"/>
      <c r="W488" s="1712"/>
      <c r="X488" s="1712"/>
      <c r="Y488" s="1712"/>
      <c r="Z488" s="1712"/>
      <c r="AA488" s="1712"/>
    </row>
    <row r="489" s="2425" customFormat="1" customHeight="1" spans="10:27">
      <c r="J489" s="2427"/>
      <c r="K489" s="1712"/>
      <c r="L489" s="1712"/>
      <c r="M489" s="1712"/>
      <c r="N489" s="1712"/>
      <c r="O489" s="1712"/>
      <c r="P489" s="1712"/>
      <c r="Q489" s="1712"/>
      <c r="R489" s="1712"/>
      <c r="S489" s="1712"/>
      <c r="T489" s="1712"/>
      <c r="U489" s="1712"/>
      <c r="V489" s="1712"/>
      <c r="W489" s="1712"/>
      <c r="X489" s="1712"/>
      <c r="Y489" s="1712"/>
      <c r="Z489" s="1712"/>
      <c r="AA489" s="1712"/>
    </row>
    <row r="490" s="2425" customFormat="1" customHeight="1" spans="10:27">
      <c r="J490" s="2427"/>
      <c r="K490" s="1712"/>
      <c r="L490" s="1712"/>
      <c r="M490" s="1712"/>
      <c r="N490" s="1712"/>
      <c r="O490" s="1712"/>
      <c r="P490" s="1712"/>
      <c r="Q490" s="1712"/>
      <c r="R490" s="1712"/>
      <c r="S490" s="1712"/>
      <c r="T490" s="1712"/>
      <c r="U490" s="1712"/>
      <c r="V490" s="1712"/>
      <c r="W490" s="1712"/>
      <c r="X490" s="1712"/>
      <c r="Y490" s="1712"/>
      <c r="Z490" s="1712"/>
      <c r="AA490" s="1712"/>
    </row>
    <row r="491" s="2425" customFormat="1" customHeight="1" spans="10:27">
      <c r="J491" s="2427"/>
      <c r="K491" s="1712"/>
      <c r="L491" s="1712"/>
      <c r="M491" s="1712"/>
      <c r="N491" s="1712"/>
      <c r="O491" s="1712"/>
      <c r="P491" s="1712"/>
      <c r="Q491" s="1712"/>
      <c r="R491" s="1712"/>
      <c r="S491" s="1712"/>
      <c r="T491" s="1712"/>
      <c r="U491" s="1712"/>
      <c r="V491" s="1712"/>
      <c r="W491" s="1712"/>
      <c r="X491" s="1712"/>
      <c r="Y491" s="1712"/>
      <c r="Z491" s="1712"/>
      <c r="AA491" s="1712"/>
    </row>
    <row r="492" s="2425" customFormat="1" customHeight="1" spans="10:27">
      <c r="J492" s="2427"/>
      <c r="K492" s="1712"/>
      <c r="L492" s="1712"/>
      <c r="M492" s="1712"/>
      <c r="N492" s="1712"/>
      <c r="O492" s="1712"/>
      <c r="P492" s="1712"/>
      <c r="Q492" s="1712"/>
      <c r="R492" s="1712"/>
      <c r="S492" s="1712"/>
      <c r="T492" s="1712"/>
      <c r="U492" s="1712"/>
      <c r="V492" s="1712"/>
      <c r="W492" s="1712"/>
      <c r="X492" s="1712"/>
      <c r="Y492" s="1712"/>
      <c r="Z492" s="1712"/>
      <c r="AA492" s="1712"/>
    </row>
    <row r="493" s="2425" customFormat="1" customHeight="1" spans="10:27">
      <c r="J493" s="2427"/>
      <c r="K493" s="1712"/>
      <c r="L493" s="1712"/>
      <c r="M493" s="1712"/>
      <c r="N493" s="1712"/>
      <c r="O493" s="1712"/>
      <c r="P493" s="1712"/>
      <c r="Q493" s="1712"/>
      <c r="R493" s="1712"/>
      <c r="S493" s="1712"/>
      <c r="T493" s="1712"/>
      <c r="U493" s="1712"/>
      <c r="V493" s="1712"/>
      <c r="W493" s="1712"/>
      <c r="X493" s="1712"/>
      <c r="Y493" s="1712"/>
      <c r="Z493" s="1712"/>
      <c r="AA493" s="1712"/>
    </row>
    <row r="494" s="2425" customFormat="1" customHeight="1" spans="10:27">
      <c r="J494" s="2427"/>
      <c r="K494" s="1712"/>
      <c r="L494" s="1712"/>
      <c r="M494" s="1712"/>
      <c r="N494" s="1712"/>
      <c r="O494" s="1712"/>
      <c r="P494" s="1712"/>
      <c r="Q494" s="1712"/>
      <c r="R494" s="1712"/>
      <c r="S494" s="1712"/>
      <c r="T494" s="1712"/>
      <c r="U494" s="1712"/>
      <c r="V494" s="1712"/>
      <c r="W494" s="1712"/>
      <c r="X494" s="1712"/>
      <c r="Y494" s="1712"/>
      <c r="Z494" s="1712"/>
      <c r="AA494" s="1712"/>
    </row>
    <row r="495" s="2425" customFormat="1" customHeight="1" spans="10:27">
      <c r="J495" s="2427"/>
      <c r="K495" s="1712"/>
      <c r="L495" s="1712"/>
      <c r="M495" s="1712"/>
      <c r="N495" s="1712"/>
      <c r="O495" s="1712"/>
      <c r="P495" s="1712"/>
      <c r="Q495" s="1712"/>
      <c r="R495" s="1712"/>
      <c r="S495" s="1712"/>
      <c r="T495" s="1712"/>
      <c r="U495" s="1712"/>
      <c r="V495" s="1712"/>
      <c r="W495" s="1712"/>
      <c r="X495" s="1712"/>
      <c r="Y495" s="1712"/>
      <c r="Z495" s="1712"/>
      <c r="AA495" s="1712"/>
    </row>
    <row r="496" s="2425" customFormat="1" customHeight="1" spans="10:27">
      <c r="J496" s="2427"/>
      <c r="K496" s="1712"/>
      <c r="L496" s="1712"/>
      <c r="M496" s="1712"/>
      <c r="N496" s="1712"/>
      <c r="O496" s="1712"/>
      <c r="P496" s="1712"/>
      <c r="Q496" s="1712"/>
      <c r="R496" s="1712"/>
      <c r="S496" s="1712"/>
      <c r="T496" s="1712"/>
      <c r="U496" s="1712"/>
      <c r="V496" s="1712"/>
      <c r="W496" s="1712"/>
      <c r="X496" s="1712"/>
      <c r="Y496" s="1712"/>
      <c r="Z496" s="1712"/>
      <c r="AA496" s="1712"/>
    </row>
    <row r="497" s="2425" customFormat="1" customHeight="1" spans="10:27">
      <c r="J497" s="2427"/>
      <c r="K497" s="1712"/>
      <c r="L497" s="1712"/>
      <c r="M497" s="1712"/>
      <c r="N497" s="1712"/>
      <c r="O497" s="1712"/>
      <c r="P497" s="1712"/>
      <c r="Q497" s="1712"/>
      <c r="R497" s="1712"/>
      <c r="S497" s="1712"/>
      <c r="T497" s="1712"/>
      <c r="U497" s="1712"/>
      <c r="V497" s="1712"/>
      <c r="W497" s="1712"/>
      <c r="X497" s="1712"/>
      <c r="Y497" s="1712"/>
      <c r="Z497" s="1712"/>
      <c r="AA497" s="1712"/>
    </row>
    <row r="498" s="2425" customFormat="1" customHeight="1" spans="10:27">
      <c r="J498" s="2427"/>
      <c r="K498" s="1712"/>
      <c r="L498" s="1712"/>
      <c r="M498" s="1712"/>
      <c r="N498" s="1712"/>
      <c r="O498" s="1712"/>
      <c r="P498" s="1712"/>
      <c r="Q498" s="1712"/>
      <c r="R498" s="1712"/>
      <c r="S498" s="1712"/>
      <c r="T498" s="1712"/>
      <c r="U498" s="1712"/>
      <c r="V498" s="1712"/>
      <c r="W498" s="1712"/>
      <c r="X498" s="1712"/>
      <c r="Y498" s="1712"/>
      <c r="Z498" s="1712"/>
      <c r="AA498" s="1712"/>
    </row>
    <row r="499" s="2425" customFormat="1" customHeight="1" spans="10:27">
      <c r="J499" s="2427"/>
      <c r="K499" s="1712"/>
      <c r="L499" s="1712"/>
      <c r="M499" s="1712"/>
      <c r="N499" s="1712"/>
      <c r="O499" s="1712"/>
      <c r="P499" s="1712"/>
      <c r="Q499" s="1712"/>
      <c r="R499" s="1712"/>
      <c r="S499" s="1712"/>
      <c r="T499" s="1712"/>
      <c r="U499" s="1712"/>
      <c r="V499" s="1712"/>
      <c r="W499" s="1712"/>
      <c r="X499" s="1712"/>
      <c r="Y499" s="1712"/>
      <c r="Z499" s="1712"/>
      <c r="AA499" s="1712"/>
    </row>
    <row r="500" s="2425" customFormat="1" customHeight="1" spans="10:27">
      <c r="J500" s="2427"/>
      <c r="K500" s="1712"/>
      <c r="L500" s="1712"/>
      <c r="M500" s="1712"/>
      <c r="N500" s="1712"/>
      <c r="O500" s="1712"/>
      <c r="P500" s="1712"/>
      <c r="Q500" s="1712"/>
      <c r="R500" s="1712"/>
      <c r="S500" s="1712"/>
      <c r="T500" s="1712"/>
      <c r="U500" s="1712"/>
      <c r="V500" s="1712"/>
      <c r="W500" s="1712"/>
      <c r="X500" s="1712"/>
      <c r="Y500" s="1712"/>
      <c r="Z500" s="1712"/>
      <c r="AA500" s="1712"/>
    </row>
    <row r="501" s="2425" customFormat="1" customHeight="1" spans="10:27">
      <c r="J501" s="2427"/>
      <c r="K501" s="1712"/>
      <c r="L501" s="1712"/>
      <c r="M501" s="1712"/>
      <c r="N501" s="1712"/>
      <c r="O501" s="1712"/>
      <c r="P501" s="1712"/>
      <c r="Q501" s="1712"/>
      <c r="R501" s="1712"/>
      <c r="S501" s="1712"/>
      <c r="T501" s="1712"/>
      <c r="U501" s="1712"/>
      <c r="V501" s="1712"/>
      <c r="W501" s="1712"/>
      <c r="X501" s="1712"/>
      <c r="Y501" s="1712"/>
      <c r="Z501" s="1712"/>
      <c r="AA501" s="1712"/>
    </row>
    <row r="502" s="2425" customFormat="1" customHeight="1" spans="10:27">
      <c r="J502" s="2427"/>
      <c r="K502" s="1712"/>
      <c r="L502" s="1712"/>
      <c r="M502" s="1712"/>
      <c r="N502" s="1712"/>
      <c r="O502" s="1712"/>
      <c r="P502" s="1712"/>
      <c r="Q502" s="1712"/>
      <c r="R502" s="1712"/>
      <c r="S502" s="1712"/>
      <c r="T502" s="1712"/>
      <c r="U502" s="1712"/>
      <c r="V502" s="1712"/>
      <c r="W502" s="1712"/>
      <c r="X502" s="1712"/>
      <c r="Y502" s="1712"/>
      <c r="Z502" s="1712"/>
      <c r="AA502" s="1712"/>
    </row>
    <row r="503" s="2425" customFormat="1" customHeight="1" spans="10:27">
      <c r="J503" s="2427"/>
      <c r="K503" s="1712"/>
      <c r="L503" s="1712"/>
      <c r="M503" s="1712"/>
      <c r="N503" s="1712"/>
      <c r="O503" s="1712"/>
      <c r="P503" s="1712"/>
      <c r="Q503" s="1712"/>
      <c r="R503" s="1712"/>
      <c r="S503" s="1712"/>
      <c r="T503" s="1712"/>
      <c r="U503" s="1712"/>
      <c r="V503" s="1712"/>
      <c r="W503" s="1712"/>
      <c r="X503" s="1712"/>
      <c r="Y503" s="1712"/>
      <c r="Z503" s="1712"/>
      <c r="AA503" s="1712"/>
    </row>
    <row r="504" s="2425" customFormat="1" customHeight="1" spans="10:27">
      <c r="J504" s="2427"/>
      <c r="K504" s="1712"/>
      <c r="L504" s="1712"/>
      <c r="M504" s="1712"/>
      <c r="N504" s="1712"/>
      <c r="O504" s="1712"/>
      <c r="P504" s="1712"/>
      <c r="Q504" s="1712"/>
      <c r="R504" s="1712"/>
      <c r="S504" s="1712"/>
      <c r="T504" s="1712"/>
      <c r="U504" s="1712"/>
      <c r="V504" s="1712"/>
      <c r="W504" s="1712"/>
      <c r="X504" s="1712"/>
      <c r="Y504" s="1712"/>
      <c r="Z504" s="1712"/>
      <c r="AA504" s="1712"/>
    </row>
    <row r="505" s="2425" customFormat="1" customHeight="1" spans="10:27">
      <c r="J505" s="2427"/>
      <c r="K505" s="1712"/>
      <c r="L505" s="1712"/>
      <c r="M505" s="1712"/>
      <c r="N505" s="1712"/>
      <c r="O505" s="1712"/>
      <c r="P505" s="1712"/>
      <c r="Q505" s="1712"/>
      <c r="R505" s="1712"/>
      <c r="S505" s="1712"/>
      <c r="T505" s="1712"/>
      <c r="U505" s="1712"/>
      <c r="V505" s="1712"/>
      <c r="W505" s="1712"/>
      <c r="X505" s="1712"/>
      <c r="Y505" s="1712"/>
      <c r="Z505" s="1712"/>
      <c r="AA505" s="1712"/>
    </row>
    <row r="506" s="2425" customFormat="1" customHeight="1" spans="10:27">
      <c r="J506" s="2427"/>
      <c r="K506" s="1712"/>
      <c r="L506" s="1712"/>
      <c r="M506" s="1712"/>
      <c r="N506" s="1712"/>
      <c r="O506" s="1712"/>
      <c r="P506" s="1712"/>
      <c r="Q506" s="1712"/>
      <c r="R506" s="1712"/>
      <c r="S506" s="1712"/>
      <c r="T506" s="1712"/>
      <c r="U506" s="1712"/>
      <c r="V506" s="1712"/>
      <c r="W506" s="1712"/>
      <c r="X506" s="1712"/>
      <c r="Y506" s="1712"/>
      <c r="Z506" s="1712"/>
      <c r="AA506" s="1712"/>
    </row>
    <row r="507" s="2425" customFormat="1" customHeight="1" spans="10:27">
      <c r="J507" s="2427"/>
      <c r="K507" s="1712"/>
      <c r="L507" s="1712"/>
      <c r="M507" s="1712"/>
      <c r="N507" s="1712"/>
      <c r="O507" s="1712"/>
      <c r="P507" s="1712"/>
      <c r="Q507" s="1712"/>
      <c r="R507" s="1712"/>
      <c r="S507" s="1712"/>
      <c r="T507" s="1712"/>
      <c r="U507" s="1712"/>
      <c r="V507" s="1712"/>
      <c r="W507" s="1712"/>
      <c r="X507" s="1712"/>
      <c r="Y507" s="1712"/>
      <c r="Z507" s="1712"/>
      <c r="AA507" s="1712"/>
    </row>
    <row r="508" s="2425" customFormat="1" customHeight="1" spans="10:27">
      <c r="J508" s="2427"/>
      <c r="K508" s="1712"/>
      <c r="L508" s="1712"/>
      <c r="M508" s="1712"/>
      <c r="N508" s="1712"/>
      <c r="O508" s="1712"/>
      <c r="P508" s="1712"/>
      <c r="Q508" s="1712"/>
      <c r="R508" s="1712"/>
      <c r="S508" s="1712"/>
      <c r="T508" s="1712"/>
      <c r="U508" s="1712"/>
      <c r="V508" s="1712"/>
      <c r="W508" s="1712"/>
      <c r="X508" s="1712"/>
      <c r="Y508" s="1712"/>
      <c r="Z508" s="1712"/>
      <c r="AA508" s="1712"/>
    </row>
    <row r="509" s="2425" customFormat="1" customHeight="1" spans="10:27">
      <c r="J509" s="2427"/>
      <c r="K509" s="1712"/>
      <c r="L509" s="1712"/>
      <c r="M509" s="1712"/>
      <c r="N509" s="1712"/>
      <c r="O509" s="1712"/>
      <c r="P509" s="1712"/>
      <c r="Q509" s="1712"/>
      <c r="R509" s="1712"/>
      <c r="S509" s="1712"/>
      <c r="T509" s="1712"/>
      <c r="U509" s="1712"/>
      <c r="V509" s="1712"/>
      <c r="W509" s="1712"/>
      <c r="X509" s="1712"/>
      <c r="Y509" s="1712"/>
      <c r="Z509" s="1712"/>
      <c r="AA509" s="1712"/>
    </row>
    <row r="510" s="2425" customFormat="1" customHeight="1" spans="10:27">
      <c r="J510" s="2427"/>
      <c r="K510" s="1712"/>
      <c r="L510" s="1712"/>
      <c r="M510" s="1712"/>
      <c r="N510" s="1712"/>
      <c r="O510" s="1712"/>
      <c r="P510" s="1712"/>
      <c r="Q510" s="1712"/>
      <c r="R510" s="1712"/>
      <c r="S510" s="1712"/>
      <c r="T510" s="1712"/>
      <c r="U510" s="1712"/>
      <c r="V510" s="1712"/>
      <c r="W510" s="1712"/>
      <c r="X510" s="1712"/>
      <c r="Y510" s="1712"/>
      <c r="Z510" s="1712"/>
      <c r="AA510" s="1712"/>
    </row>
    <row r="511" s="2425" customFormat="1" customHeight="1" spans="10:27">
      <c r="J511" s="2427"/>
      <c r="K511" s="1712"/>
      <c r="L511" s="1712"/>
      <c r="M511" s="1712"/>
      <c r="N511" s="1712"/>
      <c r="O511" s="1712"/>
      <c r="P511" s="1712"/>
      <c r="Q511" s="1712"/>
      <c r="R511" s="1712"/>
      <c r="S511" s="1712"/>
      <c r="T511" s="1712"/>
      <c r="U511" s="1712"/>
      <c r="V511" s="1712"/>
      <c r="W511" s="1712"/>
      <c r="X511" s="1712"/>
      <c r="Y511" s="1712"/>
      <c r="Z511" s="1712"/>
      <c r="AA511" s="1712"/>
    </row>
    <row r="512" s="2425" customFormat="1" customHeight="1" spans="10:27">
      <c r="J512" s="2427"/>
      <c r="K512" s="1712"/>
      <c r="L512" s="1712"/>
      <c r="M512" s="1712"/>
      <c r="N512" s="1712"/>
      <c r="O512" s="1712"/>
      <c r="P512" s="1712"/>
      <c r="Q512" s="1712"/>
      <c r="R512" s="1712"/>
      <c r="S512" s="1712"/>
      <c r="T512" s="1712"/>
      <c r="U512" s="1712"/>
      <c r="V512" s="1712"/>
      <c r="W512" s="1712"/>
      <c r="X512" s="1712"/>
      <c r="Y512" s="1712"/>
      <c r="Z512" s="1712"/>
      <c r="AA512" s="1712"/>
    </row>
    <row r="513" s="2425" customFormat="1" customHeight="1" spans="10:27">
      <c r="J513" s="2427"/>
      <c r="K513" s="1712"/>
      <c r="L513" s="1712"/>
      <c r="M513" s="1712"/>
      <c r="N513" s="1712"/>
      <c r="O513" s="1712"/>
      <c r="P513" s="1712"/>
      <c r="Q513" s="1712"/>
      <c r="R513" s="1712"/>
      <c r="S513" s="1712"/>
      <c r="T513" s="1712"/>
      <c r="U513" s="1712"/>
      <c r="V513" s="1712"/>
      <c r="W513" s="1712"/>
      <c r="X513" s="1712"/>
      <c r="Y513" s="1712"/>
      <c r="Z513" s="1712"/>
      <c r="AA513" s="1712"/>
    </row>
    <row r="514" s="2425" customFormat="1" customHeight="1" spans="10:27">
      <c r="J514" s="2427"/>
      <c r="K514" s="1712"/>
      <c r="L514" s="1712"/>
      <c r="M514" s="1712"/>
      <c r="N514" s="1712"/>
      <c r="O514" s="1712"/>
      <c r="P514" s="1712"/>
      <c r="Q514" s="1712"/>
      <c r="R514" s="1712"/>
      <c r="S514" s="1712"/>
      <c r="T514" s="1712"/>
      <c r="U514" s="1712"/>
      <c r="V514" s="1712"/>
      <c r="W514" s="1712"/>
      <c r="X514" s="1712"/>
      <c r="Y514" s="1712"/>
      <c r="Z514" s="1712"/>
      <c r="AA514" s="1712"/>
    </row>
    <row r="515" s="2425" customFormat="1" customHeight="1" spans="10:27">
      <c r="J515" s="2427"/>
      <c r="K515" s="1712"/>
      <c r="L515" s="1712"/>
      <c r="M515" s="1712"/>
      <c r="N515" s="1712"/>
      <c r="O515" s="1712"/>
      <c r="P515" s="1712"/>
      <c r="Q515" s="1712"/>
      <c r="R515" s="1712"/>
      <c r="S515" s="1712"/>
      <c r="T515" s="1712"/>
      <c r="U515" s="1712"/>
      <c r="V515" s="1712"/>
      <c r="W515" s="1712"/>
      <c r="X515" s="1712"/>
      <c r="Y515" s="1712"/>
      <c r="Z515" s="1712"/>
      <c r="AA515" s="1712"/>
    </row>
    <row r="516" s="2425" customFormat="1" customHeight="1" spans="10:27">
      <c r="J516" s="2427"/>
      <c r="K516" s="1712"/>
      <c r="L516" s="1712"/>
      <c r="M516" s="1712"/>
      <c r="N516" s="1712"/>
      <c r="O516" s="1712"/>
      <c r="P516" s="1712"/>
      <c r="Q516" s="1712"/>
      <c r="R516" s="1712"/>
      <c r="S516" s="1712"/>
      <c r="T516" s="1712"/>
      <c r="U516" s="1712"/>
      <c r="V516" s="1712"/>
      <c r="W516" s="1712"/>
      <c r="X516" s="1712"/>
      <c r="Y516" s="1712"/>
      <c r="Z516" s="1712"/>
      <c r="AA516" s="1712"/>
    </row>
    <row r="517" s="2425" customFormat="1" customHeight="1" spans="10:27">
      <c r="J517" s="2427"/>
      <c r="K517" s="1712"/>
      <c r="L517" s="1712"/>
      <c r="M517" s="1712"/>
      <c r="N517" s="1712"/>
      <c r="O517" s="1712"/>
      <c r="P517" s="1712"/>
      <c r="Q517" s="1712"/>
      <c r="R517" s="1712"/>
      <c r="S517" s="1712"/>
      <c r="T517" s="1712"/>
      <c r="U517" s="1712"/>
      <c r="V517" s="1712"/>
      <c r="W517" s="1712"/>
      <c r="X517" s="1712"/>
      <c r="Y517" s="1712"/>
      <c r="Z517" s="1712"/>
      <c r="AA517" s="1712"/>
    </row>
    <row r="518" s="2425" customFormat="1" customHeight="1" spans="10:27">
      <c r="J518" s="2427"/>
      <c r="K518" s="1712"/>
      <c r="L518" s="1712"/>
      <c r="M518" s="1712"/>
      <c r="N518" s="1712"/>
      <c r="O518" s="1712"/>
      <c r="P518" s="1712"/>
      <c r="Q518" s="1712"/>
      <c r="R518" s="1712"/>
      <c r="S518" s="1712"/>
      <c r="T518" s="1712"/>
      <c r="U518" s="1712"/>
      <c r="V518" s="1712"/>
      <c r="W518" s="1712"/>
      <c r="X518" s="1712"/>
      <c r="Y518" s="1712"/>
      <c r="Z518" s="1712"/>
      <c r="AA518" s="1712"/>
    </row>
    <row r="519" s="2425" customFormat="1" customHeight="1" spans="10:27">
      <c r="J519" s="2427"/>
      <c r="K519" s="1712"/>
      <c r="L519" s="1712"/>
      <c r="M519" s="1712"/>
      <c r="N519" s="1712"/>
      <c r="O519" s="1712"/>
      <c r="P519" s="1712"/>
      <c r="Q519" s="1712"/>
      <c r="R519" s="1712"/>
      <c r="S519" s="1712"/>
      <c r="T519" s="1712"/>
      <c r="U519" s="1712"/>
      <c r="V519" s="1712"/>
      <c r="W519" s="1712"/>
      <c r="X519" s="1712"/>
      <c r="Y519" s="1712"/>
      <c r="Z519" s="1712"/>
      <c r="AA519" s="1712"/>
    </row>
    <row r="520" s="2425" customFormat="1" customHeight="1" spans="6:27">
      <c r="F520" s="2426"/>
      <c r="G520" s="2426"/>
      <c r="H520" s="2426"/>
      <c r="I520" s="2426"/>
      <c r="J520" s="2427"/>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"100%,80%,60%,64%"</formula1>
    </dataValidation>
    <dataValidation type="list" allowBlank="1" showInputMessage="1" showErrorMessage="1" sqref="G79">
      <formula1>"个人住宅,2016年5月1日前购买,2016年5月1日后购买"</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B1" workbookViewId="0">
      <selection activeCell="D17" sqref="D17"/>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867</v>
      </c>
      <c r="C1" s="1578" t="s">
        <v>97</v>
      </c>
      <c r="D1" s="2333"/>
      <c r="E1" s="1579" t="s">
        <v>868</v>
      </c>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85" customFormat="1" ht="28.5" customHeight="1" spans="1:29">
      <c r="A2" s="1581" t="s">
        <v>870</v>
      </c>
      <c r="B2" s="1582">
        <f ca="1">IF(D2="——",IF(C2="元",ROUND(C49*D3,0),ROUND(C49*D3/10000,0)),IF(C2="元",ROUND(C49*D3,0),ROUND(C49*D3/10000,0))-E2)</f>
        <v>12196113</v>
      </c>
      <c r="C2" s="1583" t="str">
        <f>'数据-取费表'!B3</f>
        <v>元</v>
      </c>
      <c r="D2" s="1584" t="s">
        <v>121</v>
      </c>
      <c r="E2" s="2334" t="e">
        <f ca="1">SUMIF(INDIRECT("'"&amp;G2&amp;"'"&amp;"!A:A"),"承租人权益价值",INDIRECT("'"&amp;G2&amp;"'"&amp;"!c:c"))</f>
        <v>#REF!</v>
      </c>
      <c r="F2" s="1586" t="str">
        <f>C2</f>
        <v>元</v>
      </c>
      <c r="G2" s="1587"/>
      <c r="H2" s="2335"/>
      <c r="I2" s="2335"/>
      <c r="J2" s="2335"/>
      <c r="K2" s="2347"/>
      <c r="L2" s="2348"/>
      <c r="M2" s="2335"/>
      <c r="N2" s="2335"/>
      <c r="O2" s="2335"/>
      <c r="P2" s="2349"/>
      <c r="Q2" s="1094"/>
      <c r="R2" s="1094"/>
      <c r="S2" s="1094"/>
      <c r="T2" s="1094"/>
      <c r="U2" s="1094"/>
      <c r="V2" s="1094"/>
      <c r="W2" s="1094"/>
      <c r="X2" s="1094"/>
      <c r="Y2" s="1094"/>
      <c r="Z2" s="1094"/>
      <c r="AA2" s="1094"/>
      <c r="AB2" s="1094"/>
      <c r="AC2" s="2370"/>
    </row>
    <row r="3" s="2085" customFormat="1" ht="28.5" customHeight="1" spans="1:29">
      <c r="A3" s="402" t="s">
        <v>871</v>
      </c>
      <c r="B3" s="1588">
        <f ca="1">ROUND(IF(D2="——",C49,IF(C2="万元",B2*10000/D3,B2/D3)),0)</f>
        <v>74028</v>
      </c>
      <c r="C3" s="1588" t="s">
        <v>872</v>
      </c>
      <c r="D3" s="1588">
        <f>IF(C1="仅计算典型户型",'数据-取费表'!E5,'数据-取费表'!B5)</f>
        <v>164.75</v>
      </c>
      <c r="E3" s="2335"/>
      <c r="F3" s="2336"/>
      <c r="G3" s="2335"/>
      <c r="H3" s="2335"/>
      <c r="I3" s="2335"/>
      <c r="J3" s="2335"/>
      <c r="K3" s="2347"/>
      <c r="L3" s="2348"/>
      <c r="M3" s="2335"/>
      <c r="N3" s="2335"/>
      <c r="O3" s="2335"/>
      <c r="P3" s="2350"/>
      <c r="Q3" s="1094"/>
      <c r="R3" s="1094"/>
      <c r="S3" s="1094"/>
      <c r="T3" s="1094"/>
      <c r="U3" s="1094"/>
      <c r="V3" s="1094"/>
      <c r="W3" s="1094"/>
      <c r="X3" s="1094"/>
      <c r="Y3" s="1094"/>
      <c r="Z3" s="1094"/>
      <c r="AA3" s="1094"/>
      <c r="AB3" s="1094"/>
      <c r="AC3" s="2371"/>
    </row>
    <row r="4" ht="15" spans="1:29">
      <c r="A4" s="1098" t="s">
        <v>873</v>
      </c>
      <c r="B4" s="1099"/>
      <c r="C4" s="602" t="s">
        <v>874</v>
      </c>
      <c r="D4" s="612"/>
      <c r="E4" s="1100" t="s">
        <v>875</v>
      </c>
      <c r="F4" s="1101"/>
      <c r="G4" s="602" t="s">
        <v>876</v>
      </c>
      <c r="H4" s="612"/>
      <c r="I4" s="602" t="s">
        <v>877</v>
      </c>
      <c r="J4" s="612"/>
      <c r="K4" s="2351"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2337" t="s">
        <v>880</v>
      </c>
      <c r="D5" s="1105"/>
      <c r="E5" s="1106" t="str">
        <f>C5</f>
        <v>东方银座</v>
      </c>
      <c r="F5" s="1107"/>
      <c r="G5" s="1104" t="str">
        <f>C5</f>
        <v>东方银座</v>
      </c>
      <c r="H5" s="1105"/>
      <c r="I5" s="1104" t="str">
        <f>C5</f>
        <v>东方银座</v>
      </c>
      <c r="J5" s="1105"/>
      <c r="K5" s="2352"/>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2352"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44490</v>
      </c>
      <c r="D7" s="1117">
        <v>100</v>
      </c>
      <c r="E7" s="1118">
        <v>44348</v>
      </c>
      <c r="F7" s="1119">
        <f>SUMIF(58:58,YEAR(E7)&amp;"-"&amp;MONTH(E7),59:59)</f>
        <v>100</v>
      </c>
      <c r="G7" s="1118">
        <v>44345</v>
      </c>
      <c r="H7" s="1117">
        <f>SUMIF(58:58,YEAR(G7)&amp;"-"&amp;MONTH(G7),59:59)</f>
        <v>100</v>
      </c>
      <c r="I7" s="1118">
        <v>44248</v>
      </c>
      <c r="J7" s="1117">
        <f>SUMIF(58:58,YEAR(I7)&amp;"-"&amp;MONTH(I7),59:59)</f>
        <v>99.5</v>
      </c>
      <c r="K7" s="2353"/>
      <c r="L7" s="1235"/>
      <c r="M7" s="1241"/>
      <c r="N7" s="1241"/>
      <c r="O7" s="1241"/>
      <c r="P7" s="1242" t="s">
        <v>884</v>
      </c>
      <c r="Q7" s="1289"/>
      <c r="R7" s="1290" t="s">
        <v>885</v>
      </c>
      <c r="S7" s="1291">
        <f t="shared" ref="S7:S15" si="0">F7</f>
        <v>100</v>
      </c>
      <c r="T7" s="1290" t="s">
        <v>885</v>
      </c>
      <c r="U7" s="1291">
        <f t="shared" ref="U7:U15" si="1">H7</f>
        <v>100</v>
      </c>
      <c r="V7" s="1290" t="s">
        <v>885</v>
      </c>
      <c r="W7" s="1291">
        <f t="shared" ref="W7:W15" si="2">J7</f>
        <v>99.5</v>
      </c>
      <c r="X7" s="1292"/>
      <c r="Y7" s="1242" t="s">
        <v>884</v>
      </c>
      <c r="Z7" s="1293"/>
      <c r="AA7" s="1310">
        <f>D7/F7</f>
        <v>1</v>
      </c>
      <c r="AB7" s="1310">
        <f>D7/H7</f>
        <v>1</v>
      </c>
      <c r="AC7" s="1310">
        <f>D7/J7</f>
        <v>1.00502512562814</v>
      </c>
    </row>
    <row r="8" s="1080" customFormat="1" ht="15.75" spans="1:29">
      <c r="A8" s="1114" t="s">
        <v>886</v>
      </c>
      <c r="B8" s="1115"/>
      <c r="C8" s="1121" t="s">
        <v>887</v>
      </c>
      <c r="D8" s="1117">
        <v>100</v>
      </c>
      <c r="E8" s="2338" t="s">
        <v>888</v>
      </c>
      <c r="F8" s="1119">
        <f>SUMIF(61:61,E8,62:62)-SUMIF(61:61,C8,62:62)+100</f>
        <v>100</v>
      </c>
      <c r="G8" s="1121" t="s">
        <v>888</v>
      </c>
      <c r="H8" s="1117">
        <f>SUMIF(61:61,G8,62:62)-SUMIF(61:61,C8,62:62)+100</f>
        <v>100</v>
      </c>
      <c r="I8" s="2338" t="s">
        <v>888</v>
      </c>
      <c r="J8" s="1117">
        <f>SUMIF(61:61,I8,62:62)-SUMIF(61:61,C8,62:62)+100</f>
        <v>100</v>
      </c>
      <c r="K8" s="2353"/>
      <c r="L8" s="1235"/>
      <c r="M8" s="1241"/>
      <c r="N8" s="1241"/>
      <c r="O8" s="1241"/>
      <c r="P8" s="1242" t="s">
        <v>889</v>
      </c>
      <c r="Q8" s="1293"/>
      <c r="R8" s="1290" t="s">
        <v>885</v>
      </c>
      <c r="S8" s="1291">
        <f t="shared" si="0"/>
        <v>100</v>
      </c>
      <c r="T8" s="1290" t="s">
        <v>885</v>
      </c>
      <c r="U8" s="1291">
        <f t="shared" si="1"/>
        <v>100</v>
      </c>
      <c r="V8" s="1290" t="s">
        <v>885</v>
      </c>
      <c r="W8" s="1291">
        <f t="shared" si="2"/>
        <v>100</v>
      </c>
      <c r="X8" s="1292"/>
      <c r="Y8" s="1242" t="s">
        <v>889</v>
      </c>
      <c r="Z8" s="1293"/>
      <c r="AA8" s="1310">
        <f t="shared" ref="AA8:AA46" si="3">D8/F8</f>
        <v>1</v>
      </c>
      <c r="AB8" s="1310">
        <f t="shared" ref="AB8:AB46" si="4">D8/H8</f>
        <v>1</v>
      </c>
      <c r="AC8" s="1310">
        <f t="shared" ref="AC8:AC46" si="5">D8/J8</f>
        <v>1</v>
      </c>
    </row>
    <row r="9" s="1080" customFormat="1" spans="1:29">
      <c r="A9" s="1122" t="s">
        <v>890</v>
      </c>
      <c r="B9" s="1123" t="s">
        <v>891</v>
      </c>
      <c r="C9" s="2339" t="s">
        <v>461</v>
      </c>
      <c r="D9" s="1125">
        <v>100</v>
      </c>
      <c r="E9" s="1591" t="s">
        <v>461</v>
      </c>
      <c r="F9" s="1665">
        <f>SUMIF(63:63,E9,64:64)-SUMIF(63:63,C9,64:64)+100</f>
        <v>100</v>
      </c>
      <c r="G9" s="1590" t="s">
        <v>461</v>
      </c>
      <c r="H9" s="1125">
        <f>SUMIF(63:63,G9,64:64)-SUMIF(63:63,C9,64:64)+100</f>
        <v>100</v>
      </c>
      <c r="I9" s="1590" t="s">
        <v>461</v>
      </c>
      <c r="J9" s="1125">
        <f>SUMIF(63:63,I9,64:64)-SUMIF(63:63,C9,64:64)+100</f>
        <v>100</v>
      </c>
      <c r="K9" s="2353"/>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2354"/>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54">
        <v>0</v>
      </c>
      <c r="L11" s="1249"/>
      <c r="M11" s="1236"/>
      <c r="N11" s="1236"/>
      <c r="O11" s="1236"/>
      <c r="P11" s="1686"/>
      <c r="Q11" s="1294" t="str">
        <f t="shared" si="6"/>
        <v>容积率</v>
      </c>
      <c r="R11" s="1290" t="s">
        <v>885</v>
      </c>
      <c r="S11" s="1291">
        <f t="shared" si="0"/>
        <v>100</v>
      </c>
      <c r="T11" s="1290" t="s">
        <v>885</v>
      </c>
      <c r="U11" s="1291">
        <f t="shared" si="1"/>
        <v>100</v>
      </c>
      <c r="V11" s="1290" t="s">
        <v>885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5"/>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5"/>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5"/>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480" t="s">
        <v>896</v>
      </c>
      <c r="B15" s="2340" t="s">
        <v>897</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6"/>
      <c r="L15" s="1251"/>
      <c r="M15" s="1236"/>
      <c r="N15" s="1236"/>
      <c r="O15" s="1236"/>
      <c r="P15" s="490" t="s">
        <v>898</v>
      </c>
      <c r="Q15" s="491" t="str">
        <f t="shared" si="6"/>
        <v>居住社区成熟度</v>
      </c>
      <c r="R15" s="1295" t="s">
        <v>885</v>
      </c>
      <c r="S15" s="1296">
        <f t="shared" si="0"/>
        <v>100</v>
      </c>
      <c r="T15" s="1295" t="s">
        <v>885</v>
      </c>
      <c r="U15" s="1296">
        <f t="shared" si="1"/>
        <v>100</v>
      </c>
      <c r="V15" s="1295" t="s">
        <v>885</v>
      </c>
      <c r="W15" s="1296">
        <f t="shared" si="2"/>
        <v>100</v>
      </c>
      <c r="X15" s="1282"/>
      <c r="Y15" s="1253" t="s">
        <v>898</v>
      </c>
      <c r="Z15" s="1281" t="str">
        <f t="shared" si="7"/>
        <v>居住社区成熟度</v>
      </c>
      <c r="AA15" s="1312">
        <f t="shared" si="3"/>
        <v>1</v>
      </c>
      <c r="AB15" s="1312">
        <f t="shared" si="4"/>
        <v>1</v>
      </c>
      <c r="AC15" s="1312">
        <f t="shared" si="5"/>
        <v>1</v>
      </c>
    </row>
    <row r="16" ht="15" spans="1:29">
      <c r="A16" s="504"/>
      <c r="B16" s="1669"/>
      <c r="C16" s="1258" t="s">
        <v>899</v>
      </c>
      <c r="D16" s="1151"/>
      <c r="E16" s="1152" t="s">
        <v>899</v>
      </c>
      <c r="F16" s="1670"/>
      <c r="G16" s="1169" t="s">
        <v>899</v>
      </c>
      <c r="H16" s="1153"/>
      <c r="I16" s="1152" t="s">
        <v>899</v>
      </c>
      <c r="J16" s="1151"/>
      <c r="K16" s="2357"/>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6"/>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t="s">
        <v>900</v>
      </c>
      <c r="D18" s="1153"/>
      <c r="E18" s="1160" t="s">
        <v>900</v>
      </c>
      <c r="F18" s="1673"/>
      <c r="G18" s="1255" t="s">
        <v>900</v>
      </c>
      <c r="H18" s="1151"/>
      <c r="I18" s="1160" t="s">
        <v>900</v>
      </c>
      <c r="J18" s="1151"/>
      <c r="K18" s="2357"/>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6"/>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t="s">
        <v>900</v>
      </c>
      <c r="D20" s="1151"/>
      <c r="E20" s="1152" t="s">
        <v>900</v>
      </c>
      <c r="F20" s="1670"/>
      <c r="G20" s="1169" t="s">
        <v>900</v>
      </c>
      <c r="H20" s="1151"/>
      <c r="I20" s="1152" t="s">
        <v>900</v>
      </c>
      <c r="J20" s="1151"/>
      <c r="K20" s="2357"/>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6"/>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901</v>
      </c>
      <c r="D22" s="1151"/>
      <c r="E22" s="1258" t="s">
        <v>901</v>
      </c>
      <c r="F22" s="1670"/>
      <c r="G22" s="1258" t="s">
        <v>901</v>
      </c>
      <c r="H22" s="1151"/>
      <c r="I22" s="1258" t="s">
        <v>901</v>
      </c>
      <c r="J22" s="1151"/>
      <c r="K22" s="2358"/>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902</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6"/>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t="s">
        <v>899</v>
      </c>
      <c r="D24" s="1151"/>
      <c r="E24" s="1152" t="s">
        <v>899</v>
      </c>
      <c r="F24" s="1670"/>
      <c r="G24" s="1169" t="s">
        <v>899</v>
      </c>
      <c r="H24" s="1151"/>
      <c r="I24" s="1152" t="s">
        <v>899</v>
      </c>
      <c r="J24" s="1151"/>
      <c r="K24" s="2357"/>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903</v>
      </c>
      <c r="C25" s="1612"/>
      <c r="D25" s="1138">
        <v>100</v>
      </c>
      <c r="E25" s="2341"/>
      <c r="F25" s="1609">
        <f>SUMIF(86:86,E25,87:87)-SUMIF(86:86,C25,87:87)+100</f>
        <v>100</v>
      </c>
      <c r="G25" s="1186"/>
      <c r="H25" s="1138">
        <f>SUMIF(86:86,G25,87:87)-SUMIF(86:86,C25,87:87)+100</f>
        <v>100</v>
      </c>
      <c r="I25" s="2341"/>
      <c r="J25" s="1138">
        <f>SUMIF(86:86,I25,87:87)-SUMIF(86:86,C25,87:87)+100</f>
        <v>100</v>
      </c>
      <c r="K25" s="2354"/>
      <c r="L25" s="1251"/>
      <c r="M25" s="1236"/>
      <c r="N25" s="1236"/>
      <c r="O25" s="1236"/>
      <c r="P25" s="1687"/>
      <c r="Q25" s="491" t="str">
        <f t="shared" ref="Q25:Q46" si="11">B25</f>
        <v>楼层-1</v>
      </c>
      <c r="R25" s="1295" t="s">
        <v>885</v>
      </c>
      <c r="S25" s="1296">
        <f>F25</f>
        <v>100</v>
      </c>
      <c r="T25" s="1295" t="s">
        <v>885</v>
      </c>
      <c r="U25" s="1296">
        <f>H25</f>
        <v>100</v>
      </c>
      <c r="V25" s="1295" t="s">
        <v>885</v>
      </c>
      <c r="W25" s="1296">
        <f>J25</f>
        <v>100</v>
      </c>
      <c r="X25" s="1282"/>
      <c r="Y25" s="1254"/>
      <c r="Z25" s="1281" t="str">
        <f>Q25</f>
        <v>楼层-1</v>
      </c>
      <c r="AA25" s="1312">
        <f t="shared" si="3"/>
        <v>1</v>
      </c>
      <c r="AB25" s="1312">
        <f t="shared" si="4"/>
        <v>1</v>
      </c>
      <c r="AC25" s="1312">
        <f t="shared" si="5"/>
        <v>1</v>
      </c>
    </row>
    <row r="26" ht="15" spans="1:29">
      <c r="A26" s="504"/>
      <c r="B26" s="1127" t="s">
        <v>904</v>
      </c>
      <c r="C26" s="1612" t="s">
        <v>905</v>
      </c>
      <c r="D26" s="1138">
        <v>100</v>
      </c>
      <c r="E26" s="2341" t="s">
        <v>906</v>
      </c>
      <c r="F26" s="1609">
        <f>SUMIF(88:88,E26,89:89)-SUMIF(88:88,C26,89:89)+100</f>
        <v>98.5</v>
      </c>
      <c r="G26" s="1186" t="s">
        <v>907</v>
      </c>
      <c r="H26" s="1138">
        <f>SUMIF(88:88,G26,89:89)-SUMIF(88:88,C26,89:89)+100</f>
        <v>100.5</v>
      </c>
      <c r="I26" s="2341" t="s">
        <v>908</v>
      </c>
      <c r="J26" s="1138">
        <f>SUMIF(88:88,I26,89:89)-SUMIF(88:88,C26,89:89)+100</f>
        <v>96.5</v>
      </c>
      <c r="K26" s="2354">
        <v>0.5</v>
      </c>
      <c r="L26" s="1251"/>
      <c r="M26" s="1236"/>
      <c r="N26" s="1236"/>
      <c r="O26" s="1236"/>
      <c r="P26" s="1687"/>
      <c r="Q26" s="491" t="str">
        <f t="shared" si="11"/>
        <v>朝向</v>
      </c>
      <c r="R26" s="1295" t="s">
        <v>885</v>
      </c>
      <c r="S26" s="1296">
        <f>F26</f>
        <v>98.5</v>
      </c>
      <c r="T26" s="1295" t="s">
        <v>885</v>
      </c>
      <c r="U26" s="1296">
        <f>H26</f>
        <v>100.5</v>
      </c>
      <c r="V26" s="1295" t="s">
        <v>885</v>
      </c>
      <c r="W26" s="1296">
        <f>J26</f>
        <v>96.5</v>
      </c>
      <c r="X26" s="1282"/>
      <c r="Y26" s="1254"/>
      <c r="Z26" s="1281" t="str">
        <f>Q26</f>
        <v>朝向</v>
      </c>
      <c r="AA26" s="1312">
        <f t="shared" si="3"/>
        <v>1.01522842639594</v>
      </c>
      <c r="AB26" s="1312">
        <f t="shared" si="4"/>
        <v>0.995024875621891</v>
      </c>
      <c r="AC26" s="1312">
        <f t="shared" si="5"/>
        <v>1.03626943005181</v>
      </c>
    </row>
    <row r="27" s="1080" customFormat="1" ht="15" spans="1:29">
      <c r="A27" s="1134"/>
      <c r="B27" s="2342" t="s">
        <v>909</v>
      </c>
      <c r="C27" s="1130" t="s">
        <v>910</v>
      </c>
      <c r="D27" s="1603" t="str">
        <f>C91</f>
        <v>100</v>
      </c>
      <c r="E27" s="1131" t="s">
        <v>911</v>
      </c>
      <c r="F27" s="1678" t="str">
        <f>D91</f>
        <v>100.2</v>
      </c>
      <c r="G27" s="1130" t="s">
        <v>912</v>
      </c>
      <c r="H27" s="1603" t="str">
        <f>E91</f>
        <v>99.8</v>
      </c>
      <c r="I27" s="1131" t="s">
        <v>913</v>
      </c>
      <c r="J27" s="1603" t="str">
        <f>F91</f>
        <v>99.4</v>
      </c>
      <c r="K27" s="2355"/>
      <c r="L27" s="1235"/>
      <c r="M27" s="1241"/>
      <c r="N27" s="1241"/>
      <c r="O27" s="1241"/>
      <c r="P27" s="1687"/>
      <c r="Q27" s="1294" t="str">
        <f t="shared" si="11"/>
        <v>楼层</v>
      </c>
      <c r="R27" s="1290" t="s">
        <v>885</v>
      </c>
      <c r="S27" s="1291" t="str">
        <f>F27</f>
        <v>100.2</v>
      </c>
      <c r="T27" s="1290" t="s">
        <v>885</v>
      </c>
      <c r="U27" s="1291" t="str">
        <f>H27</f>
        <v>99.8</v>
      </c>
      <c r="V27" s="1290" t="s">
        <v>885</v>
      </c>
      <c r="W27" s="1291" t="str">
        <f>J27</f>
        <v>99.4</v>
      </c>
      <c r="X27" s="1292"/>
      <c r="Y27" s="1254"/>
      <c r="Z27" s="1311" t="str">
        <f>Q27</f>
        <v>楼层</v>
      </c>
      <c r="AA27" s="1312">
        <f t="shared" si="3"/>
        <v>0.998003992015968</v>
      </c>
      <c r="AB27" s="1312">
        <f t="shared" si="4"/>
        <v>1.00200400801603</v>
      </c>
      <c r="AC27" s="1312">
        <f t="shared" si="5"/>
        <v>1.00603621730382</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355"/>
      <c r="L28" s="1251"/>
      <c r="M28" s="1236"/>
      <c r="N28" s="1236"/>
      <c r="O28" s="1236"/>
      <c r="P28" s="1687"/>
      <c r="Q28" s="491">
        <f t="shared" si="11"/>
        <v>111</v>
      </c>
      <c r="R28" s="1295" t="s">
        <v>885</v>
      </c>
      <c r="S28" s="1296">
        <f t="shared" ref="S28:S46" si="12">F28</f>
        <v>100</v>
      </c>
      <c r="T28" s="1295" t="s">
        <v>885</v>
      </c>
      <c r="U28" s="1296">
        <f t="shared" ref="U28:U46" si="13">H28</f>
        <v>100</v>
      </c>
      <c r="V28" s="1295" t="s">
        <v>885</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5"/>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5"/>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5"/>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914</v>
      </c>
      <c r="B32" s="1123" t="s">
        <v>915</v>
      </c>
      <c r="C32" s="1679" t="s">
        <v>916</v>
      </c>
      <c r="D32" s="1184">
        <v>100</v>
      </c>
      <c r="E32" s="2343" t="s">
        <v>916</v>
      </c>
      <c r="F32" s="1609">
        <f>SUMIF(100:100,E32,101:101)-SUMIF(100:100,C32,101:101)+100</f>
        <v>100</v>
      </c>
      <c r="G32" s="1679" t="s">
        <v>916</v>
      </c>
      <c r="H32" s="1184">
        <f>SUMIF(100:100,G32,101:101)-SUMIF(100:100,C32,101:101)+100</f>
        <v>100</v>
      </c>
      <c r="I32" s="2343" t="s">
        <v>916</v>
      </c>
      <c r="J32" s="1138">
        <f>SUMIF(100:100,I32,101:101)-SUMIF(100:100,C32,101:101)+100</f>
        <v>100</v>
      </c>
      <c r="K32" s="2354"/>
      <c r="L32" s="1251"/>
      <c r="M32" s="1236"/>
      <c r="N32" s="1236"/>
      <c r="O32" s="1236"/>
      <c r="P32" s="1688" t="s">
        <v>917</v>
      </c>
      <c r="Q32" s="491" t="str">
        <f t="shared" si="11"/>
        <v>建筑类型</v>
      </c>
      <c r="R32" s="1295" t="s">
        <v>885</v>
      </c>
      <c r="S32" s="1296">
        <f t="shared" si="12"/>
        <v>100</v>
      </c>
      <c r="T32" s="1295" t="s">
        <v>885</v>
      </c>
      <c r="U32" s="1296">
        <f t="shared" si="13"/>
        <v>100</v>
      </c>
      <c r="V32" s="1295" t="s">
        <v>885</v>
      </c>
      <c r="W32" s="1296">
        <f t="shared" si="14"/>
        <v>100</v>
      </c>
      <c r="X32" s="1282"/>
      <c r="Y32" s="1267" t="s">
        <v>917</v>
      </c>
      <c r="Z32" s="1281" t="str">
        <f t="shared" si="15"/>
        <v>建筑类型</v>
      </c>
      <c r="AA32" s="1312">
        <f t="shared" si="3"/>
        <v>1</v>
      </c>
      <c r="AB32" s="1312">
        <f t="shared" si="4"/>
        <v>1</v>
      </c>
      <c r="AC32" s="1312">
        <f t="shared" si="5"/>
        <v>1</v>
      </c>
    </row>
    <row r="33" s="1082" customFormat="1" ht="15" spans="1:29">
      <c r="A33" s="1190"/>
      <c r="B33" s="1127" t="s">
        <v>918</v>
      </c>
      <c r="C33" s="1610">
        <f>项目基本情况!C12</f>
        <v>164.75</v>
      </c>
      <c r="D33" s="1129">
        <v>100</v>
      </c>
      <c r="E33" s="1133">
        <v>77.74</v>
      </c>
      <c r="F33" s="1611">
        <f>LOOKUP(E33,103:103,104:104)-LOOKUP(C33,103:103,104:104)+100</f>
        <v>106</v>
      </c>
      <c r="G33" s="1132">
        <v>79.8</v>
      </c>
      <c r="H33" s="1129">
        <f>LOOKUP(G33,103:103,104:104)-LOOKUP(C33,103:103,104:104)+100</f>
        <v>106</v>
      </c>
      <c r="I33" s="1133">
        <v>57.78</v>
      </c>
      <c r="J33" s="1129">
        <f>LOOKUP(I33,103:103,104:104)-LOOKUP(C33,103:103,104:104)+100</f>
        <v>108</v>
      </c>
      <c r="K33" s="2355"/>
      <c r="L33" s="1249"/>
      <c r="M33" s="1265"/>
      <c r="N33" s="1265"/>
      <c r="O33" s="1265"/>
      <c r="P33" s="1689"/>
      <c r="Q33" s="1646" t="str">
        <f t="shared" si="11"/>
        <v>项目建筑规模</v>
      </c>
      <c r="R33" s="1297" t="s">
        <v>885</v>
      </c>
      <c r="S33" s="1298">
        <f t="shared" si="12"/>
        <v>106</v>
      </c>
      <c r="T33" s="1297" t="s">
        <v>885</v>
      </c>
      <c r="U33" s="1298">
        <f t="shared" si="13"/>
        <v>106</v>
      </c>
      <c r="V33" s="1297" t="s">
        <v>885</v>
      </c>
      <c r="W33" s="1298">
        <f t="shared" si="14"/>
        <v>108</v>
      </c>
      <c r="X33" s="1299"/>
      <c r="Y33" s="1267"/>
      <c r="Z33" s="1313" t="str">
        <f t="shared" si="15"/>
        <v>项目建筑规模</v>
      </c>
      <c r="AA33" s="1312">
        <f t="shared" si="3"/>
        <v>0.943396226415094</v>
      </c>
      <c r="AB33" s="1312">
        <f t="shared" si="4"/>
        <v>0.943396226415094</v>
      </c>
      <c r="AC33" s="1312">
        <f t="shared" si="5"/>
        <v>0.925925925925926</v>
      </c>
    </row>
    <row r="34" ht="15" spans="1:29">
      <c r="A34" s="1185"/>
      <c r="B34" s="1127" t="s">
        <v>919</v>
      </c>
      <c r="C34" s="1680" t="s">
        <v>920</v>
      </c>
      <c r="D34" s="1138">
        <v>100</v>
      </c>
      <c r="E34" s="1681" t="s">
        <v>920</v>
      </c>
      <c r="F34" s="1609">
        <f>SUMIF(105:105,E34,106:106)-SUMIF(105:105,C34,106:106)+100</f>
        <v>100</v>
      </c>
      <c r="G34" s="1680" t="s">
        <v>920</v>
      </c>
      <c r="H34" s="1138">
        <f>SUMIF(105:105,G34,106:106)-SUMIF(105:105,C34,106:106)+100</f>
        <v>100</v>
      </c>
      <c r="I34" s="1681" t="s">
        <v>920</v>
      </c>
      <c r="J34" s="1138">
        <f>SUMIF(105:105,I34,106:106)-SUMIF(105:105,C34,106:106)+100</f>
        <v>100</v>
      </c>
      <c r="K34" s="2354"/>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921</v>
      </c>
      <c r="C35" s="1186"/>
      <c r="D35" s="1138">
        <v>100</v>
      </c>
      <c r="E35" s="2341"/>
      <c r="F35" s="1609">
        <f>SUMIF(107:107,E35,108:108)-SUMIF(107:107,C35,108:108)+100</f>
        <v>100</v>
      </c>
      <c r="G35" s="1186"/>
      <c r="H35" s="1138">
        <f>SUMIF(107:107,G35,108:108)-SUMIF(107:107,C35,108:108)+100</f>
        <v>100</v>
      </c>
      <c r="I35" s="2341"/>
      <c r="J35" s="1138">
        <f>SUMIF(107:107,I35,108:108)-SUMIF(107:107,C35,108:108)+100</f>
        <v>100</v>
      </c>
      <c r="K35" s="2354"/>
      <c r="L35" s="1251"/>
      <c r="M35" s="1236"/>
      <c r="N35" s="1236"/>
      <c r="O35" s="1236"/>
      <c r="P35" s="1689"/>
      <c r="Q35" s="491" t="str">
        <f t="shared" si="11"/>
        <v>建筑品质</v>
      </c>
      <c r="R35" s="1295" t="s">
        <v>885</v>
      </c>
      <c r="S35" s="1296">
        <f t="shared" si="12"/>
        <v>100</v>
      </c>
      <c r="T35" s="1295" t="s">
        <v>885</v>
      </c>
      <c r="U35" s="1296">
        <f t="shared" si="13"/>
        <v>100</v>
      </c>
      <c r="V35" s="1295" t="s">
        <v>885</v>
      </c>
      <c r="W35" s="1296">
        <f t="shared" si="14"/>
        <v>100</v>
      </c>
      <c r="X35" s="1282"/>
      <c r="Y35" s="1267"/>
      <c r="Z35" s="1281" t="str">
        <f t="shared" si="15"/>
        <v>建筑品质</v>
      </c>
      <c r="AA35" s="1312">
        <f t="shared" si="3"/>
        <v>1</v>
      </c>
      <c r="AB35" s="1312">
        <f t="shared" si="4"/>
        <v>1</v>
      </c>
      <c r="AC35" s="1312">
        <f t="shared" si="5"/>
        <v>1</v>
      </c>
    </row>
    <row r="36" ht="15" spans="1:29">
      <c r="A36" s="1185"/>
      <c r="B36" s="1127" t="s">
        <v>922</v>
      </c>
      <c r="C36" s="1186" t="s">
        <v>923</v>
      </c>
      <c r="D36" s="1138">
        <v>100</v>
      </c>
      <c r="E36" s="2341" t="s">
        <v>923</v>
      </c>
      <c r="F36" s="1609">
        <f>SUMIF(109:109,E36,110:110)-SUMIF(109:109,C36,110:110)+100</f>
        <v>100</v>
      </c>
      <c r="G36" s="1186" t="s">
        <v>923</v>
      </c>
      <c r="H36" s="1138">
        <f>SUMIF(109:109,G36,110:110)-SUMIF(109:109,C36,110:110)+100</f>
        <v>100</v>
      </c>
      <c r="I36" s="2341" t="s">
        <v>923</v>
      </c>
      <c r="J36" s="1138">
        <f>SUMIF(109:109,I36,110:110)-SUMIF(109:109,C36,110:110)+100</f>
        <v>100</v>
      </c>
      <c r="K36" s="2354"/>
      <c r="L36" s="1251"/>
      <c r="M36" s="1236"/>
      <c r="N36" s="1236"/>
      <c r="O36" s="1236"/>
      <c r="P36" s="1689"/>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924</v>
      </c>
      <c r="C37" s="1613">
        <f>'数据-取费表'!E20</f>
        <v>0.7</v>
      </c>
      <c r="D37" s="1129">
        <v>100</v>
      </c>
      <c r="E37" s="2344">
        <f>C37</f>
        <v>0.7</v>
      </c>
      <c r="F37" s="1611">
        <f>LOOKUP(E37,112:112,113:113)-LOOKUP(C37,112:112,113:113)+100</f>
        <v>100</v>
      </c>
      <c r="G37" s="2345">
        <f>C37</f>
        <v>0.7</v>
      </c>
      <c r="H37" s="1129">
        <f>LOOKUP(G37,112:112,113:113)-LOOKUP(C37,112:112,113:113)+100</f>
        <v>100</v>
      </c>
      <c r="I37" s="2344">
        <f>C37</f>
        <v>0.7</v>
      </c>
      <c r="J37" s="1129">
        <f>LOOKUP(I37,112:112,113:113)-LOOKUP(C37,112:112,113:113)+100</f>
        <v>100</v>
      </c>
      <c r="K37" s="2354"/>
      <c r="L37" s="1235"/>
      <c r="M37" s="1241"/>
      <c r="N37" s="1241"/>
      <c r="O37" s="1241"/>
      <c r="P37" s="1689"/>
      <c r="Q37" s="1294" t="str">
        <f t="shared" si="11"/>
        <v>成新度</v>
      </c>
      <c r="R37" s="1290" t="s">
        <v>885</v>
      </c>
      <c r="S37" s="1291">
        <f t="shared" si="12"/>
        <v>100</v>
      </c>
      <c r="T37" s="1290" t="s">
        <v>885</v>
      </c>
      <c r="U37" s="1291">
        <f t="shared" si="13"/>
        <v>100</v>
      </c>
      <c r="V37" s="1290" t="s">
        <v>885</v>
      </c>
      <c r="W37" s="1291">
        <f t="shared" si="14"/>
        <v>100</v>
      </c>
      <c r="X37" s="1292"/>
      <c r="Y37" s="1267"/>
      <c r="Z37" s="1311" t="str">
        <f t="shared" si="15"/>
        <v>成新度</v>
      </c>
      <c r="AA37" s="1310">
        <f t="shared" si="3"/>
        <v>1</v>
      </c>
      <c r="AB37" s="1310">
        <f t="shared" si="4"/>
        <v>1</v>
      </c>
      <c r="AC37" s="1310">
        <f t="shared" si="5"/>
        <v>1</v>
      </c>
    </row>
    <row r="38" ht="15" spans="1:29">
      <c r="A38" s="1185"/>
      <c r="B38" s="1127" t="s">
        <v>925</v>
      </c>
      <c r="C38" s="1186" t="s">
        <v>926</v>
      </c>
      <c r="D38" s="1138">
        <v>100</v>
      </c>
      <c r="E38" s="2341" t="s">
        <v>926</v>
      </c>
      <c r="F38" s="1609">
        <f>SUMIF(114:114,E38,115:115)-SUMIF(114:114,C38,115:115)+100</f>
        <v>100</v>
      </c>
      <c r="G38" s="1186" t="s">
        <v>926</v>
      </c>
      <c r="H38" s="1138">
        <f>SUMIF(114:114,G38,115:115)-SUMIF(114:114,C38,115:115)+100</f>
        <v>100</v>
      </c>
      <c r="I38" s="2341" t="s">
        <v>926</v>
      </c>
      <c r="J38" s="1138">
        <f>SUMIF(114:114,I38,115:115)-SUMIF(114:114,C38,115:115)+100</f>
        <v>100</v>
      </c>
      <c r="K38" s="2354"/>
      <c r="L38" s="1251"/>
      <c r="M38" s="1236"/>
      <c r="N38" s="1236"/>
      <c r="O38" s="1236"/>
      <c r="P38" s="1689" t="s">
        <v>917</v>
      </c>
      <c r="Q38" s="491" t="str">
        <f t="shared" si="11"/>
        <v>物业管理</v>
      </c>
      <c r="R38" s="1295" t="s">
        <v>885</v>
      </c>
      <c r="S38" s="1296">
        <f t="shared" si="12"/>
        <v>100</v>
      </c>
      <c r="T38" s="1295" t="s">
        <v>885</v>
      </c>
      <c r="U38" s="1296">
        <f t="shared" si="13"/>
        <v>100</v>
      </c>
      <c r="V38" s="1295" t="s">
        <v>885</v>
      </c>
      <c r="W38" s="1296">
        <f t="shared" si="14"/>
        <v>100</v>
      </c>
      <c r="X38" s="1282"/>
      <c r="Y38" s="1267" t="s">
        <v>917</v>
      </c>
      <c r="Z38" s="1281" t="str">
        <f t="shared" si="15"/>
        <v>物业管理</v>
      </c>
      <c r="AA38" s="1312">
        <f t="shared" si="3"/>
        <v>1</v>
      </c>
      <c r="AB38" s="1312">
        <f t="shared" si="4"/>
        <v>1</v>
      </c>
      <c r="AC38" s="1312">
        <f t="shared" si="5"/>
        <v>1</v>
      </c>
    </row>
    <row r="39" ht="15" spans="1:29">
      <c r="A39" s="1185"/>
      <c r="B39" s="1127" t="s">
        <v>927</v>
      </c>
      <c r="C39" s="1186" t="s">
        <v>901</v>
      </c>
      <c r="D39" s="1138">
        <v>100</v>
      </c>
      <c r="E39" s="2341" t="s">
        <v>901</v>
      </c>
      <c r="F39" s="1609">
        <f>SUMIF(116:116,E39,117:117)-SUMIF(116:116,C39,117:117)+100</f>
        <v>100</v>
      </c>
      <c r="G39" s="1186" t="s">
        <v>901</v>
      </c>
      <c r="H39" s="1138">
        <f>SUMIF(116:116,G39,117:117)-SUMIF(116:116,C39,117:117)+100</f>
        <v>100</v>
      </c>
      <c r="I39" s="2341" t="s">
        <v>901</v>
      </c>
      <c r="J39" s="1138">
        <f>SUMIF(116:116,I39,117:117)-SUMIF(116:116,C39,117:117)+100</f>
        <v>100</v>
      </c>
      <c r="K39" s="2354"/>
      <c r="L39" s="1251"/>
      <c r="M39" s="1236"/>
      <c r="N39" s="1236"/>
      <c r="O39" s="1236"/>
      <c r="P39" s="1689"/>
      <c r="Q39" s="491" t="str">
        <f t="shared" si="11"/>
        <v>市政基础设施</v>
      </c>
      <c r="R39" s="1295" t="s">
        <v>885</v>
      </c>
      <c r="S39" s="1296">
        <f t="shared" si="12"/>
        <v>100</v>
      </c>
      <c r="T39" s="1295" t="s">
        <v>885</v>
      </c>
      <c r="U39" s="1296">
        <f t="shared" si="13"/>
        <v>100</v>
      </c>
      <c r="V39" s="1295" t="s">
        <v>885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928</v>
      </c>
      <c r="C40" s="1186"/>
      <c r="D40" s="1138">
        <v>100</v>
      </c>
      <c r="E40" s="2341"/>
      <c r="F40" s="1609">
        <f>SUMIF(118:118,E40,119:119)-SUMIF(118:118,C40,119:119)+100</f>
        <v>100</v>
      </c>
      <c r="G40" s="1186"/>
      <c r="H40" s="1138">
        <f>SUMIF(118:118,G40,119:119)-SUMIF(118:118,C40,119:119)+100</f>
        <v>100</v>
      </c>
      <c r="I40" s="2341"/>
      <c r="J40" s="1138">
        <f>SUMIF(118:118,I40,119:119)-SUMIF(118:118,C40,119:119)+100</f>
        <v>100</v>
      </c>
      <c r="K40" s="2354"/>
      <c r="L40" s="1251"/>
      <c r="M40" s="1236"/>
      <c r="N40" s="1236"/>
      <c r="O40" s="1236"/>
      <c r="P40" s="1689"/>
      <c r="Q40" s="491" t="str">
        <f t="shared" si="11"/>
        <v>房型</v>
      </c>
      <c r="R40" s="1295" t="s">
        <v>885</v>
      </c>
      <c r="S40" s="1296">
        <f t="shared" si="12"/>
        <v>100</v>
      </c>
      <c r="T40" s="1295" t="s">
        <v>885</v>
      </c>
      <c r="U40" s="1296">
        <f t="shared" si="13"/>
        <v>100</v>
      </c>
      <c r="V40" s="1295" t="s">
        <v>885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929</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5"/>
      <c r="L41" s="1249"/>
      <c r="M41" s="1265"/>
      <c r="N41" s="1265"/>
      <c r="O41" s="1265"/>
      <c r="P41" s="1689"/>
      <c r="Q41" s="1646" t="str">
        <f t="shared" si="11"/>
        <v>单套/主力户型建筑面积</v>
      </c>
      <c r="R41" s="1297" t="s">
        <v>885</v>
      </c>
      <c r="S41" s="1298">
        <f t="shared" si="12"/>
        <v>100</v>
      </c>
      <c r="T41" s="1297" t="s">
        <v>885</v>
      </c>
      <c r="U41" s="1298">
        <f t="shared" si="13"/>
        <v>100</v>
      </c>
      <c r="V41" s="1297" t="s">
        <v>885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930</v>
      </c>
      <c r="C42" s="1186" t="s">
        <v>931</v>
      </c>
      <c r="D42" s="1138">
        <v>100</v>
      </c>
      <c r="E42" s="2341" t="s">
        <v>931</v>
      </c>
      <c r="F42" s="1609">
        <f>SUMIF(122:122,E42,123:123)-SUMIF(122:122,C42,123:123)+100</f>
        <v>100</v>
      </c>
      <c r="G42" s="1186" t="s">
        <v>931</v>
      </c>
      <c r="H42" s="1138">
        <f>SUMIF(122:122,G42,123:123)-SUMIF(122:122,C42,123:123)+100</f>
        <v>100</v>
      </c>
      <c r="I42" s="2341" t="s">
        <v>931</v>
      </c>
      <c r="J42" s="1138">
        <f>SUMIF(122:122,I42,123:123)-SUMIF(122:122,C42,123:123)+100</f>
        <v>100</v>
      </c>
      <c r="K42" s="2354"/>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2341"/>
      <c r="F43" s="1609">
        <f>SUMIF(124:124,E43,125:125)-SUMIF(124:124,C43,125:125)+100</f>
        <v>100</v>
      </c>
      <c r="G43" s="1186"/>
      <c r="H43" s="1138">
        <f>SUMIF(124:124,G43,125:125)-SUMIF(124:124,C43,125:125)+100</f>
        <v>100</v>
      </c>
      <c r="I43" s="2341"/>
      <c r="J43" s="1138">
        <f>SUMIF(124:124,I43,125:125)-SUMIF(124:124,C43,125:125)+100</f>
        <v>100</v>
      </c>
      <c r="K43" s="2354"/>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5"/>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5"/>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5"/>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932</v>
      </c>
      <c r="B47" s="1617"/>
      <c r="C47" s="1618" t="s">
        <v>121</v>
      </c>
      <c r="D47" s="1619"/>
      <c r="E47" s="1620">
        <v>73739</v>
      </c>
      <c r="F47" s="1621"/>
      <c r="G47" s="1622">
        <v>79030</v>
      </c>
      <c r="H47" s="1623"/>
      <c r="I47" s="1620">
        <v>79644</v>
      </c>
      <c r="J47" s="1623"/>
      <c r="K47" s="2359"/>
      <c r="L47" s="1271"/>
      <c r="N47" s="1236"/>
      <c r="P47" s="491" t="str">
        <f>A47</f>
        <v>成交单价（元/平方米）</v>
      </c>
      <c r="Q47" s="491"/>
      <c r="R47" s="1312">
        <f>E47</f>
        <v>73739</v>
      </c>
      <c r="S47" s="1312"/>
      <c r="T47" s="1312">
        <f>G47</f>
        <v>79030</v>
      </c>
      <c r="U47" s="1312"/>
      <c r="V47" s="1312">
        <f>I47</f>
        <v>79644</v>
      </c>
      <c r="W47" s="1312"/>
      <c r="X47" s="1300"/>
      <c r="Y47" s="1314"/>
      <c r="Z47" s="1300"/>
      <c r="AA47" s="1300"/>
      <c r="AB47" s="1300"/>
      <c r="AC47" s="1300"/>
    </row>
    <row r="48" ht="15.75" spans="1:29">
      <c r="A48" s="1201" t="s">
        <v>933</v>
      </c>
      <c r="B48" s="1624"/>
      <c r="C48" s="1625">
        <f>R49</f>
        <v>74028</v>
      </c>
      <c r="D48" s="831" t="s">
        <v>934</v>
      </c>
      <c r="E48" s="1626">
        <f>R48</f>
        <v>70483</v>
      </c>
      <c r="F48" s="832"/>
      <c r="G48" s="1625">
        <f>T48</f>
        <v>74334</v>
      </c>
      <c r="H48" s="832"/>
      <c r="I48" s="1626">
        <f>V48</f>
        <v>77267</v>
      </c>
      <c r="J48" s="832"/>
      <c r="K48" s="2360">
        <f>F48+H48+J48</f>
        <v>0</v>
      </c>
      <c r="L48" s="1271"/>
      <c r="P48" s="491" t="str">
        <f>A48</f>
        <v>比较价值（元/平方米）</v>
      </c>
      <c r="Q48" s="491"/>
      <c r="R48" s="1312">
        <f>IF(E1="售价",ROUND(PRODUCT(R47,AA7:AA46),0),ROUND(PRODUCT(R47,AA7:AA46),1))</f>
        <v>70483</v>
      </c>
      <c r="S48" s="1312"/>
      <c r="T48" s="2368">
        <f>IF(E1="售价",ROUND(PRODUCT(T47,AB7:AB46),0),ROUND(PRODUCT(T47,AB7:AB46),1))</f>
        <v>74334</v>
      </c>
      <c r="U48" s="2369"/>
      <c r="V48" s="1312">
        <f>IF(E1="售价",ROUND(PRODUCT(V47,AC7:AC46),0),ROUND(PRODUCT(V47,AC7:AC46),1))</f>
        <v>77267</v>
      </c>
      <c r="W48" s="1312"/>
      <c r="X48" s="1300"/>
      <c r="Y48" s="1300"/>
      <c r="Z48" s="1300"/>
      <c r="AA48" s="1300"/>
      <c r="AB48" s="1300"/>
      <c r="AC48" s="1300"/>
    </row>
    <row r="49" ht="15.75" spans="1:29">
      <c r="A49" s="1205" t="s">
        <v>935</v>
      </c>
      <c r="B49" s="1206"/>
      <c r="C49" s="2346">
        <f>R49</f>
        <v>74028</v>
      </c>
      <c r="D49" s="1627"/>
      <c r="E49" s="1627"/>
      <c r="F49" s="1627"/>
      <c r="G49" s="1627"/>
      <c r="H49" s="1627"/>
      <c r="I49" s="1627"/>
      <c r="J49" s="1627"/>
      <c r="K49" s="2361"/>
      <c r="L49" s="1271"/>
      <c r="P49" s="1273" t="str">
        <f>A49</f>
        <v>估价对象XX用房的比较价值（楼面单价，元/平方米）</v>
      </c>
      <c r="Q49" s="1302"/>
      <c r="R49" s="1647">
        <f>IF(E1="售价",ROUND(IF(D48="简单平均",AVERAGE(R48:V48),R48*F48+T48*H48+V48*J48),0),ROUND(IF(D48="简单平均",AVERAGE(R48:V48),R48*F48+T48*H48+V48*J48),1))</f>
        <v>74028</v>
      </c>
      <c r="S49" s="1647"/>
      <c r="T49" s="1647"/>
      <c r="U49" s="1647"/>
      <c r="V49" s="1647"/>
      <c r="W49" s="1647"/>
      <c r="X49" s="1300"/>
      <c r="Y49" s="1300"/>
      <c r="Z49" s="1300"/>
      <c r="AA49" s="1300"/>
      <c r="AB49" s="1300"/>
      <c r="AC49" s="1300"/>
    </row>
    <row r="50" spans="7:7">
      <c r="G50" s="1208"/>
    </row>
    <row r="52" ht="13.5" customHeight="1" spans="3:10">
      <c r="C52" s="838" t="s">
        <v>936</v>
      </c>
      <c r="D52" s="530"/>
      <c r="E52" s="1209">
        <f>IF(E47&lt;E48,E48/E47-1,E47/E48-1)</f>
        <v>0.0461955365123505</v>
      </c>
      <c r="F52" s="1210" t="str">
        <f>IF(OR(E52&gt;=0.3,E52&lt;=-0.3),"超过30%","")</f>
        <v/>
      </c>
      <c r="G52" s="1209">
        <f>IF(G47&lt;G48,G48/G47-1,G47/G48-1)</f>
        <v>0.0631743213065354</v>
      </c>
      <c r="H52" s="1210" t="str">
        <f>IF(OR(G52&gt;=0.3,G52&lt;=-0.3),"超过30%","")</f>
        <v/>
      </c>
      <c r="I52" s="1209">
        <f>IF(I47&lt;I48,I48/I47-1,I47/I48-1)</f>
        <v>0.0307634565856059</v>
      </c>
      <c r="J52" s="1210" t="str">
        <f>IF(OR(I52&gt;=0.3,I52&lt;=-0.3),"超过30%","")</f>
        <v/>
      </c>
    </row>
    <row r="53" ht="13.5" customHeight="1" spans="3:10">
      <c r="C53" s="838" t="s">
        <v>937</v>
      </c>
      <c r="D53" s="529"/>
      <c r="E53" s="1209">
        <f>IF(E48&lt;G48,G48/E48-1,E48/G48-1)</f>
        <v>0.054637288424159</v>
      </c>
      <c r="F53" s="1210" t="str">
        <f>IF(OR(E53&gt;=0.2,E53&lt;=-0.2),"超过20%","")</f>
        <v/>
      </c>
      <c r="G53" s="1209">
        <f>IF(G48&lt;I48,I48/G48-1,G48/I48-1)</f>
        <v>0.0394570452282939</v>
      </c>
      <c r="H53" s="1210" t="str">
        <f>IF(OR(G53&gt;=0.2,G53&lt;=-0.2),"超过20%","")</f>
        <v/>
      </c>
      <c r="I53" s="1209">
        <f>IF(I48&lt;E48,E48/I48-1,I48/E48-1)</f>
        <v>0.0962501596129564</v>
      </c>
      <c r="J53" s="1210" t="str">
        <f>IF(OR(I53&gt;=0.2,I53&lt;=-0.2),"超过20%","")</f>
        <v/>
      </c>
    </row>
    <row r="54" s="1083" customFormat="1" ht="13.5" customHeight="1" spans="3:16">
      <c r="C54" s="838" t="s">
        <v>938</v>
      </c>
      <c r="D54" s="529"/>
      <c r="E54" s="1209">
        <f>IF(E47&lt;G47,G47/E47-1,E47/G47-1)</f>
        <v>0.0717530750349205</v>
      </c>
      <c r="F54" s="1210" t="str">
        <f>IF(OR(E54&gt;=0.3,E54&lt;=-0.3),"超过30%","")</f>
        <v/>
      </c>
      <c r="G54" s="1209">
        <f>IF(G47&lt;I47,I47/G47-1,G47/I47-1)</f>
        <v>0.0077692015690245</v>
      </c>
      <c r="H54" s="1210" t="str">
        <f>IF(OR(G54&gt;=0.3,G54&lt;=-0.3),"超过30%","")</f>
        <v/>
      </c>
      <c r="I54" s="1209">
        <f>IF(I47&lt;E47,E47/I47-1,I47/E47-1)</f>
        <v>0.0800797407070886</v>
      </c>
      <c r="J54" s="1210" t="str">
        <f>IF(OR(I54&gt;=0.3,I54&lt;=-0.3),"超过30%","")</f>
        <v/>
      </c>
      <c r="K54" s="1274"/>
      <c r="L54" s="1275"/>
      <c r="P54" s="2362"/>
    </row>
    <row r="55" s="1083" customFormat="1" spans="2:16">
      <c r="B55" s="1211"/>
      <c r="C55" s="1212"/>
      <c r="K55" s="1274"/>
      <c r="L55" s="1275"/>
      <c r="P55" s="2362"/>
    </row>
    <row r="56" spans="2:3">
      <c r="B56" s="1211"/>
      <c r="C56" s="1212"/>
    </row>
    <row r="57" ht="21" spans="1:17">
      <c r="A57" s="1323" t="s">
        <v>939</v>
      </c>
      <c r="B57" s="1300"/>
      <c r="C57" s="1324"/>
      <c r="D57" s="1324"/>
      <c r="E57" s="1324"/>
      <c r="F57" s="1324"/>
      <c r="G57" s="1324"/>
      <c r="H57" s="1324"/>
      <c r="I57" s="1324"/>
      <c r="J57" s="1324"/>
      <c r="K57" s="1640"/>
      <c r="L57" s="2363"/>
      <c r="M57" s="1642"/>
      <c r="N57" s="1642"/>
      <c r="O57" s="1642"/>
      <c r="P57" s="2364"/>
      <c r="Q57" s="1382"/>
    </row>
    <row r="58" s="1575" customFormat="1" ht="15" spans="1:16">
      <c r="A58" s="1628" t="s">
        <v>883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v>100.5</v>
      </c>
      <c r="E59" s="1339">
        <v>100.5</v>
      </c>
      <c r="F59" s="1339">
        <v>100.5</v>
      </c>
      <c r="G59" s="1339">
        <v>100</v>
      </c>
      <c r="H59" s="1339">
        <v>100</v>
      </c>
      <c r="I59" s="1339">
        <v>100</v>
      </c>
      <c r="J59" s="1339">
        <v>99.5</v>
      </c>
      <c r="K59" s="1339">
        <v>99.5</v>
      </c>
      <c r="L59" s="1339">
        <v>99.5</v>
      </c>
      <c r="M59" s="1644">
        <v>99</v>
      </c>
      <c r="N59" s="1339"/>
      <c r="O59" s="1644"/>
      <c r="P59" s="1695"/>
    </row>
    <row r="60" s="1080" customFormat="1" ht="15.75" spans="1:17">
      <c r="A60" s="1331" t="s">
        <v>940</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2365"/>
      <c r="O61" s="2365"/>
      <c r="P61" s="1696"/>
      <c r="Q61" s="1382"/>
    </row>
    <row r="62" s="1080" customFormat="1" ht="15.75" spans="1:17">
      <c r="A62" s="1335"/>
      <c r="B62" s="1336"/>
      <c r="C62" s="1633">
        <v>100</v>
      </c>
      <c r="D62" s="1339"/>
      <c r="E62" s="1339"/>
      <c r="F62" s="1339"/>
      <c r="G62" s="1339"/>
      <c r="H62" s="1339"/>
      <c r="I62" s="1339"/>
      <c r="J62" s="1339"/>
      <c r="K62" s="1339"/>
      <c r="L62" s="1339"/>
      <c r="M62" s="1388"/>
      <c r="N62" s="2365"/>
      <c r="O62" s="2365"/>
      <c r="P62" s="1695"/>
      <c r="Q62" s="1382"/>
    </row>
    <row r="63" spans="1:17">
      <c r="A63" s="1340" t="s">
        <v>941</v>
      </c>
      <c r="B63" s="1341" t="s">
        <v>891</v>
      </c>
      <c r="C63" s="1361" t="str">
        <f>C9</f>
        <v>住宅</v>
      </c>
      <c r="D63" s="1268"/>
      <c r="E63" s="1268"/>
      <c r="F63" s="1268"/>
      <c r="G63" s="1268"/>
      <c r="H63" s="1268"/>
      <c r="I63" s="1268"/>
      <c r="J63" s="1268"/>
      <c r="K63" s="1032"/>
      <c r="L63" s="1032"/>
      <c r="M63" s="1389"/>
      <c r="N63" s="2366"/>
      <c r="O63" s="2366"/>
      <c r="P63" s="1697"/>
      <c r="Q63" s="1382"/>
    </row>
    <row r="64" ht="15.75" spans="1:17">
      <c r="A64" s="1342"/>
      <c r="B64" s="1343"/>
      <c r="C64" s="1344">
        <v>100</v>
      </c>
      <c r="D64" s="1344"/>
      <c r="E64" s="1344"/>
      <c r="F64" s="1344"/>
      <c r="G64" s="1344"/>
      <c r="H64" s="1344"/>
      <c r="I64" s="1344"/>
      <c r="J64" s="1344"/>
      <c r="K64" s="1344"/>
      <c r="L64" s="1344"/>
      <c r="M64" s="1392"/>
      <c r="N64" s="2367"/>
      <c r="O64" s="2367"/>
      <c r="P64" s="1697"/>
      <c r="Q64" s="1382"/>
    </row>
    <row r="65" ht="27.75" spans="1:17">
      <c r="A65" s="1342"/>
      <c r="B65" s="1345" t="s">
        <v>894</v>
      </c>
      <c r="C65" s="1346" t="s">
        <v>942</v>
      </c>
      <c r="D65" s="1346" t="s">
        <v>943</v>
      </c>
      <c r="E65" s="1346" t="s">
        <v>944</v>
      </c>
      <c r="F65" s="1346" t="s">
        <v>945</v>
      </c>
      <c r="G65" s="1346" t="s">
        <v>946</v>
      </c>
      <c r="H65" s="1346" t="s">
        <v>947</v>
      </c>
      <c r="I65" s="1346" t="s">
        <v>948</v>
      </c>
      <c r="J65" s="1346"/>
      <c r="K65" s="1039"/>
      <c r="L65" s="1039"/>
      <c r="M65" s="1394"/>
      <c r="N65" s="2366"/>
      <c r="O65" s="2366"/>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67"/>
      <c r="O66" s="2367"/>
      <c r="P66" s="1697"/>
      <c r="Q66" s="1382"/>
    </row>
    <row r="67" ht="15.75" spans="1:17">
      <c r="A67" s="1342"/>
      <c r="B67" s="1349" t="s">
        <v>895</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67"/>
      <c r="O67" s="2367"/>
      <c r="P67" s="1697"/>
      <c r="Q67" s="1382"/>
    </row>
    <row r="68" ht="15" spans="1:17">
      <c r="A68" s="1342"/>
      <c r="B68" s="1351"/>
      <c r="C68" s="1139">
        <v>0</v>
      </c>
      <c r="D68" s="1139">
        <v>1</v>
      </c>
      <c r="E68" s="1139">
        <v>2</v>
      </c>
      <c r="F68" s="1139"/>
      <c r="G68" s="1139"/>
      <c r="H68" s="1139"/>
      <c r="I68" s="1139"/>
      <c r="J68" s="1139"/>
      <c r="K68" s="1043"/>
      <c r="L68" s="1043"/>
      <c r="M68" s="1396"/>
      <c r="N68" s="2366"/>
      <c r="O68" s="2366"/>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67"/>
      <c r="O69" s="2367"/>
      <c r="P69" s="1697"/>
      <c r="Q69" s="1382"/>
    </row>
    <row r="70" s="1082" customFormat="1" ht="15.75" spans="1:17">
      <c r="A70" s="1352"/>
      <c r="B70" s="1345">
        <f>B12</f>
        <v>111</v>
      </c>
      <c r="C70" s="1353"/>
      <c r="D70" s="1353"/>
      <c r="E70" s="1353"/>
      <c r="F70" s="1353"/>
      <c r="G70" s="1353"/>
      <c r="H70" s="1045"/>
      <c r="I70" s="1045"/>
      <c r="J70" s="1045"/>
      <c r="K70" s="1045"/>
      <c r="L70" s="1045"/>
      <c r="M70" s="1397"/>
      <c r="N70" s="2378"/>
      <c r="O70" s="2378"/>
      <c r="P70" s="1702"/>
      <c r="Q70" s="1414"/>
    </row>
    <row r="71" s="1082" customFormat="1" ht="15.75" spans="1:17">
      <c r="A71" s="1352"/>
      <c r="B71" s="1347"/>
      <c r="C71" s="1354"/>
      <c r="D71" s="1344"/>
      <c r="E71" s="1344"/>
      <c r="F71" s="1344"/>
      <c r="G71" s="1344"/>
      <c r="H71" s="1344"/>
      <c r="I71" s="1344"/>
      <c r="J71" s="1344"/>
      <c r="K71" s="1344"/>
      <c r="L71" s="1344"/>
      <c r="M71" s="1392"/>
      <c r="N71" s="2367"/>
      <c r="O71" s="2367"/>
      <c r="P71" s="1702"/>
      <c r="Q71" s="1414"/>
    </row>
    <row r="72" s="1082" customFormat="1" ht="15.75" spans="1:17">
      <c r="A72" s="1352"/>
      <c r="B72" s="1345">
        <f>B13</f>
        <v>111</v>
      </c>
      <c r="C72" s="1353"/>
      <c r="D72" s="1353"/>
      <c r="E72" s="1353"/>
      <c r="F72" s="1353"/>
      <c r="G72" s="1353"/>
      <c r="H72" s="1045"/>
      <c r="I72" s="1045"/>
      <c r="J72" s="1045"/>
      <c r="K72" s="1045"/>
      <c r="L72" s="1045"/>
      <c r="M72" s="1397"/>
      <c r="N72" s="2378"/>
      <c r="O72" s="2378"/>
      <c r="P72" s="1703"/>
      <c r="Q72" s="1415"/>
    </row>
    <row r="73" s="1082" customFormat="1" ht="15.75" spans="1:17">
      <c r="A73" s="1352"/>
      <c r="B73" s="1347"/>
      <c r="C73" s="1354"/>
      <c r="D73" s="1354"/>
      <c r="E73" s="1354"/>
      <c r="F73" s="1354"/>
      <c r="G73" s="1354"/>
      <c r="H73" s="1355"/>
      <c r="I73" s="1355"/>
      <c r="J73" s="1355"/>
      <c r="K73" s="1355"/>
      <c r="L73" s="1355"/>
      <c r="M73" s="1400"/>
      <c r="N73" s="2378"/>
      <c r="O73" s="2378"/>
      <c r="P73" s="1702"/>
      <c r="Q73" s="1414"/>
    </row>
    <row r="74" s="1082" customFormat="1" ht="15.75" spans="1:17">
      <c r="A74" s="1352"/>
      <c r="B74" s="1349">
        <f>B14</f>
        <v>111</v>
      </c>
      <c r="C74" s="1353"/>
      <c r="D74" s="1353"/>
      <c r="E74" s="1353"/>
      <c r="F74" s="1353"/>
      <c r="G74" s="1026"/>
      <c r="H74" s="1050"/>
      <c r="I74" s="1050"/>
      <c r="J74" s="1050"/>
      <c r="K74" s="1050"/>
      <c r="L74" s="1050"/>
      <c r="M74" s="1401"/>
      <c r="N74" s="2378"/>
      <c r="O74" s="2378"/>
      <c r="P74" s="1702"/>
      <c r="Q74" s="1414"/>
    </row>
    <row r="75" s="1082" customFormat="1" ht="15.75" spans="1:17">
      <c r="A75" s="1356"/>
      <c r="B75" s="1357"/>
      <c r="C75" s="1358"/>
      <c r="D75" s="1358"/>
      <c r="E75" s="1358"/>
      <c r="F75" s="1358"/>
      <c r="G75" s="1358"/>
      <c r="H75" s="1359"/>
      <c r="I75" s="1359"/>
      <c r="J75" s="1359"/>
      <c r="K75" s="1359"/>
      <c r="L75" s="1359"/>
      <c r="M75" s="1402"/>
      <c r="N75" s="2378"/>
      <c r="O75" s="237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2366"/>
      <c r="O76" s="2366"/>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67"/>
      <c r="O77" s="2367"/>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6"/>
      <c r="O78" s="2366"/>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67"/>
      <c r="O79" s="2367"/>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6"/>
      <c r="O80" s="2366"/>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67"/>
      <c r="O81" s="2367"/>
      <c r="P81" s="1697"/>
      <c r="Q81" s="1382"/>
    </row>
    <row r="82" ht="15.75" spans="1:17">
      <c r="A82" s="1342"/>
      <c r="B82" s="1349" t="s">
        <v>212</v>
      </c>
      <c r="C82" s="1346" t="s">
        <v>949</v>
      </c>
      <c r="D82" s="1346" t="s">
        <v>950</v>
      </c>
      <c r="E82" s="1346" t="s">
        <v>951</v>
      </c>
      <c r="F82" s="1346" t="s">
        <v>952</v>
      </c>
      <c r="G82" s="1346" t="s">
        <v>953</v>
      </c>
      <c r="H82" s="1346"/>
      <c r="I82" s="1346"/>
      <c r="J82" s="1346"/>
      <c r="K82" s="1346"/>
      <c r="L82" s="1346"/>
      <c r="M82" s="1405"/>
      <c r="N82" s="2367"/>
      <c r="O82" s="2367"/>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67"/>
      <c r="O83" s="2367"/>
      <c r="P83" s="1697"/>
      <c r="Q83" s="1382"/>
    </row>
    <row r="84" ht="15.75" spans="1:17">
      <c r="A84" s="1342"/>
      <c r="B84" s="1345" t="s">
        <v>902</v>
      </c>
      <c r="C84" s="1058" t="s">
        <v>226</v>
      </c>
      <c r="D84" s="1058" t="s">
        <v>238</v>
      </c>
      <c r="E84" s="1058" t="s">
        <v>249</v>
      </c>
      <c r="F84" s="1058" t="s">
        <v>259</v>
      </c>
      <c r="G84" s="1058" t="s">
        <v>266</v>
      </c>
      <c r="H84" s="1346"/>
      <c r="I84" s="1346"/>
      <c r="J84" s="1346"/>
      <c r="K84" s="1039"/>
      <c r="L84" s="1039"/>
      <c r="M84" s="1394"/>
      <c r="N84" s="2366"/>
      <c r="O84" s="2366"/>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67"/>
      <c r="O85" s="2367"/>
      <c r="P85" s="1697"/>
      <c r="Q85" s="1382"/>
    </row>
    <row r="86" s="1080" customFormat="1" ht="15.75" spans="1:17">
      <c r="A86" s="1362"/>
      <c r="B86" s="1345" t="s">
        <v>903</v>
      </c>
      <c r="C86" s="1353"/>
      <c r="D86" s="1353"/>
      <c r="E86" s="1353"/>
      <c r="F86" s="1353"/>
      <c r="G86" s="1353"/>
      <c r="H86" s="1353"/>
      <c r="I86" s="1353"/>
      <c r="J86" s="1353"/>
      <c r="K86" s="1353"/>
      <c r="L86" s="1353"/>
      <c r="M86" s="1655"/>
      <c r="N86" s="2365"/>
      <c r="O86" s="2365"/>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67"/>
      <c r="O87" s="2367"/>
      <c r="P87" s="1697"/>
      <c r="Q87" s="1382"/>
    </row>
    <row r="88" s="1080" customFormat="1" ht="15.75" spans="1:17">
      <c r="A88" s="1362"/>
      <c r="B88" s="1345" t="s">
        <v>904</v>
      </c>
      <c r="C88" s="2372" t="s">
        <v>907</v>
      </c>
      <c r="D88" s="2372" t="s">
        <v>905</v>
      </c>
      <c r="E88" s="2372" t="s">
        <v>954</v>
      </c>
      <c r="F88" s="2373" t="s">
        <v>955</v>
      </c>
      <c r="G88" s="2372" t="s">
        <v>906</v>
      </c>
      <c r="H88" s="2372" t="s">
        <v>956</v>
      </c>
      <c r="I88" s="2372" t="s">
        <v>957</v>
      </c>
      <c r="J88" s="2372" t="s">
        <v>958</v>
      </c>
      <c r="K88" s="2372" t="s">
        <v>908</v>
      </c>
      <c r="L88" s="1353"/>
      <c r="M88" s="1655"/>
      <c r="N88" s="2365"/>
      <c r="O88" s="2365"/>
      <c r="P88" s="1697"/>
      <c r="Q88" s="1382"/>
    </row>
    <row r="89" s="1080" customFormat="1" ht="15.75" spans="1:17">
      <c r="A89" s="1362"/>
      <c r="B89" s="1347"/>
      <c r="C89" s="1363">
        <v>100</v>
      </c>
      <c r="D89" s="1348">
        <f t="shared" ref="D89:M89" si="21">C89-$K26</f>
        <v>99.5</v>
      </c>
      <c r="E89" s="1348">
        <f t="shared" si="21"/>
        <v>99</v>
      </c>
      <c r="F89" s="1348">
        <f t="shared" si="21"/>
        <v>98.5</v>
      </c>
      <c r="G89" s="1348">
        <f t="shared" si="21"/>
        <v>98</v>
      </c>
      <c r="H89" s="1348">
        <f t="shared" si="21"/>
        <v>97.5</v>
      </c>
      <c r="I89" s="1348">
        <f t="shared" si="21"/>
        <v>97</v>
      </c>
      <c r="J89" s="1348">
        <f t="shared" si="21"/>
        <v>96.5</v>
      </c>
      <c r="K89" s="1348">
        <f t="shared" si="21"/>
        <v>96</v>
      </c>
      <c r="L89" s="1348">
        <f t="shared" si="21"/>
        <v>95.5</v>
      </c>
      <c r="M89" s="1348">
        <f t="shared" si="21"/>
        <v>95</v>
      </c>
      <c r="N89" s="2367"/>
      <c r="O89" s="2367"/>
      <c r="P89" s="1697"/>
      <c r="Q89" s="1382"/>
    </row>
    <row r="90" s="1082" customFormat="1" ht="15.75" spans="1:17">
      <c r="A90" s="1352"/>
      <c r="B90" s="1345" t="str">
        <f>B27</f>
        <v>楼层</v>
      </c>
      <c r="C90" s="2374" t="s">
        <v>910</v>
      </c>
      <c r="D90" s="2374" t="s">
        <v>911</v>
      </c>
      <c r="E90" s="2374" t="s">
        <v>912</v>
      </c>
      <c r="F90" s="2374" t="s">
        <v>913</v>
      </c>
      <c r="G90" s="1353"/>
      <c r="H90" s="1045"/>
      <c r="I90" s="1045"/>
      <c r="J90" s="1045"/>
      <c r="K90" s="1045"/>
      <c r="L90" s="1045"/>
      <c r="M90" s="1397"/>
      <c r="N90" s="2378"/>
      <c r="O90" s="2378"/>
      <c r="P90" s="1702"/>
      <c r="Q90" s="1414"/>
    </row>
    <row r="91" s="1082" customFormat="1" ht="15.75" spans="1:17">
      <c r="A91" s="1352"/>
      <c r="B91" s="1347"/>
      <c r="C91" s="2375" t="s">
        <v>959</v>
      </c>
      <c r="D91" s="2375" t="s">
        <v>960</v>
      </c>
      <c r="E91" s="2375" t="s">
        <v>961</v>
      </c>
      <c r="F91" s="2375" t="s">
        <v>962</v>
      </c>
      <c r="G91" s="1354"/>
      <c r="H91" s="1355"/>
      <c r="I91" s="1355"/>
      <c r="J91" s="1355"/>
      <c r="K91" s="1355"/>
      <c r="L91" s="1355"/>
      <c r="M91" s="1400"/>
      <c r="N91" s="2378"/>
      <c r="O91" s="2378"/>
      <c r="P91" s="1702"/>
      <c r="Q91" s="1414"/>
    </row>
    <row r="92" ht="15.75" spans="1:17">
      <c r="A92" s="1342"/>
      <c r="B92" s="1345">
        <f>B28</f>
        <v>111</v>
      </c>
      <c r="C92" s="1353"/>
      <c r="D92" s="1353"/>
      <c r="E92" s="1353"/>
      <c r="F92" s="1353"/>
      <c r="G92" s="1366"/>
      <c r="H92" s="1366"/>
      <c r="I92" s="1366"/>
      <c r="J92" s="1366"/>
      <c r="K92" s="1065"/>
      <c r="L92" s="1065"/>
      <c r="M92" s="1408"/>
      <c r="N92" s="2366"/>
      <c r="O92" s="2366"/>
      <c r="P92" s="1697"/>
      <c r="Q92" s="1382"/>
    </row>
    <row r="93" ht="15.75" spans="1:17">
      <c r="A93" s="1342"/>
      <c r="B93" s="1347"/>
      <c r="C93" s="1354"/>
      <c r="D93" s="1344"/>
      <c r="E93" s="1344"/>
      <c r="F93" s="1344"/>
      <c r="G93" s="1344"/>
      <c r="H93" s="1344"/>
      <c r="I93" s="1344"/>
      <c r="J93" s="1344"/>
      <c r="K93" s="1344"/>
      <c r="L93" s="1344"/>
      <c r="M93" s="1392"/>
      <c r="N93" s="2367"/>
      <c r="O93" s="2367"/>
      <c r="P93" s="1697"/>
      <c r="Q93" s="1382"/>
    </row>
    <row r="94" ht="15.75" spans="1:17">
      <c r="A94" s="1342"/>
      <c r="B94" s="1345">
        <f>B29</f>
        <v>111</v>
      </c>
      <c r="C94" s="1353"/>
      <c r="D94" s="1353"/>
      <c r="E94" s="1353"/>
      <c r="F94" s="1353"/>
      <c r="G94" s="1366"/>
      <c r="H94" s="1366"/>
      <c r="I94" s="1366"/>
      <c r="J94" s="1366"/>
      <c r="K94" s="1065"/>
      <c r="L94" s="1065"/>
      <c r="M94" s="1408"/>
      <c r="N94" s="2366"/>
      <c r="O94" s="2366"/>
      <c r="P94" s="1697"/>
      <c r="Q94" s="1382"/>
    </row>
    <row r="95" ht="15.75" spans="1:17">
      <c r="A95" s="1342"/>
      <c r="B95" s="1347"/>
      <c r="C95" s="1354"/>
      <c r="D95" s="1354"/>
      <c r="E95" s="1354"/>
      <c r="F95" s="1354"/>
      <c r="G95" s="1344"/>
      <c r="H95" s="1344"/>
      <c r="I95" s="1344"/>
      <c r="J95" s="1344"/>
      <c r="K95" s="1344"/>
      <c r="L95" s="1344"/>
      <c r="M95" s="1392"/>
      <c r="N95" s="2367"/>
      <c r="O95" s="2367"/>
      <c r="P95" s="1697"/>
      <c r="Q95" s="1382"/>
    </row>
    <row r="96" ht="15.75" spans="1:17">
      <c r="A96" s="1342"/>
      <c r="B96" s="1345">
        <f>B30</f>
        <v>111</v>
      </c>
      <c r="C96" s="1353"/>
      <c r="D96" s="1353"/>
      <c r="E96" s="1353"/>
      <c r="F96" s="1353"/>
      <c r="G96" s="1366"/>
      <c r="H96" s="1366"/>
      <c r="I96" s="1366"/>
      <c r="J96" s="1366"/>
      <c r="K96" s="1065"/>
      <c r="L96" s="1065"/>
      <c r="M96" s="1408"/>
      <c r="N96" s="2366"/>
      <c r="O96" s="2366"/>
      <c r="P96" s="1697"/>
      <c r="Q96" s="1382"/>
    </row>
    <row r="97" ht="15.75" spans="1:17">
      <c r="A97" s="1342"/>
      <c r="B97" s="1347"/>
      <c r="C97" s="1358"/>
      <c r="D97" s="1358"/>
      <c r="E97" s="1358"/>
      <c r="F97" s="1358"/>
      <c r="G97" s="1344"/>
      <c r="H97" s="1344"/>
      <c r="I97" s="1344"/>
      <c r="J97" s="1344"/>
      <c r="K97" s="1344"/>
      <c r="L97" s="1344"/>
      <c r="M97" s="1392"/>
      <c r="N97" s="2367"/>
      <c r="O97" s="2367"/>
      <c r="P97" s="1697"/>
      <c r="Q97" s="1382"/>
    </row>
    <row r="98" ht="15.75" spans="1:17">
      <c r="A98" s="1342"/>
      <c r="B98" s="1349">
        <f>B31</f>
        <v>111</v>
      </c>
      <c r="C98" s="1367"/>
      <c r="D98" s="1367"/>
      <c r="E98" s="1367"/>
      <c r="F98" s="1367"/>
      <c r="G98" s="1367"/>
      <c r="H98" s="1367"/>
      <c r="I98" s="1367"/>
      <c r="J98" s="1367"/>
      <c r="K98" s="1068"/>
      <c r="L98" s="1068"/>
      <c r="M98" s="1409"/>
      <c r="N98" s="2366"/>
      <c r="O98" s="2366"/>
      <c r="P98" s="1697"/>
      <c r="Q98" s="1382"/>
    </row>
    <row r="99" ht="15.75" spans="1:17">
      <c r="A99" s="1653"/>
      <c r="B99" s="1357"/>
      <c r="C99" s="1368"/>
      <c r="D99" s="1368"/>
      <c r="E99" s="1368"/>
      <c r="F99" s="1368"/>
      <c r="G99" s="1368"/>
      <c r="H99" s="1368"/>
      <c r="I99" s="1368"/>
      <c r="J99" s="1368"/>
      <c r="K99" s="1368"/>
      <c r="L99" s="1368"/>
      <c r="M99" s="1410"/>
      <c r="N99" s="2367"/>
      <c r="O99" s="2367"/>
      <c r="P99" s="1697"/>
      <c r="Q99" s="1382"/>
    </row>
    <row r="100" spans="1:17">
      <c r="A100" s="1340" t="s">
        <v>914</v>
      </c>
      <c r="B100" s="1341" t="s">
        <v>915</v>
      </c>
      <c r="C100" s="2376" t="s">
        <v>916</v>
      </c>
      <c r="D100" s="1268"/>
      <c r="E100" s="1268"/>
      <c r="F100" s="1268"/>
      <c r="G100" s="1268"/>
      <c r="H100" s="1268"/>
      <c r="I100" s="1268"/>
      <c r="J100" s="1268"/>
      <c r="K100" s="1032"/>
      <c r="L100" s="1032"/>
      <c r="M100" s="1389"/>
      <c r="N100" s="2366"/>
      <c r="O100" s="2366"/>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67"/>
      <c r="O101" s="2367"/>
      <c r="P101" s="1697"/>
      <c r="Q101" s="1382"/>
    </row>
    <row r="102" ht="15.75" spans="1:17">
      <c r="A102" s="1342"/>
      <c r="B102" s="1345" t="s">
        <v>918</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v>
      </c>
      <c r="I102" s="1058" t="str">
        <f t="shared" si="23"/>
        <v>(含)-</v>
      </c>
      <c r="J102" s="1058" t="str">
        <f t="shared" si="23"/>
        <v>(含)-</v>
      </c>
      <c r="K102" s="1058" t="str">
        <f t="shared" si="23"/>
        <v>(含)-</v>
      </c>
      <c r="L102" s="1058" t="str">
        <f t="shared" si="23"/>
        <v>(含)-</v>
      </c>
      <c r="M102" s="1058" t="str">
        <f>M103&amp;"(含)"&amp;"-"&amp;P103</f>
        <v>(含)-</v>
      </c>
      <c r="N102" s="2365"/>
      <c r="O102" s="2365"/>
      <c r="P102" s="1697"/>
      <c r="Q102" s="1382"/>
    </row>
    <row r="103" s="1082" customFormat="1" ht="15" spans="1:17">
      <c r="A103" s="1369"/>
      <c r="B103" s="1370"/>
      <c r="C103" s="1330">
        <v>0</v>
      </c>
      <c r="D103" s="1330">
        <v>50</v>
      </c>
      <c r="E103" s="1330">
        <v>75</v>
      </c>
      <c r="F103" s="1330">
        <v>95</v>
      </c>
      <c r="G103" s="1330">
        <v>120</v>
      </c>
      <c r="H103" s="1330">
        <v>150</v>
      </c>
      <c r="I103" s="1330"/>
      <c r="J103" s="1072"/>
      <c r="K103" s="1072"/>
      <c r="L103" s="1072"/>
      <c r="M103" s="1411"/>
      <c r="N103" s="2378"/>
      <c r="O103" s="2378"/>
      <c r="P103" s="1702"/>
      <c r="Q103" s="1414"/>
    </row>
    <row r="104" s="1082" customFormat="1" ht="15.75" spans="1:17">
      <c r="A104" s="1352"/>
      <c r="B104" s="1347"/>
      <c r="C104" s="1354">
        <v>100</v>
      </c>
      <c r="D104" s="1344">
        <v>98</v>
      </c>
      <c r="E104" s="1344">
        <v>96</v>
      </c>
      <c r="F104" s="1344">
        <v>94</v>
      </c>
      <c r="G104" s="1344">
        <v>92</v>
      </c>
      <c r="H104" s="1344">
        <v>90</v>
      </c>
      <c r="I104" s="1344"/>
      <c r="J104" s="1344"/>
      <c r="K104" s="1344"/>
      <c r="L104" s="1344"/>
      <c r="M104" s="1344"/>
      <c r="N104" s="2367"/>
      <c r="O104" s="2367"/>
      <c r="P104" s="1702"/>
      <c r="Q104" s="1414"/>
    </row>
    <row r="105" ht="15.75" spans="1:17">
      <c r="A105" s="1372"/>
      <c r="B105" s="1345" t="s">
        <v>919</v>
      </c>
      <c r="C105" s="2372" t="s">
        <v>920</v>
      </c>
      <c r="D105" s="1353"/>
      <c r="E105" s="1366"/>
      <c r="F105" s="1366"/>
      <c r="G105" s="1366"/>
      <c r="H105" s="1366"/>
      <c r="I105" s="1366"/>
      <c r="J105" s="1366"/>
      <c r="K105" s="1065"/>
      <c r="L105" s="1065"/>
      <c r="M105" s="1408"/>
      <c r="N105" s="2366"/>
      <c r="O105" s="2366"/>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67"/>
      <c r="O106" s="2367"/>
      <c r="P106" s="1697"/>
      <c r="Q106" s="1382"/>
    </row>
    <row r="107" ht="15.75" spans="1:17">
      <c r="A107" s="1372"/>
      <c r="B107" s="1345" t="s">
        <v>921</v>
      </c>
      <c r="C107" s="1366"/>
      <c r="D107" s="1366"/>
      <c r="E107" s="1366"/>
      <c r="F107" s="1366"/>
      <c r="G107" s="1366"/>
      <c r="H107" s="1366"/>
      <c r="I107" s="1366"/>
      <c r="J107" s="1366"/>
      <c r="K107" s="1065"/>
      <c r="L107" s="1065"/>
      <c r="M107" s="1408"/>
      <c r="N107" s="2366"/>
      <c r="O107" s="2366"/>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67"/>
      <c r="O108" s="2367"/>
      <c r="P108" s="1697"/>
      <c r="Q108" s="1382"/>
    </row>
    <row r="109" ht="15.75" spans="1:17">
      <c r="A109" s="1372"/>
      <c r="B109" s="1345" t="s">
        <v>922</v>
      </c>
      <c r="C109" s="2372" t="s">
        <v>923</v>
      </c>
      <c r="D109" s="1353"/>
      <c r="E109" s="1353"/>
      <c r="F109" s="1366"/>
      <c r="G109" s="1366"/>
      <c r="H109" s="1366"/>
      <c r="I109" s="1366"/>
      <c r="J109" s="1366"/>
      <c r="K109" s="1065"/>
      <c r="L109" s="1065"/>
      <c r="M109" s="1408"/>
      <c r="N109" s="2366"/>
      <c r="O109" s="2366"/>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67"/>
      <c r="O110" s="2367"/>
      <c r="P110" s="1697"/>
      <c r="Q110" s="1382"/>
    </row>
    <row r="111" s="1082" customFormat="1" ht="15.75" spans="1:17">
      <c r="A111" s="1369"/>
      <c r="B111" s="1345" t="s">
        <v>924</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78"/>
      <c r="O111" s="2378"/>
      <c r="P111" s="1702"/>
      <c r="Q111" s="1414"/>
    </row>
    <row r="112" s="1082" customFormat="1" ht="15" spans="1:17">
      <c r="A112" s="1369"/>
      <c r="B112" s="1349"/>
      <c r="C112" s="642">
        <v>0.5</v>
      </c>
      <c r="D112" s="642">
        <v>0.6</v>
      </c>
      <c r="E112" s="642">
        <v>0.7</v>
      </c>
      <c r="F112" s="642">
        <v>0.8</v>
      </c>
      <c r="G112" s="642">
        <v>0.9</v>
      </c>
      <c r="H112" s="642">
        <v>1.0001</v>
      </c>
      <c r="I112" s="642"/>
      <c r="J112" s="2379"/>
      <c r="K112" s="2379"/>
      <c r="L112" s="2379"/>
      <c r="M112" s="2380"/>
      <c r="N112" s="2378"/>
      <c r="O112" s="2378"/>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78"/>
      <c r="O113" s="2378"/>
      <c r="P113" s="1702"/>
      <c r="Q113" s="1414"/>
    </row>
    <row r="114" ht="15.75" spans="1:17">
      <c r="A114" s="1372"/>
      <c r="B114" s="1345" t="s">
        <v>925</v>
      </c>
      <c r="C114" s="2372" t="s">
        <v>926</v>
      </c>
      <c r="D114" s="1353"/>
      <c r="E114" s="1366"/>
      <c r="F114" s="1366"/>
      <c r="G114" s="1366"/>
      <c r="H114" s="1366"/>
      <c r="I114" s="1366"/>
      <c r="J114" s="1366"/>
      <c r="K114" s="1065"/>
      <c r="L114" s="1065"/>
      <c r="M114" s="1408"/>
      <c r="N114" s="2366"/>
      <c r="O114" s="2366"/>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67"/>
      <c r="O115" s="2367"/>
      <c r="P115" s="1697"/>
      <c r="Q115" s="1382"/>
    </row>
    <row r="116" ht="15.75" spans="1:17">
      <c r="A116" s="1372"/>
      <c r="B116" s="1345" t="s">
        <v>927</v>
      </c>
      <c r="C116" s="2372" t="s">
        <v>901</v>
      </c>
      <c r="D116" s="1353"/>
      <c r="E116" s="1353"/>
      <c r="F116" s="1353"/>
      <c r="G116" s="1353"/>
      <c r="H116" s="1366"/>
      <c r="I116" s="1366"/>
      <c r="J116" s="1366"/>
      <c r="K116" s="1065"/>
      <c r="L116" s="1065"/>
      <c r="M116" s="1408"/>
      <c r="N116" s="2366"/>
      <c r="O116" s="2366"/>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67"/>
      <c r="O117" s="2367"/>
      <c r="P117" s="1697"/>
      <c r="Q117" s="1382"/>
    </row>
    <row r="118" ht="15.75" spans="1:17">
      <c r="A118" s="1372"/>
      <c r="B118" s="1345" t="s">
        <v>928</v>
      </c>
      <c r="C118" s="1366"/>
      <c r="D118" s="1366"/>
      <c r="E118" s="1366"/>
      <c r="F118" s="1366"/>
      <c r="G118" s="1366"/>
      <c r="H118" s="1366"/>
      <c r="I118" s="1366"/>
      <c r="J118" s="1366"/>
      <c r="K118" s="1065"/>
      <c r="L118" s="1065"/>
      <c r="M118" s="1408"/>
      <c r="N118" s="2366"/>
      <c r="O118" s="2366"/>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67"/>
      <c r="O119" s="2367"/>
      <c r="P119" s="1697"/>
      <c r="Q119" s="1382"/>
    </row>
    <row r="120" s="1082" customFormat="1" ht="28.5" spans="1:17">
      <c r="A120" s="1369"/>
      <c r="B120" s="1345" t="s">
        <v>929</v>
      </c>
      <c r="C120" s="1353"/>
      <c r="D120" s="1353"/>
      <c r="E120" s="1353"/>
      <c r="F120" s="1353"/>
      <c r="G120" s="1353"/>
      <c r="H120" s="1353"/>
      <c r="I120" s="1353"/>
      <c r="J120" s="1353"/>
      <c r="K120" s="1353"/>
      <c r="L120" s="1353"/>
      <c r="M120" s="1655"/>
      <c r="N120" s="2378"/>
      <c r="O120" s="2378"/>
      <c r="P120" s="1702"/>
      <c r="Q120" s="1414"/>
    </row>
    <row r="121" s="1082" customFormat="1" ht="15.75" spans="1:17">
      <c r="A121" s="1352"/>
      <c r="B121" s="1343"/>
      <c r="C121" s="1354"/>
      <c r="D121" s="1344"/>
      <c r="E121" s="1344"/>
      <c r="F121" s="1344"/>
      <c r="G121" s="1344"/>
      <c r="H121" s="1344"/>
      <c r="I121" s="1344"/>
      <c r="J121" s="1344"/>
      <c r="K121" s="1344"/>
      <c r="L121" s="1344"/>
      <c r="M121" s="1344"/>
      <c r="N121" s="2378"/>
      <c r="O121" s="2378"/>
      <c r="P121" s="1702"/>
      <c r="Q121" s="1414"/>
    </row>
    <row r="122" ht="15.75" spans="1:17">
      <c r="A122" s="1372"/>
      <c r="B122" s="1345" t="s">
        <v>930</v>
      </c>
      <c r="C122" s="2372" t="s">
        <v>923</v>
      </c>
      <c r="D122" s="2372" t="s">
        <v>931</v>
      </c>
      <c r="E122" s="2372" t="s">
        <v>963</v>
      </c>
      <c r="F122" s="2377" t="s">
        <v>964</v>
      </c>
      <c r="G122" s="1366"/>
      <c r="H122" s="1366"/>
      <c r="I122" s="1366"/>
      <c r="J122" s="1366"/>
      <c r="K122" s="1065"/>
      <c r="L122" s="1065"/>
      <c r="M122" s="1408"/>
      <c r="N122" s="2366"/>
      <c r="O122" s="2366"/>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48">
        <f t="shared" si="29"/>
        <v>100</v>
      </c>
      <c r="N123" s="2367"/>
      <c r="O123" s="2367"/>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6"/>
      <c r="O124" s="2366"/>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67"/>
      <c r="O125" s="2367"/>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78"/>
      <c r="O126" s="2378"/>
      <c r="P126" s="1702"/>
      <c r="Q126" s="1414"/>
    </row>
    <row r="127" s="1082" customFormat="1" ht="15.75" spans="1:17">
      <c r="A127" s="1352"/>
      <c r="B127" s="1347"/>
      <c r="C127" s="1354"/>
      <c r="D127" s="1344"/>
      <c r="E127" s="1344"/>
      <c r="F127" s="1344"/>
      <c r="G127" s="1354"/>
      <c r="H127" s="1355"/>
      <c r="I127" s="1355"/>
      <c r="J127" s="1355"/>
      <c r="K127" s="1355"/>
      <c r="L127" s="1355"/>
      <c r="M127" s="1400"/>
      <c r="N127" s="2378"/>
      <c r="O127" s="2378"/>
      <c r="P127" s="1702"/>
      <c r="Q127" s="1414"/>
    </row>
    <row r="128" ht="15.75" spans="1:17">
      <c r="A128" s="1372"/>
      <c r="B128" s="1345">
        <f>B45</f>
        <v>111</v>
      </c>
      <c r="C128" s="1353"/>
      <c r="D128" s="1353"/>
      <c r="E128" s="1353"/>
      <c r="F128" s="1353"/>
      <c r="G128" s="1366"/>
      <c r="H128" s="1366"/>
      <c r="I128" s="1366"/>
      <c r="J128" s="1366"/>
      <c r="K128" s="1065"/>
      <c r="L128" s="1065"/>
      <c r="M128" s="1408"/>
      <c r="N128" s="2366"/>
      <c r="O128" s="2366"/>
      <c r="P128" s="1697"/>
      <c r="Q128" s="1382"/>
    </row>
    <row r="129" ht="15.75" spans="1:17">
      <c r="A129" s="1342"/>
      <c r="B129" s="1347"/>
      <c r="C129" s="1354"/>
      <c r="D129" s="1354"/>
      <c r="E129" s="1354"/>
      <c r="F129" s="1354"/>
      <c r="G129" s="1344"/>
      <c r="H129" s="1344"/>
      <c r="I129" s="1344"/>
      <c r="J129" s="1344"/>
      <c r="K129" s="1344"/>
      <c r="L129" s="1344"/>
      <c r="M129" s="1392"/>
      <c r="N129" s="2367"/>
      <c r="O129" s="2367"/>
      <c r="P129" s="1697"/>
      <c r="Q129" s="1382"/>
    </row>
    <row r="130" ht="15.75" spans="1:17">
      <c r="A130" s="1372"/>
      <c r="B130" s="1349">
        <f>B46</f>
        <v>111</v>
      </c>
      <c r="C130" s="1353"/>
      <c r="D130" s="1353"/>
      <c r="E130" s="1353"/>
      <c r="F130" s="1353"/>
      <c r="G130" s="1367"/>
      <c r="H130" s="1367"/>
      <c r="I130" s="1367"/>
      <c r="J130" s="1367"/>
      <c r="K130" s="1026"/>
      <c r="L130" s="1026"/>
      <c r="M130" s="1409"/>
      <c r="N130" s="2366"/>
      <c r="O130" s="2366"/>
      <c r="P130" s="1697"/>
      <c r="Q130" s="1382"/>
    </row>
    <row r="131" ht="15.75" spans="1:17">
      <c r="A131" s="1653"/>
      <c r="B131" s="1357"/>
      <c r="C131" s="1358"/>
      <c r="D131" s="1358"/>
      <c r="E131" s="1358"/>
      <c r="F131" s="1358"/>
      <c r="G131" s="1368"/>
      <c r="H131" s="1368"/>
      <c r="I131" s="1368"/>
      <c r="J131" s="1368"/>
      <c r="K131" s="1368"/>
      <c r="L131" s="1368"/>
      <c r="M131" s="1410"/>
      <c r="N131" s="2367"/>
      <c r="O131" s="2367"/>
      <c r="P131" s="1697"/>
      <c r="Q131" s="1382"/>
    </row>
    <row r="136" ht="15" spans="2:2">
      <c r="B136" s="2381" t="s">
        <v>965</v>
      </c>
    </row>
    <row r="137" ht="15" spans="2:11">
      <c r="B137" s="2382" t="s">
        <v>966</v>
      </c>
      <c r="C137" s="2383"/>
      <c r="D137" s="2383"/>
      <c r="E137" s="2383"/>
      <c r="F137" s="2383"/>
      <c r="G137" s="2384"/>
      <c r="H137" s="2385"/>
      <c r="I137" s="2409" t="s">
        <v>967</v>
      </c>
      <c r="J137" s="2383"/>
      <c r="K137" s="2410"/>
    </row>
    <row r="138" ht="15" spans="2:11">
      <c r="B138" s="2386"/>
      <c r="C138" s="1218" t="s">
        <v>968</v>
      </c>
      <c r="D138" s="1218" t="s">
        <v>969</v>
      </c>
      <c r="E138" s="2387" t="s">
        <v>970</v>
      </c>
      <c r="F138" s="2388" t="s">
        <v>971</v>
      </c>
      <c r="G138" s="1218" t="s">
        <v>969</v>
      </c>
      <c r="H138" s="2389" t="s">
        <v>970</v>
      </c>
      <c r="I138" s="2411"/>
      <c r="J138" s="1218" t="s">
        <v>972</v>
      </c>
      <c r="K138" s="2389" t="s">
        <v>973</v>
      </c>
    </row>
    <row r="139" ht="15" spans="2:11">
      <c r="B139" s="2390">
        <v>6</v>
      </c>
      <c r="C139" s="2391">
        <v>96</v>
      </c>
      <c r="D139" s="2392" t="s">
        <v>974</v>
      </c>
      <c r="E139" s="2393">
        <v>100</v>
      </c>
      <c r="F139" s="2394">
        <v>102.5</v>
      </c>
      <c r="G139" s="2392" t="s">
        <v>974</v>
      </c>
      <c r="H139" s="2395">
        <v>105</v>
      </c>
      <c r="I139" s="2412" t="s">
        <v>975</v>
      </c>
      <c r="J139" s="2391">
        <v>27</v>
      </c>
      <c r="K139" s="2413">
        <f>C145/(J139-2)</f>
        <v>0.00292</v>
      </c>
    </row>
    <row r="140" ht="15" spans="2:11">
      <c r="B140" s="2396">
        <v>5</v>
      </c>
      <c r="C140" s="2397">
        <v>100</v>
      </c>
      <c r="D140" s="2397"/>
      <c r="E140" s="2398"/>
      <c r="F140" s="2399">
        <v>102</v>
      </c>
      <c r="G140" s="2397"/>
      <c r="H140" s="2400"/>
      <c r="I140" s="2414" t="s">
        <v>976</v>
      </c>
      <c r="J140" s="2415">
        <f>ROUNDUP((J139-1)/2,0)</f>
        <v>13</v>
      </c>
      <c r="K140" s="2416">
        <v>100</v>
      </c>
    </row>
    <row r="141" ht="15" spans="2:11">
      <c r="B141" s="2396">
        <v>4</v>
      </c>
      <c r="C141" s="2397">
        <v>102</v>
      </c>
      <c r="D141" s="2397"/>
      <c r="E141" s="2398"/>
      <c r="F141" s="2399">
        <v>101.5</v>
      </c>
      <c r="G141" s="2397"/>
      <c r="H141" s="2400"/>
      <c r="I141" s="2414" t="s">
        <v>977</v>
      </c>
      <c r="J141" s="2415">
        <v>1</v>
      </c>
      <c r="K141" s="2417">
        <f>ROUND(100+(J141-J140)*K139*100,1)</f>
        <v>96.5</v>
      </c>
    </row>
    <row r="142" ht="15" spans="2:11">
      <c r="B142" s="2396">
        <v>3</v>
      </c>
      <c r="C142" s="2397">
        <v>103</v>
      </c>
      <c r="D142" s="2397"/>
      <c r="E142" s="2398"/>
      <c r="F142" s="2399">
        <v>101</v>
      </c>
      <c r="G142" s="2397"/>
      <c r="H142" s="2400"/>
      <c r="I142" s="2414" t="s">
        <v>978</v>
      </c>
      <c r="J142" s="2415">
        <f>J139</f>
        <v>27</v>
      </c>
      <c r="K142" s="2418">
        <v>95</v>
      </c>
    </row>
    <row r="143" ht="15" spans="2:11">
      <c r="B143" s="2396">
        <v>2</v>
      </c>
      <c r="C143" s="2397">
        <v>100</v>
      </c>
      <c r="D143" s="2397"/>
      <c r="E143" s="2398"/>
      <c r="F143" s="2399">
        <v>100.5</v>
      </c>
      <c r="G143" s="2397"/>
      <c r="H143" s="2400"/>
      <c r="I143" s="2414" t="s">
        <v>979</v>
      </c>
      <c r="J143" s="2397">
        <v>9</v>
      </c>
      <c r="K143" s="2417">
        <f>ROUND(100+(J143-J140)*K139*100,1)</f>
        <v>98.8</v>
      </c>
    </row>
    <row r="144" ht="15" spans="2:11">
      <c r="B144" s="2396">
        <v>1</v>
      </c>
      <c r="C144" s="2397">
        <v>98</v>
      </c>
      <c r="D144" s="2401" t="s">
        <v>980</v>
      </c>
      <c r="E144" s="2398">
        <v>102</v>
      </c>
      <c r="F144" s="2402">
        <v>100</v>
      </c>
      <c r="G144" s="2401" t="s">
        <v>980</v>
      </c>
      <c r="H144" s="2400">
        <v>105</v>
      </c>
      <c r="I144" s="2414" t="s">
        <v>979</v>
      </c>
      <c r="J144" s="2397">
        <v>10</v>
      </c>
      <c r="K144" s="2417">
        <f>ROUND(100+(J144-J140)*K139*100,1)</f>
        <v>99.1</v>
      </c>
    </row>
    <row r="145" ht="15.75" spans="2:11">
      <c r="B145" s="2403" t="s">
        <v>981</v>
      </c>
      <c r="C145" s="2404">
        <f>ROUND(MAX(C139:C144)/MIN(C139:C144)-1,3)</f>
        <v>0.073</v>
      </c>
      <c r="D145" s="2405"/>
      <c r="E145" s="2405"/>
      <c r="F145" s="2406" t="s">
        <v>982</v>
      </c>
      <c r="G145" s="2407"/>
      <c r="H145" s="2408"/>
      <c r="I145" s="2419" t="s">
        <v>979</v>
      </c>
      <c r="J145" s="2420">
        <v>8</v>
      </c>
      <c r="K145" s="2421">
        <f>ROUND(100+(J145-J140)*K139*100,1)</f>
        <v>98.5</v>
      </c>
    </row>
    <row r="147" spans="2:2">
      <c r="B147" s="2381" t="s">
        <v>983</v>
      </c>
    </row>
    <row r="148" spans="2:2">
      <c r="B148" s="2381" t="s">
        <v>984</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I94" workbookViewId="0">
      <selection activeCell="L100" sqref="L100"/>
    </sheetView>
  </sheetViews>
  <sheetFormatPr defaultColWidth="9" defaultRowHeight="13.5"/>
  <cols>
    <col min="1" max="1" width="17.125" customWidth="1"/>
    <col min="2" max="3" width="9" hidden="1" customWidth="1"/>
    <col min="4" max="4" width="11.125" hidden="1" customWidth="1"/>
    <col min="5" max="5" width="9" hidden="1" customWidth="1"/>
    <col min="7" max="7" width="9" hidden="1" customWidth="1"/>
    <col min="9" max="9" width="10.25" customWidth="1"/>
    <col min="14" max="14" width="14.125" customWidth="1"/>
    <col min="15" max="15" width="17.875" customWidth="1"/>
    <col min="20" max="20" width="10.875" customWidth="1"/>
    <col min="24" max="24" width="14.875"/>
    <col min="57" max="57" width="11.125"/>
    <col min="59" max="59" width="13.625"/>
    <col min="62" max="62" width="13.625"/>
  </cols>
  <sheetData/>
  <pageMargins left="0.7" right="0.7" top="0.75" bottom="0.75" header="0.3" footer="0.3"/>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B1" workbookViewId="0">
      <selection activeCell="D26" sqref="D26"/>
    </sheetView>
  </sheetViews>
  <sheetFormatPr defaultColWidth="9" defaultRowHeight="15"/>
  <cols>
    <col min="1" max="1" width="9" style="2005" customWidth="1"/>
    <col min="2" max="2" width="20.625" style="2084" customWidth="1"/>
    <col min="3" max="3" width="11.875" style="2084" customWidth="1"/>
    <col min="4" max="4" width="40.5" style="2005" customWidth="1"/>
    <col min="5" max="5" width="15.75" style="2005" customWidth="1"/>
    <col min="6" max="6" width="10.625" style="2005" customWidth="1"/>
    <col min="7" max="7" width="4.875" style="2005" customWidth="1"/>
    <col min="8" max="8" width="8.5" style="2005" customWidth="1"/>
    <col min="9" max="9" width="21.25" style="2005" customWidth="1"/>
    <col min="10" max="10" width="12.25" style="2005" customWidth="1"/>
    <col min="11" max="11" width="40.125" style="2085" customWidth="1"/>
    <col min="12" max="12" width="18.375" style="2005" customWidth="1"/>
    <col min="13" max="13" width="13" style="2005" customWidth="1"/>
    <col min="14" max="14" width="13.125" style="2083" customWidth="1"/>
    <col min="15" max="15" width="5.25" style="2083" customWidth="1"/>
    <col min="16" max="16" width="24.875" style="2083" customWidth="1"/>
    <col min="17" max="17" width="13.75" style="2086" customWidth="1"/>
    <col min="18" max="18" width="26.125" style="2083" customWidth="1"/>
    <col min="19" max="19" width="1.5" style="2083" customWidth="1"/>
    <col min="20" max="37" width="9" style="2083"/>
    <col min="38" max="16384" width="9" style="2005"/>
  </cols>
  <sheetData>
    <row r="1" s="2081" customFormat="1" ht="20.25" spans="1:37">
      <c r="A1" s="2087" t="s">
        <v>985</v>
      </c>
      <c r="B1" s="2088"/>
      <c r="C1" s="2089"/>
      <c r="D1" s="2090" t="s">
        <v>97</v>
      </c>
      <c r="E1" s="2091" t="s">
        <v>121</v>
      </c>
      <c r="F1" s="2092"/>
      <c r="G1" s="2093" t="e">
        <f>MATCH(C1,'数据-取费表'!A19:A19,0)+5</f>
        <v>#N/A</v>
      </c>
      <c r="H1" s="2094"/>
      <c r="I1" s="2229"/>
      <c r="J1" s="2229"/>
      <c r="K1" s="2230"/>
      <c r="L1" s="2229"/>
      <c r="M1" s="2229"/>
      <c r="N1" s="2231"/>
      <c r="O1" s="2231"/>
      <c r="P1" s="2231"/>
      <c r="Q1" s="2320"/>
      <c r="R1" s="2231"/>
      <c r="S1" s="2231"/>
      <c r="T1" s="2231"/>
      <c r="U1" s="2231"/>
      <c r="V1" s="2231"/>
      <c r="W1" s="2231"/>
      <c r="X1" s="2231"/>
      <c r="Y1" s="2231"/>
      <c r="Z1" s="2231"/>
      <c r="AA1" s="2231"/>
      <c r="AB1" s="2231"/>
      <c r="AC1" s="2231"/>
      <c r="AD1" s="2231"/>
      <c r="AE1" s="2231"/>
      <c r="AF1" s="2231"/>
      <c r="AG1" s="2231"/>
      <c r="AH1" s="2231"/>
      <c r="AI1" s="2231"/>
      <c r="AJ1" s="2231"/>
      <c r="AK1" s="2231"/>
    </row>
    <row r="2" ht="18" customHeight="1" spans="1:13">
      <c r="A2" s="721" t="s">
        <v>870</v>
      </c>
      <c r="B2" s="2095">
        <f ca="1">IF(C2="元",IF('数据-取费表'!B29="租赁期内按合同租金",C40+L47+J29,C40+L47),ROUND(IF('数据-取费表'!B29="租赁期内按合同租金",(C40+L47+J29)/10000,(C40+L47)/10000),0))</f>
        <v>6047099</v>
      </c>
      <c r="C2" s="2096" t="str">
        <f>'数据-取费表'!B3</f>
        <v>元</v>
      </c>
      <c r="D2" s="1506"/>
      <c r="E2" s="2097"/>
      <c r="F2" s="2097"/>
      <c r="G2" s="2098"/>
      <c r="H2" s="2099"/>
      <c r="I2" s="2099"/>
      <c r="J2" s="2099"/>
      <c r="K2" s="2232"/>
      <c r="L2" s="2099"/>
      <c r="M2" s="2099"/>
    </row>
    <row r="3" ht="18" customHeight="1" spans="1:13">
      <c r="A3" s="2100" t="s">
        <v>871</v>
      </c>
      <c r="B3" s="2101">
        <f ca="1">ROUND(IF('数据-取费表'!B29="租赁期内按合同租金",(C40+L47+J29)/F43,(C40+L47)/F43),0)</f>
        <v>36705</v>
      </c>
      <c r="C3" s="2096" t="s">
        <v>986</v>
      </c>
      <c r="D3" s="1506"/>
      <c r="E3" s="2097"/>
      <c r="F3" s="2097"/>
      <c r="G3" s="2098"/>
      <c r="H3" s="2102" t="s">
        <v>987</v>
      </c>
      <c r="I3" s="2099"/>
      <c r="J3" s="2099"/>
      <c r="K3" s="2232"/>
      <c r="L3" s="2099"/>
      <c r="M3" s="2099"/>
    </row>
    <row r="4" ht="18" customHeight="1" spans="1:13">
      <c r="A4" s="2103" t="s">
        <v>988</v>
      </c>
      <c r="B4" s="2104" t="s">
        <v>989</v>
      </c>
      <c r="C4" s="2104" t="s">
        <v>990</v>
      </c>
      <c r="D4" s="2104" t="s">
        <v>991</v>
      </c>
      <c r="E4" s="2105" t="s">
        <v>992</v>
      </c>
      <c r="F4" s="2106"/>
      <c r="G4" s="2107"/>
      <c r="H4" s="2103" t="s">
        <v>988</v>
      </c>
      <c r="I4" s="2104" t="s">
        <v>989</v>
      </c>
      <c r="J4" s="2104" t="s">
        <v>990</v>
      </c>
      <c r="K4" s="2104" t="s">
        <v>991</v>
      </c>
      <c r="L4" s="2105" t="s">
        <v>992</v>
      </c>
      <c r="M4" s="2106"/>
    </row>
    <row r="5" ht="18" customHeight="1" spans="1:13">
      <c r="A5" s="2108">
        <v>1</v>
      </c>
      <c r="B5" s="2109" t="s">
        <v>993</v>
      </c>
      <c r="C5" s="2110">
        <f ca="1">C6+C10+C12</f>
        <v>254758</v>
      </c>
      <c r="D5" s="2111" t="s">
        <v>994</v>
      </c>
      <c r="E5" s="1506"/>
      <c r="F5" s="2112"/>
      <c r="G5" s="2107"/>
      <c r="H5" s="2108">
        <v>1</v>
      </c>
      <c r="I5" s="2109" t="s">
        <v>993</v>
      </c>
      <c r="J5" s="2110">
        <f ca="1">J6+J10+J12</f>
        <v>0</v>
      </c>
      <c r="K5" s="2233" t="s">
        <v>995</v>
      </c>
      <c r="L5" s="1506"/>
      <c r="M5" s="2112"/>
    </row>
    <row r="6" ht="18" customHeight="1" spans="1:13">
      <c r="A6" s="2113" t="s">
        <v>996</v>
      </c>
      <c r="B6" s="2114" t="s">
        <v>997</v>
      </c>
      <c r="C6" s="2110">
        <f>ROUND(F6*F8*F7*(1-F9),0)</f>
        <v>254440</v>
      </c>
      <c r="D6" s="2115" t="s">
        <v>998</v>
      </c>
      <c r="E6" s="2116" t="s">
        <v>999</v>
      </c>
      <c r="F6" s="2117">
        <f>'数据-取费表'!B30</f>
        <v>143</v>
      </c>
      <c r="G6" s="2107"/>
      <c r="H6" s="2113" t="s">
        <v>996</v>
      </c>
      <c r="I6" s="2114" t="s">
        <v>997</v>
      </c>
      <c r="J6" s="2110">
        <f>ROUND(M6*M8*M7*(1-M9),0)</f>
        <v>0</v>
      </c>
      <c r="K6" s="2115" t="s">
        <v>998</v>
      </c>
      <c r="L6" s="2116" t="s">
        <v>999</v>
      </c>
      <c r="M6" s="2117">
        <f>'数据-取费表'!B37</f>
        <v>0</v>
      </c>
    </row>
    <row r="7" ht="18" customHeight="1" spans="1:13">
      <c r="A7" s="2118"/>
      <c r="B7" s="2119"/>
      <c r="C7" s="2120"/>
      <c r="D7" s="2121"/>
      <c r="E7" s="2116" t="s">
        <v>1000</v>
      </c>
      <c r="F7" s="2117">
        <f>IF('数据-取费表'!B42="",IF(D1="仅计算典型户型",'数据-取费表'!E5,'数据-取费表'!B5),'数据-取费表'!B42)</f>
        <v>164.75</v>
      </c>
      <c r="G7" s="2107"/>
      <c r="H7" s="2122"/>
      <c r="I7" s="2119"/>
      <c r="J7" s="2120"/>
      <c r="K7" s="2121"/>
      <c r="L7" s="2116" t="s">
        <v>1000</v>
      </c>
      <c r="M7" s="2117">
        <f>IF('数据-取费表'!B42="",IF(D1="仅计算典型户型",'数据-取费表'!E5,'数据-取费表'!B5),'数据-取费表'!B42)</f>
        <v>164.75</v>
      </c>
    </row>
    <row r="8" ht="18" customHeight="1" spans="1:13">
      <c r="A8" s="2118"/>
      <c r="B8" s="2119"/>
      <c r="C8" s="2120"/>
      <c r="D8" s="2121"/>
      <c r="E8" s="2116" t="s">
        <v>1001</v>
      </c>
      <c r="F8" s="2117">
        <f>'数据-取费表'!B43</f>
        <v>12</v>
      </c>
      <c r="G8" s="2107"/>
      <c r="H8" s="2122"/>
      <c r="I8" s="2119"/>
      <c r="J8" s="2120"/>
      <c r="K8" s="2121"/>
      <c r="L8" s="2116" t="s">
        <v>1002</v>
      </c>
      <c r="M8" s="2117">
        <f>'数据-取费表'!B43</f>
        <v>12</v>
      </c>
    </row>
    <row r="9" ht="18" customHeight="1" spans="1:13">
      <c r="A9" s="2118"/>
      <c r="B9" s="2119"/>
      <c r="C9" s="2120"/>
      <c r="D9" s="2123"/>
      <c r="E9" s="2116" t="s">
        <v>1003</v>
      </c>
      <c r="F9" s="2124">
        <f>'数据-取费表'!B33</f>
        <v>0.1</v>
      </c>
      <c r="G9" s="2107"/>
      <c r="H9" s="2122"/>
      <c r="I9" s="2119"/>
      <c r="J9" s="2234"/>
      <c r="K9" s="2235"/>
      <c r="L9" s="2128" t="s">
        <v>1003</v>
      </c>
      <c r="M9" s="2124">
        <f>'数据-取费表'!B39</f>
        <v>0</v>
      </c>
    </row>
    <row r="10" ht="18" customHeight="1" spans="1:13">
      <c r="A10" s="2113" t="s">
        <v>1004</v>
      </c>
      <c r="B10" s="2125" t="s">
        <v>1005</v>
      </c>
      <c r="C10" s="2126">
        <f ca="1">ROUND(IF(F10="押一",C6/12*F11,IF(F10="押二",C6/12*2*F11,IF(F10="押三",C6/12*3*F11,C11*F11))),0)</f>
        <v>318</v>
      </c>
      <c r="D10" s="2127" t="s">
        <v>1006</v>
      </c>
      <c r="E10" s="2128" t="s">
        <v>1007</v>
      </c>
      <c r="F10" s="2129" t="s">
        <v>1008</v>
      </c>
      <c r="G10" s="2107"/>
      <c r="H10" s="2113" t="s">
        <v>1004</v>
      </c>
      <c r="I10" s="2125" t="s">
        <v>1005</v>
      </c>
      <c r="J10" s="2126">
        <f ca="1">ROUND(IF(M10="押一",J6/12*M11,IF(M10="押二",J6/12*2*M11,IF(M10="押三",J6/12*3*M11,J11*M11))),0)</f>
        <v>0</v>
      </c>
      <c r="K10" s="2115" t="s">
        <v>1006</v>
      </c>
      <c r="L10" s="2128" t="s">
        <v>1007</v>
      </c>
      <c r="M10" s="2129"/>
    </row>
    <row r="11" s="2082" customFormat="1" ht="18" customHeight="1" spans="1:37">
      <c r="A11" s="2130"/>
      <c r="B11" s="2131" t="s">
        <v>1009</v>
      </c>
      <c r="C11" s="2132"/>
      <c r="D11" s="2121"/>
      <c r="E11" s="2128" t="s">
        <v>1010</v>
      </c>
      <c r="F11" s="2133">
        <f ca="1">'数据-取费表'!B31</f>
        <v>0.015</v>
      </c>
      <c r="G11" s="2134"/>
      <c r="H11" s="2135"/>
      <c r="I11" s="2131" t="s">
        <v>1011</v>
      </c>
      <c r="J11" s="2132"/>
      <c r="K11" s="2121"/>
      <c r="L11" s="2128" t="s">
        <v>1010</v>
      </c>
      <c r="M11" s="2133">
        <f ca="1">'数据-取费表'!B31</f>
        <v>0.015</v>
      </c>
      <c r="N11" s="2236"/>
      <c r="O11" s="2236"/>
      <c r="P11" s="2236"/>
      <c r="Q11" s="2321"/>
      <c r="R11" s="2236"/>
      <c r="S11" s="2236"/>
      <c r="T11" s="2236"/>
      <c r="U11" s="2236"/>
      <c r="V11" s="2236"/>
      <c r="W11" s="2236"/>
      <c r="X11" s="2236"/>
      <c r="Y11" s="2236"/>
      <c r="Z11" s="2236"/>
      <c r="AA11" s="2236"/>
      <c r="AB11" s="2236"/>
      <c r="AC11" s="2236"/>
      <c r="AD11" s="2236"/>
      <c r="AE11" s="2236"/>
      <c r="AF11" s="2236"/>
      <c r="AG11" s="2236"/>
      <c r="AH11" s="2236"/>
      <c r="AI11" s="2236"/>
      <c r="AJ11" s="2236"/>
      <c r="AK11" s="2236"/>
    </row>
    <row r="12" ht="18" customHeight="1" spans="1:13">
      <c r="A12" s="2136" t="s">
        <v>1012</v>
      </c>
      <c r="B12" s="2137" t="s">
        <v>1013</v>
      </c>
      <c r="C12" s="2138"/>
      <c r="D12" s="2139"/>
      <c r="E12" s="2140"/>
      <c r="F12" s="2141"/>
      <c r="G12" s="2107"/>
      <c r="H12" s="2136" t="s">
        <v>1012</v>
      </c>
      <c r="I12" s="2137" t="s">
        <v>1013</v>
      </c>
      <c r="J12" s="2138"/>
      <c r="K12" s="2218"/>
      <c r="L12" s="2140"/>
      <c r="M12" s="2237"/>
    </row>
    <row r="13" s="2082" customFormat="1" ht="18" customHeight="1" spans="1:37">
      <c r="A13" s="2142">
        <v>2</v>
      </c>
      <c r="B13" s="2143" t="s">
        <v>1014</v>
      </c>
      <c r="C13" s="2144">
        <f ca="1">ROUND(C29*F13,0)</f>
        <v>604888</v>
      </c>
      <c r="D13" s="2145" t="s">
        <v>1015</v>
      </c>
      <c r="E13" s="2145" t="s">
        <v>1016</v>
      </c>
      <c r="F13" s="2146">
        <f>'数据-取费表'!E20</f>
        <v>0.7</v>
      </c>
      <c r="G13" s="2134"/>
      <c r="H13" s="2142">
        <v>2</v>
      </c>
      <c r="I13" s="2143" t="s">
        <v>1014</v>
      </c>
      <c r="J13" s="2234">
        <f ca="1">ROUND(J14*J15,0)</f>
        <v>0</v>
      </c>
      <c r="K13" s="2166" t="s">
        <v>1015</v>
      </c>
      <c r="L13" s="2238"/>
      <c r="M13" s="2239"/>
      <c r="N13" s="2236"/>
      <c r="O13" s="2236"/>
      <c r="P13" s="2236"/>
      <c r="Q13" s="2321"/>
      <c r="R13" s="2236"/>
      <c r="S13" s="2236"/>
      <c r="T13" s="2236"/>
      <c r="U13" s="2236"/>
      <c r="V13" s="2236"/>
      <c r="W13" s="2236"/>
      <c r="X13" s="2236"/>
      <c r="Y13" s="2236"/>
      <c r="Z13" s="2236"/>
      <c r="AA13" s="2236"/>
      <c r="AB13" s="2236"/>
      <c r="AC13" s="2236"/>
      <c r="AD13" s="2236"/>
      <c r="AE13" s="2236"/>
      <c r="AF13" s="2236"/>
      <c r="AG13" s="2236"/>
      <c r="AH13" s="2236"/>
      <c r="AI13" s="2236"/>
      <c r="AJ13" s="2236"/>
      <c r="AK13" s="2236"/>
    </row>
    <row r="14" s="2082" customFormat="1" ht="18" customHeight="1" spans="1:37">
      <c r="A14" s="2147" t="s">
        <v>1017</v>
      </c>
      <c r="B14" s="2116" t="s">
        <v>1018</v>
      </c>
      <c r="C14" s="2148">
        <f>IF(D1="仅计算典型户型",'数据-取费表'!F18,'数据-取费表'!E18)</f>
        <v>576625</v>
      </c>
      <c r="D14" s="2149" t="s">
        <v>1019</v>
      </c>
      <c r="E14" s="2150"/>
      <c r="F14" s="2151"/>
      <c r="G14" s="2134"/>
      <c r="H14" s="2147" t="s">
        <v>996</v>
      </c>
      <c r="I14" s="2116" t="s">
        <v>1020</v>
      </c>
      <c r="J14" s="1763">
        <f ca="1">C29</f>
        <v>864126</v>
      </c>
      <c r="K14" s="2228"/>
      <c r="L14" s="2240"/>
      <c r="M14" s="2241"/>
      <c r="N14" s="2236"/>
      <c r="O14" s="2236"/>
      <c r="P14" s="2236"/>
      <c r="Q14" s="2321"/>
      <c r="R14" s="2236"/>
      <c r="S14" s="2236"/>
      <c r="T14" s="2236"/>
      <c r="U14" s="2236"/>
      <c r="V14" s="2236"/>
      <c r="W14" s="2236"/>
      <c r="X14" s="2236"/>
      <c r="Y14" s="2236"/>
      <c r="Z14" s="2236"/>
      <c r="AA14" s="2236"/>
      <c r="AB14" s="2236"/>
      <c r="AC14" s="2236"/>
      <c r="AD14" s="2236"/>
      <c r="AE14" s="2236"/>
      <c r="AF14" s="2236"/>
      <c r="AG14" s="2236"/>
      <c r="AH14" s="2236"/>
      <c r="AI14" s="2236"/>
      <c r="AJ14" s="2236"/>
      <c r="AK14" s="2236"/>
    </row>
    <row r="15" ht="18" customHeight="1" spans="1:13">
      <c r="A15" s="2147" t="s">
        <v>1021</v>
      </c>
      <c r="B15" s="2116" t="s">
        <v>1022</v>
      </c>
      <c r="C15" s="1763">
        <f>ROUND(C14*F15,0)</f>
        <v>23065</v>
      </c>
      <c r="D15" s="2152" t="s">
        <v>1023</v>
      </c>
      <c r="E15" s="2152" t="s">
        <v>1024</v>
      </c>
      <c r="F15" s="2153">
        <f>'数据-取费表'!E21</f>
        <v>0.04</v>
      </c>
      <c r="G15" s="2107"/>
      <c r="H15" s="2154" t="s">
        <v>1004</v>
      </c>
      <c r="I15" s="2140" t="s">
        <v>1016</v>
      </c>
      <c r="J15" s="2242">
        <f>'数据-取费表'!B40</f>
        <v>0</v>
      </c>
      <c r="K15" s="2243"/>
      <c r="L15" s="2244"/>
      <c r="M15" s="2245"/>
    </row>
    <row r="16" s="2082" customFormat="1" ht="18" customHeight="1" spans="1:37">
      <c r="A16" s="2147" t="s">
        <v>1025</v>
      </c>
      <c r="B16" s="2116" t="s">
        <v>1026</v>
      </c>
      <c r="C16" s="1763">
        <f>ROUND(C14*F16,0)</f>
        <v>28831</v>
      </c>
      <c r="D16" s="2116" t="s">
        <v>1023</v>
      </c>
      <c r="E16" s="2116" t="s">
        <v>1024</v>
      </c>
      <c r="F16" s="2155">
        <f>IF('数据-取费表'!B10="住宅",'数据-取费表'!E22,0)</f>
        <v>0.05</v>
      </c>
      <c r="G16" s="2134"/>
      <c r="H16" s="2142" t="s">
        <v>740</v>
      </c>
      <c r="I16" s="2143" t="s">
        <v>1027</v>
      </c>
      <c r="J16" s="2144">
        <f ca="1">ROUND(J17+J22+J23+J24,0)</f>
        <v>8641</v>
      </c>
      <c r="K16" s="2166" t="s">
        <v>1028</v>
      </c>
      <c r="L16" s="2167"/>
      <c r="M16" s="2168"/>
      <c r="N16" s="2236"/>
      <c r="O16" s="2236"/>
      <c r="P16" s="2236"/>
      <c r="Q16" s="2321"/>
      <c r="R16" s="2236"/>
      <c r="S16" s="2236"/>
      <c r="T16" s="2236"/>
      <c r="U16" s="2236"/>
      <c r="V16" s="2236"/>
      <c r="W16" s="2236"/>
      <c r="X16" s="2236"/>
      <c r="Y16" s="2236"/>
      <c r="Z16" s="2236"/>
      <c r="AA16" s="2236"/>
      <c r="AB16" s="2236"/>
      <c r="AC16" s="2236"/>
      <c r="AD16" s="2236"/>
      <c r="AE16" s="2236"/>
      <c r="AF16" s="2236"/>
      <c r="AG16" s="2236"/>
      <c r="AH16" s="2236"/>
      <c r="AI16" s="2236"/>
      <c r="AJ16" s="2236"/>
      <c r="AK16" s="2236"/>
    </row>
    <row r="17" s="2082" customFormat="1" ht="18" customHeight="1" spans="1:37">
      <c r="A17" s="2147" t="s">
        <v>1029</v>
      </c>
      <c r="B17" s="2116" t="s">
        <v>1030</v>
      </c>
      <c r="C17" s="1763">
        <f>ROUND(F17*IF(D1="仅计算典型户型",'数据-取费表'!E5,'数据-取费表'!B5),0)</f>
        <v>32950</v>
      </c>
      <c r="D17" s="2116" t="s">
        <v>1031</v>
      </c>
      <c r="E17" s="2116" t="s">
        <v>1032</v>
      </c>
      <c r="F17" s="2156">
        <f>'数据-取费表'!E23</f>
        <v>200</v>
      </c>
      <c r="G17" s="2134"/>
      <c r="H17" s="2147" t="s">
        <v>996</v>
      </c>
      <c r="I17" s="2116" t="s">
        <v>1033</v>
      </c>
      <c r="J17" s="2170">
        <f ca="1">ROUND(IF(AND(项目基本情况!B7="自然人",项目基本情况!B6="北京市"),J6*M17/(1+'数据-取费表'!F30),J18+J19+J20),0)</f>
        <v>0</v>
      </c>
      <c r="K17" s="2149" t="s">
        <v>1034</v>
      </c>
      <c r="L17" s="2171" t="s">
        <v>1035</v>
      </c>
      <c r="M17" s="2172">
        <f>IF(项目基本情况!B7="企业","——",IF('数据-取费表'!B10="住宅",IF(M6*M7*M8/12/(1+'数据-取费表'!F30)&gt;100000,4%,2.5%),IF(M6*M7*M8/12/(1+'数据-取费表'!F30)&gt;100000,12%,7%)))</f>
        <v>0.025</v>
      </c>
      <c r="N17" s="2236"/>
      <c r="O17" s="2236"/>
      <c r="P17" s="2236"/>
      <c r="Q17" s="2321"/>
      <c r="R17" s="2236"/>
      <c r="S17" s="2236"/>
      <c r="T17" s="2236"/>
      <c r="U17" s="2236"/>
      <c r="V17" s="2236"/>
      <c r="W17" s="2236"/>
      <c r="X17" s="2236"/>
      <c r="Y17" s="2236"/>
      <c r="Z17" s="2236"/>
      <c r="AA17" s="2236"/>
      <c r="AB17" s="2236"/>
      <c r="AC17" s="2236"/>
      <c r="AD17" s="2236"/>
      <c r="AE17" s="2236"/>
      <c r="AF17" s="2236"/>
      <c r="AG17" s="2236"/>
      <c r="AH17" s="2236"/>
      <c r="AI17" s="2236"/>
      <c r="AJ17" s="2236"/>
      <c r="AK17" s="2236"/>
    </row>
    <row r="18" ht="18" customHeight="1" spans="1:13">
      <c r="A18" s="2147" t="s">
        <v>1036</v>
      </c>
      <c r="B18" s="2116" t="s">
        <v>1037</v>
      </c>
      <c r="C18" s="1763">
        <f>ROUND(C14*F18,0)</f>
        <v>8649</v>
      </c>
      <c r="D18" s="2116" t="s">
        <v>1023</v>
      </c>
      <c r="E18" s="2116" t="s">
        <v>1024</v>
      </c>
      <c r="F18" s="2155">
        <f>'数据-取费表'!E24</f>
        <v>0.015</v>
      </c>
      <c r="G18" s="2107"/>
      <c r="H18" s="2147" t="s">
        <v>1017</v>
      </c>
      <c r="I18" s="2116" t="s">
        <v>1038</v>
      </c>
      <c r="J18" s="1763" t="str">
        <f>IF(项目基本情况!B7="自然人","——",ROUND(J6*M18/(1+'数据-取费表'!F30),0))</f>
        <v>——</v>
      </c>
      <c r="K18" s="2171" t="s">
        <v>1039</v>
      </c>
      <c r="L18" s="2116" t="s">
        <v>1024</v>
      </c>
      <c r="M18" s="2155">
        <f>'数据-取费表'!E29</f>
        <v>0.056</v>
      </c>
    </row>
    <row r="19" s="2082" customFormat="1" ht="18" customHeight="1" spans="1:37">
      <c r="A19" s="2147" t="s">
        <v>996</v>
      </c>
      <c r="B19" s="2116" t="s">
        <v>1040</v>
      </c>
      <c r="C19" s="1763">
        <f>SUM(C14:C18)</f>
        <v>670120</v>
      </c>
      <c r="D19" s="2157" t="s">
        <v>1041</v>
      </c>
      <c r="E19" s="1765"/>
      <c r="F19" s="2156"/>
      <c r="G19" s="2134"/>
      <c r="H19" s="2147" t="s">
        <v>1021</v>
      </c>
      <c r="I19" s="2116" t="s">
        <v>1042</v>
      </c>
      <c r="J19" s="1763" t="str">
        <f ca="1">IF(项目基本情况!B7="自然人","——",IF(K19="按租金收入计税",ROUND(J6*M19/(1+'数据-取费表'!F30),0),ROUND(C29*M19*0.7,0)))</f>
        <v>——</v>
      </c>
      <c r="K19" s="2174"/>
      <c r="L19" s="2116" t="s">
        <v>1024</v>
      </c>
      <c r="M19" s="2155">
        <f>IF(K19="按租金收入计税",'数据-取费表'!E39,'数据-取费表'!E38)</f>
        <v>0.012</v>
      </c>
      <c r="N19" s="2236"/>
      <c r="O19" s="2236"/>
      <c r="P19" s="2236"/>
      <c r="Q19" s="2321"/>
      <c r="R19" s="2236"/>
      <c r="S19" s="2236"/>
      <c r="T19" s="2236"/>
      <c r="U19" s="2236"/>
      <c r="V19" s="2236"/>
      <c r="W19" s="2236"/>
      <c r="X19" s="2236"/>
      <c r="Y19" s="2236"/>
      <c r="Z19" s="2236"/>
      <c r="AA19" s="2236"/>
      <c r="AB19" s="2236"/>
      <c r="AC19" s="2236"/>
      <c r="AD19" s="2236"/>
      <c r="AE19" s="2236"/>
      <c r="AF19" s="2236"/>
      <c r="AG19" s="2236"/>
      <c r="AH19" s="2236"/>
      <c r="AI19" s="2236"/>
      <c r="AJ19" s="2236"/>
      <c r="AK19" s="2236"/>
    </row>
    <row r="20" s="2082" customFormat="1" ht="18" customHeight="1" spans="1:37">
      <c r="A20" s="2147" t="s">
        <v>1004</v>
      </c>
      <c r="B20" s="2116" t="s">
        <v>1043</v>
      </c>
      <c r="C20" s="1763">
        <f>ROUND(C19*F20,0)</f>
        <v>6701</v>
      </c>
      <c r="D20" s="2158" t="s">
        <v>1044</v>
      </c>
      <c r="E20" s="2116" t="s">
        <v>1024</v>
      </c>
      <c r="F20" s="2155">
        <f>'数据-取费表'!E25</f>
        <v>0.01</v>
      </c>
      <c r="G20" s="2134"/>
      <c r="H20" s="2147" t="s">
        <v>1025</v>
      </c>
      <c r="I20" s="2115" t="s">
        <v>1045</v>
      </c>
      <c r="J20" s="2176" t="str">
        <f>IF(项目基本情况!B7="自然人","——",ROUND(M20*M21,0))</f>
        <v>——</v>
      </c>
      <c r="K20" s="2177" t="s">
        <v>1046</v>
      </c>
      <c r="L20" s="2116" t="s">
        <v>1047</v>
      </c>
      <c r="M20" s="2160">
        <f>'数据-取费表'!E40</f>
        <v>0</v>
      </c>
      <c r="N20" s="2236"/>
      <c r="O20" s="2236"/>
      <c r="P20" s="2236"/>
      <c r="Q20" s="2321"/>
      <c r="R20" s="2236"/>
      <c r="S20" s="2236"/>
      <c r="T20" s="2236"/>
      <c r="U20" s="2236"/>
      <c r="V20" s="2236"/>
      <c r="W20" s="2236"/>
      <c r="X20" s="2236"/>
      <c r="Y20" s="2236"/>
      <c r="Z20" s="2236"/>
      <c r="AA20" s="2236"/>
      <c r="AB20" s="2236"/>
      <c r="AC20" s="2236"/>
      <c r="AD20" s="2236"/>
      <c r="AE20" s="2236"/>
      <c r="AF20" s="2236"/>
      <c r="AG20" s="2236"/>
      <c r="AH20" s="2236"/>
      <c r="AI20" s="2236"/>
      <c r="AJ20" s="2236"/>
      <c r="AK20" s="2236"/>
    </row>
    <row r="21" ht="18" customHeight="1" spans="1:13">
      <c r="A21" s="2147" t="s">
        <v>1012</v>
      </c>
      <c r="B21" s="2116" t="s">
        <v>1048</v>
      </c>
      <c r="C21" s="1834">
        <f>F21</f>
        <v>0.01</v>
      </c>
      <c r="D21" s="2158" t="s">
        <v>1049</v>
      </c>
      <c r="E21" s="2116" t="s">
        <v>1050</v>
      </c>
      <c r="F21" s="2155">
        <f>'数据-取费表'!E26</f>
        <v>0.01</v>
      </c>
      <c r="G21" s="2107"/>
      <c r="H21" s="2130"/>
      <c r="I21" s="2123"/>
      <c r="J21" s="1835"/>
      <c r="K21" s="447"/>
      <c r="L21" s="2116" t="s">
        <v>1051</v>
      </c>
      <c r="M21" s="2117">
        <f>IF(D1="仅计算典型户型",'数据-取费表'!E6,'数据-取费表'!B6)</f>
        <v>0</v>
      </c>
    </row>
    <row r="22" ht="18" customHeight="1" spans="1:13">
      <c r="A22" s="2147" t="s">
        <v>1052</v>
      </c>
      <c r="B22" s="2116" t="s">
        <v>1053</v>
      </c>
      <c r="C22" s="1763"/>
      <c r="D22" s="2157" t="str">
        <f>IF(F23&lt;=1,"单利计息。","复利计息。")&amp;"建造成本、管理费用、销售费用产生的利息。"</f>
        <v>复利计息。建造成本、管理费用、销售费用产生的利息。</v>
      </c>
      <c r="E22" s="1765"/>
      <c r="F22" s="2156"/>
      <c r="G22" s="2107"/>
      <c r="H22" s="2147" t="s">
        <v>1004</v>
      </c>
      <c r="I22" s="2116" t="s">
        <v>1054</v>
      </c>
      <c r="J22" s="1763">
        <f ca="1">ROUND(J14*M22,0)</f>
        <v>8641</v>
      </c>
      <c r="K22" s="2171" t="s">
        <v>1055</v>
      </c>
      <c r="L22" s="2116" t="s">
        <v>1024</v>
      </c>
      <c r="M22" s="2180">
        <f>'数据-取费表'!B45</f>
        <v>0.01</v>
      </c>
    </row>
    <row r="23" ht="18" customHeight="1" spans="1:13">
      <c r="A23" s="2147" t="s">
        <v>1017</v>
      </c>
      <c r="B23" s="2116" t="s">
        <v>1056</v>
      </c>
      <c r="C23" s="1763">
        <f ca="1">IF('数据-取费表'!B24&lt;=1,ROUND(C19*F24*F23/2,0)+ROUND(C20*F24*F23/2,0),ROUND(C19*(POWER((1+F24),F23/2)-1),0)+ROUND(C20*(POWER((1+F24),F23/2)-1),0))</f>
        <v>29441</v>
      </c>
      <c r="D23" s="2159" t="str">
        <f>IF(F23&lt;=1,"(建造成本+管理费用)×利率×(建设周期÷2)","(建造成本+管理费用)×((1+利率)^(建设周期÷2)-1)")</f>
        <v>(建造成本+管理费用)×((1+利率)^(建设周期÷2)-1)</v>
      </c>
      <c r="E23" s="2116" t="s">
        <v>1057</v>
      </c>
      <c r="F23" s="2160">
        <f>'数据-取费表'!B22</f>
        <v>2</v>
      </c>
      <c r="G23" s="2107"/>
      <c r="H23" s="2147" t="s">
        <v>1012</v>
      </c>
      <c r="I23" s="2116" t="s">
        <v>1058</v>
      </c>
      <c r="J23" s="1763">
        <f ca="1">ROUND(J13*M23,0)</f>
        <v>0</v>
      </c>
      <c r="K23" s="2171" t="s">
        <v>1059</v>
      </c>
      <c r="L23" s="2116" t="s">
        <v>1024</v>
      </c>
      <c r="M23" s="2181">
        <f>'数据-取费表'!B46</f>
        <v>0.001</v>
      </c>
    </row>
    <row r="24" s="2082" customFormat="1" ht="18" customHeight="1" spans="1:37">
      <c r="A24" s="2147" t="s">
        <v>1021</v>
      </c>
      <c r="B24" s="2116" t="s">
        <v>1060</v>
      </c>
      <c r="C24" s="1763">
        <f ca="1">ROUND(IF('数据-取费表'!B24&lt;=1,F21*F24*F23/2,F21*(POWER((1+F24),F23/2)-1)),4)</f>
        <v>0.0004</v>
      </c>
      <c r="D24" s="2159" t="str">
        <f>IF(F23&lt;=1,"销售费用×利率×(建设周期÷2)","销售费用×((1+利率)^(建设周期÷2)-1)")</f>
        <v>销售费用×((1+利率)^(建设周期÷2)-1)</v>
      </c>
      <c r="E24" s="2116" t="s">
        <v>1061</v>
      </c>
      <c r="F24" s="2161">
        <f ca="1">'数据-取费表'!E27</f>
        <v>0.0435</v>
      </c>
      <c r="G24" s="2134"/>
      <c r="H24" s="2154" t="s">
        <v>1052</v>
      </c>
      <c r="I24" s="2140" t="s">
        <v>1043</v>
      </c>
      <c r="J24" s="2162">
        <f ca="1">ROUND(J5*M24,0)</f>
        <v>0</v>
      </c>
      <c r="K24" s="2163" t="s">
        <v>1062</v>
      </c>
      <c r="L24" s="2140" t="s">
        <v>1024</v>
      </c>
      <c r="M24" s="2141">
        <f>'数据-取费表'!B47</f>
        <v>0.01</v>
      </c>
      <c r="N24" s="2236"/>
      <c r="O24" s="2236"/>
      <c r="P24" s="2236"/>
      <c r="Q24" s="2321"/>
      <c r="R24" s="2236"/>
      <c r="S24" s="2236"/>
      <c r="T24" s="2236"/>
      <c r="U24" s="2236"/>
      <c r="V24" s="2236"/>
      <c r="W24" s="2236"/>
      <c r="X24" s="2236"/>
      <c r="Y24" s="2236"/>
      <c r="Z24" s="2236"/>
      <c r="AA24" s="2236"/>
      <c r="AB24" s="2236"/>
      <c r="AC24" s="2236"/>
      <c r="AD24" s="2236"/>
      <c r="AE24" s="2236"/>
      <c r="AF24" s="2236"/>
      <c r="AG24" s="2236"/>
      <c r="AH24" s="2236"/>
      <c r="AI24" s="2236"/>
      <c r="AJ24" s="2236"/>
      <c r="AK24" s="2236"/>
    </row>
    <row r="25" s="2082" customFormat="1" ht="18" customHeight="1" spans="1:37">
      <c r="A25" s="2147" t="s">
        <v>1063</v>
      </c>
      <c r="B25" s="2116" t="s">
        <v>1064</v>
      </c>
      <c r="C25" s="1763"/>
      <c r="D25" s="2157" t="s">
        <v>1065</v>
      </c>
      <c r="E25" s="1765"/>
      <c r="F25" s="2156"/>
      <c r="G25" s="2134"/>
      <c r="H25" s="2142" t="s">
        <v>743</v>
      </c>
      <c r="I25" s="2182" t="s">
        <v>1066</v>
      </c>
      <c r="J25" s="2144">
        <f ca="1">J5-J16</f>
        <v>-8641</v>
      </c>
      <c r="K25" s="2183" t="s">
        <v>1067</v>
      </c>
      <c r="L25" s="2184"/>
      <c r="M25" s="2185"/>
      <c r="N25" s="2236"/>
      <c r="O25" s="2236"/>
      <c r="P25" s="2236"/>
      <c r="Q25" s="2321"/>
      <c r="R25" s="2236"/>
      <c r="S25" s="2236"/>
      <c r="T25" s="2236"/>
      <c r="U25" s="2236"/>
      <c r="V25" s="2236"/>
      <c r="W25" s="2236"/>
      <c r="X25" s="2236"/>
      <c r="Y25" s="2236"/>
      <c r="Z25" s="2236"/>
      <c r="AA25" s="2236"/>
      <c r="AB25" s="2236"/>
      <c r="AC25" s="2236"/>
      <c r="AD25" s="2236"/>
      <c r="AE25" s="2236"/>
      <c r="AF25" s="2236"/>
      <c r="AG25" s="2236"/>
      <c r="AH25" s="2236"/>
      <c r="AI25" s="2236"/>
      <c r="AJ25" s="2236"/>
      <c r="AK25" s="2236"/>
    </row>
    <row r="26" ht="18" customHeight="1" spans="1:13">
      <c r="A26" s="2147" t="s">
        <v>1017</v>
      </c>
      <c r="B26" s="2116" t="s">
        <v>1068</v>
      </c>
      <c r="C26" s="1763">
        <f>ROUND((C19+C20)*F26,0)</f>
        <v>101523</v>
      </c>
      <c r="D26" s="2158" t="s">
        <v>1069</v>
      </c>
      <c r="E26" s="2128" t="s">
        <v>1070</v>
      </c>
      <c r="F26" s="2124">
        <f>'数据-取费表'!E28</f>
        <v>0.15</v>
      </c>
      <c r="G26" s="2083"/>
      <c r="H26" s="2108" t="s">
        <v>769</v>
      </c>
      <c r="I26" s="2109" t="s">
        <v>1071</v>
      </c>
      <c r="J26" s="2110">
        <f ca="1">IF(J5&lt;&gt;0,ROUND(J25*(1-((1+M28)/(1+M26))^M27)/(M26-M28),0),0)</f>
        <v>0</v>
      </c>
      <c r="K26" s="2177" t="s">
        <v>1072</v>
      </c>
      <c r="L26" s="2116" t="s">
        <v>1073</v>
      </c>
      <c r="M26" s="2124">
        <f>'数据-取费表'!B16</f>
        <v>0.05</v>
      </c>
    </row>
    <row r="27" ht="18" customHeight="1" spans="1:13">
      <c r="A27" s="2147" t="s">
        <v>1021</v>
      </c>
      <c r="B27" s="2116" t="s">
        <v>1074</v>
      </c>
      <c r="C27" s="1763">
        <f>ROUND(F21*F26,4)</f>
        <v>0.0015</v>
      </c>
      <c r="D27" s="2158" t="s">
        <v>1075</v>
      </c>
      <c r="E27" s="2152"/>
      <c r="F27" s="2153"/>
      <c r="G27" s="2083"/>
      <c r="H27" s="2122"/>
      <c r="I27" s="2119"/>
      <c r="J27" s="2120"/>
      <c r="K27" s="2187" t="s">
        <v>1076</v>
      </c>
      <c r="L27" s="2116" t="s">
        <v>1077</v>
      </c>
      <c r="M27" s="2189" t="str">
        <f>'数据-取费表'!B41</f>
        <v>——</v>
      </c>
    </row>
    <row r="28" ht="18" customHeight="1" spans="1:13">
      <c r="A28" s="2147" t="s">
        <v>1078</v>
      </c>
      <c r="B28" s="2116" t="s">
        <v>1079</v>
      </c>
      <c r="C28" s="1763">
        <f>ROUND(F28/(1+'数据-取费表'!F30),4)</f>
        <v>0.0533</v>
      </c>
      <c r="D28" s="2158" t="s">
        <v>1080</v>
      </c>
      <c r="E28" s="2116" t="s">
        <v>1024</v>
      </c>
      <c r="F28" s="2155">
        <f>'数据-取费表'!E29</f>
        <v>0.056</v>
      </c>
      <c r="G28" s="2083"/>
      <c r="H28" s="2135"/>
      <c r="I28" s="2191"/>
      <c r="J28" s="2144"/>
      <c r="K28" s="447"/>
      <c r="L28" s="2116" t="s">
        <v>1081</v>
      </c>
      <c r="M28" s="2124">
        <f>'数据-取费表'!B38</f>
        <v>0</v>
      </c>
    </row>
    <row r="29" ht="18" customHeight="1" spans="1:13">
      <c r="A29" s="2154" t="s">
        <v>1082</v>
      </c>
      <c r="B29" s="2140" t="s">
        <v>1083</v>
      </c>
      <c r="C29" s="2162">
        <f ca="1">ROUND((C19+C20+C23+C26)/(1-F21-C24-C27-C28),0)</f>
        <v>864126</v>
      </c>
      <c r="D29" s="2163"/>
      <c r="E29" s="2140"/>
      <c r="F29" s="2164"/>
      <c r="G29" s="2083"/>
      <c r="H29" s="2165" t="s">
        <v>1084</v>
      </c>
      <c r="I29" s="2192" t="s">
        <v>1085</v>
      </c>
      <c r="J29" s="2193">
        <f ca="1">ROUND(J26/(1+F40)^F41,0)</f>
        <v>0</v>
      </c>
      <c r="K29" s="2194" t="s">
        <v>1086</v>
      </c>
      <c r="L29" s="2195"/>
      <c r="M29" s="2196">
        <f>IF(D1="仅计算典型户型",'数据-取费表'!E5,'数据-取费表'!B5)</f>
        <v>164.75</v>
      </c>
    </row>
    <row r="30" ht="18" customHeight="1" spans="1:13">
      <c r="A30" s="2142" t="s">
        <v>740</v>
      </c>
      <c r="B30" s="2143" t="s">
        <v>1027</v>
      </c>
      <c r="C30" s="2144">
        <f ca="1">ROUND(C31+C36+C37+C38,0)</f>
        <v>17852</v>
      </c>
      <c r="D30" s="2166" t="s">
        <v>1028</v>
      </c>
      <c r="E30" s="2167"/>
      <c r="F30" s="2168"/>
      <c r="G30" s="2083"/>
      <c r="H30" s="2169"/>
      <c r="I30" s="2246"/>
      <c r="J30" s="2247"/>
      <c r="K30" s="2248"/>
      <c r="L30" s="2249"/>
      <c r="M30" s="2250"/>
    </row>
    <row r="31" ht="18" customHeight="1" spans="1:13">
      <c r="A31" s="2147" t="s">
        <v>996</v>
      </c>
      <c r="B31" s="2116" t="s">
        <v>1033</v>
      </c>
      <c r="C31" s="2170">
        <f ca="1">ROUND(IF(AND(项目基本情况!B7="自然人",项目基本情况!B6="北京市"),C6*F31/(1+'数据-取费表'!F30),C32+C33+C34),0)</f>
        <v>6058</v>
      </c>
      <c r="D31" s="2149" t="s">
        <v>1034</v>
      </c>
      <c r="E31" s="2171" t="s">
        <v>1035</v>
      </c>
      <c r="F31" s="2172">
        <f>IF(项目基本情况!B7="企业","——",IF('数据-取费表'!B10="住宅",IF(F6*F7*F8/12/(1+'数据-取费表'!F30)&gt;100000,4%,2.5%),IF(F6*F7*F8/12/(1+'数据-取费表'!F30)&gt;100000,12%,7%)))</f>
        <v>0.025</v>
      </c>
      <c r="G31" s="2083"/>
      <c r="H31" s="2169"/>
      <c r="I31" s="2246"/>
      <c r="J31" s="2247"/>
      <c r="K31" s="2248"/>
      <c r="L31" s="2249"/>
      <c r="M31" s="2250"/>
    </row>
    <row r="32" ht="18" customHeight="1" spans="1:13">
      <c r="A32" s="2147" t="s">
        <v>1017</v>
      </c>
      <c r="B32" s="2116" t="s">
        <v>1038</v>
      </c>
      <c r="C32" s="1763" t="str">
        <f>IF(项目基本情况!B7="自然人","——",ROUND(C6*F32/(1+'数据-取费表'!F30),0))</f>
        <v>——</v>
      </c>
      <c r="D32" s="2171" t="s">
        <v>1039</v>
      </c>
      <c r="E32" s="2116" t="s">
        <v>1024</v>
      </c>
      <c r="F32" s="2161">
        <f>'数据-取费表'!E29</f>
        <v>0.056</v>
      </c>
      <c r="G32" s="2083"/>
      <c r="H32" s="2173"/>
      <c r="I32" s="2251"/>
      <c r="J32" s="2252"/>
      <c r="K32" s="2253"/>
      <c r="L32" s="2254"/>
      <c r="M32" s="2255"/>
    </row>
    <row r="33" ht="18" customHeight="1" spans="1:13">
      <c r="A33" s="2147" t="s">
        <v>1021</v>
      </c>
      <c r="B33" s="2116" t="s">
        <v>1042</v>
      </c>
      <c r="C33" s="1763" t="str">
        <f ca="1">IF(项目基本情况!B7="自然人","——",IF(D33="按租金收入计税",ROUND(C6*F33/(1+'数据-取费表'!F30),0),IF(D33="按房产原值计税",ROUND(C29*F33*0.7,0),'数据-取费表'!B44)))</f>
        <v>——</v>
      </c>
      <c r="D33" s="2174" t="s">
        <v>1087</v>
      </c>
      <c r="E33" s="2116" t="s">
        <v>1024</v>
      </c>
      <c r="F33" s="2155">
        <f>IF(D33="按票据","——",IF(D33="按租金收入计税",'数据-取费表'!E39,'数据-取费表'!E38))</f>
        <v>0.12</v>
      </c>
      <c r="G33" s="2083"/>
      <c r="H33" s="2175"/>
      <c r="I33" s="2256" t="s">
        <v>1088</v>
      </c>
      <c r="J33" s="2257"/>
      <c r="K33" s="2258"/>
      <c r="L33" s="2175"/>
      <c r="M33" s="2175"/>
    </row>
    <row r="34" ht="18" customHeight="1" spans="1:13">
      <c r="A34" s="2113" t="s">
        <v>1025</v>
      </c>
      <c r="B34" s="2115" t="s">
        <v>1045</v>
      </c>
      <c r="C34" s="2176" t="str">
        <f>IF(项目基本情况!B7="自然人","——",ROUND(F34*F35,0))</f>
        <v>——</v>
      </c>
      <c r="D34" s="2177" t="s">
        <v>1046</v>
      </c>
      <c r="E34" s="2116" t="s">
        <v>1047</v>
      </c>
      <c r="F34" s="2160">
        <f>'数据-取费表'!E40</f>
        <v>0</v>
      </c>
      <c r="G34" s="2083"/>
      <c r="H34" s="2169"/>
      <c r="I34" s="1221" t="s">
        <v>1089</v>
      </c>
      <c r="J34" s="2259">
        <f ca="1">ROUND(C13*J35,0)</f>
        <v>0</v>
      </c>
      <c r="K34" s="2260"/>
      <c r="L34" s="2261"/>
      <c r="M34" s="2261"/>
    </row>
    <row r="35" ht="24.6" customHeight="1" spans="1:13">
      <c r="A35" s="2178"/>
      <c r="B35" s="2123"/>
      <c r="C35" s="1835"/>
      <c r="D35" s="447"/>
      <c r="E35" s="2116" t="s">
        <v>1051</v>
      </c>
      <c r="F35" s="2117">
        <f>IF(D1="仅计算典型户型",'数据-取费表'!E6,'数据-取费表'!B6)</f>
        <v>0</v>
      </c>
      <c r="G35" s="2083" t="s">
        <v>1090</v>
      </c>
      <c r="H35" s="2169"/>
      <c r="I35" s="2262" t="s">
        <v>1091</v>
      </c>
      <c r="J35" s="2263">
        <f>'数据-取费表'!B18</f>
        <v>0</v>
      </c>
      <c r="K35" s="2258"/>
      <c r="L35" s="2175"/>
      <c r="M35" s="2175"/>
    </row>
    <row r="36" ht="18" customHeight="1" spans="1:13">
      <c r="A36" s="2179" t="s">
        <v>1004</v>
      </c>
      <c r="B36" s="2116" t="s">
        <v>1054</v>
      </c>
      <c r="C36" s="1763">
        <f ca="1">ROUND(C29*F36,0)</f>
        <v>8641</v>
      </c>
      <c r="D36" s="2171" t="s">
        <v>1092</v>
      </c>
      <c r="E36" s="2116" t="s">
        <v>1024</v>
      </c>
      <c r="F36" s="2180">
        <f>'数据-取费表'!B45</f>
        <v>0.01</v>
      </c>
      <c r="G36" s="2083"/>
      <c r="H36" s="2175"/>
      <c r="I36" s="2264" t="s">
        <v>1093</v>
      </c>
      <c r="J36" s="2265"/>
      <c r="K36" s="2266"/>
      <c r="L36" s="2175"/>
      <c r="M36" s="2175"/>
    </row>
    <row r="37" ht="18" customHeight="1" spans="1:13">
      <c r="A37" s="2147" t="s">
        <v>1012</v>
      </c>
      <c r="B37" s="2116" t="s">
        <v>1058</v>
      </c>
      <c r="C37" s="1763">
        <f ca="1">ROUND(C13*F37,0)</f>
        <v>605</v>
      </c>
      <c r="D37" s="2171" t="s">
        <v>1059</v>
      </c>
      <c r="E37" s="2116" t="s">
        <v>1024</v>
      </c>
      <c r="F37" s="2181">
        <f>'数据-取费表'!B46</f>
        <v>0.001</v>
      </c>
      <c r="G37" s="2083"/>
      <c r="H37" s="2175"/>
      <c r="I37" s="2076" t="s">
        <v>1094</v>
      </c>
      <c r="J37" s="2267"/>
      <c r="K37" s="2266"/>
      <c r="L37" s="2175"/>
      <c r="M37" s="2175"/>
    </row>
    <row r="38" ht="18" customHeight="1" spans="1:13">
      <c r="A38" s="2154" t="s">
        <v>1052</v>
      </c>
      <c r="B38" s="2140" t="s">
        <v>1043</v>
      </c>
      <c r="C38" s="2162">
        <f ca="1">ROUND(C5*F38,0)</f>
        <v>2548</v>
      </c>
      <c r="D38" s="2163" t="s">
        <v>1062</v>
      </c>
      <c r="E38" s="2140" t="s">
        <v>1024</v>
      </c>
      <c r="F38" s="2141">
        <f>'数据-取费表'!B47</f>
        <v>0.01</v>
      </c>
      <c r="G38" s="2083"/>
      <c r="H38" s="2175"/>
      <c r="I38" s="1221" t="s">
        <v>1095</v>
      </c>
      <c r="J38" s="2079">
        <f ca="1">ROUND(J34/C39,3)</f>
        <v>0</v>
      </c>
      <c r="K38" s="2268"/>
      <c r="L38" s="2175"/>
      <c r="M38" s="2175"/>
    </row>
    <row r="39" ht="18" customHeight="1" spans="1:13">
      <c r="A39" s="2142" t="s">
        <v>743</v>
      </c>
      <c r="B39" s="2182" t="s">
        <v>1066</v>
      </c>
      <c r="C39" s="2144">
        <f ca="1">C5-C30</f>
        <v>236906</v>
      </c>
      <c r="D39" s="2183" t="s">
        <v>1067</v>
      </c>
      <c r="E39" s="2184"/>
      <c r="F39" s="2185"/>
      <c r="G39" s="2083"/>
      <c r="H39" s="2175"/>
      <c r="I39" s="1221" t="s">
        <v>1096</v>
      </c>
      <c r="J39" s="2079">
        <f ca="1">1-J38</f>
        <v>1</v>
      </c>
      <c r="K39" s="2268"/>
      <c r="L39" s="2175"/>
      <c r="M39" s="2175"/>
    </row>
    <row r="40" s="2083" customFormat="1" ht="18" customHeight="1" spans="1:17">
      <c r="A40" s="2108" t="s">
        <v>769</v>
      </c>
      <c r="B40" s="2109" t="s">
        <v>1097</v>
      </c>
      <c r="C40" s="2110">
        <f ca="1">ROUND(C39*(1-((1+F42)/(1+F40))^F41)/(F40-F42),0)</f>
        <v>6047099</v>
      </c>
      <c r="D40" s="2177" t="s">
        <v>1072</v>
      </c>
      <c r="E40" s="2116" t="s">
        <v>1073</v>
      </c>
      <c r="F40" s="2124">
        <f>'数据-取费表'!B16</f>
        <v>0.05</v>
      </c>
      <c r="H40" s="2186"/>
      <c r="I40" s="2076" t="s">
        <v>1098</v>
      </c>
      <c r="J40" s="2077"/>
      <c r="K40" s="2268"/>
      <c r="L40" s="2186"/>
      <c r="M40" s="2186"/>
      <c r="Q40" s="2086"/>
    </row>
    <row r="41" s="2083" customFormat="1" ht="18" customHeight="1" spans="1:17">
      <c r="A41" s="2122"/>
      <c r="B41" s="2119"/>
      <c r="C41" s="2120"/>
      <c r="D41" s="2187" t="s">
        <v>1076</v>
      </c>
      <c r="E41" s="2188" t="s">
        <v>1099</v>
      </c>
      <c r="F41" s="2189">
        <f>IF('数据-取费表'!B29="租赁期内按合同租金",'数据-取费表'!B35,IF(E41="收益年期(n)",'数据-取费表'!B34,'数据-取费表'!B13))</f>
        <v>50.07</v>
      </c>
      <c r="H41" s="2190"/>
      <c r="I41" s="2078" t="s">
        <v>1100</v>
      </c>
      <c r="J41" s="2079">
        <f ca="1">ROUND(C13/C40,3)</f>
        <v>0.1</v>
      </c>
      <c r="K41" s="2266"/>
      <c r="L41" s="2190"/>
      <c r="M41" s="2190"/>
      <c r="Q41" s="2086"/>
    </row>
    <row r="42" s="2083" customFormat="1" ht="18" customHeight="1" spans="1:17">
      <c r="A42" s="2135"/>
      <c r="B42" s="2191"/>
      <c r="C42" s="2144"/>
      <c r="D42" s="447"/>
      <c r="E42" s="2116" t="s">
        <v>1081</v>
      </c>
      <c r="F42" s="2124">
        <f>'数据-取费表'!B32</f>
        <v>0.02</v>
      </c>
      <c r="H42" s="2190"/>
      <c r="I42" s="2078" t="s">
        <v>1101</v>
      </c>
      <c r="J42" s="2080">
        <f ca="1">1-J41</f>
        <v>0.9</v>
      </c>
      <c r="K42" s="2266"/>
      <c r="L42" s="2190"/>
      <c r="M42" s="2190"/>
      <c r="Q42" s="2086"/>
    </row>
    <row r="43" s="2083" customFormat="1" ht="18" customHeight="1" spans="1:18">
      <c r="A43" s="2165" t="s">
        <v>1084</v>
      </c>
      <c r="B43" s="2192" t="s">
        <v>1102</v>
      </c>
      <c r="C43" s="2193">
        <f ca="1">ROUND(C40/F43,0)</f>
        <v>36705</v>
      </c>
      <c r="D43" s="2194" t="s">
        <v>1103</v>
      </c>
      <c r="E43" s="2195" t="s">
        <v>1104</v>
      </c>
      <c r="F43" s="2196">
        <f>IF(D1="仅计算典型户型",'数据-取费表'!E5,'数据-取费表'!B5)</f>
        <v>164.75</v>
      </c>
      <c r="G43" s="2197"/>
      <c r="H43" s="2190"/>
      <c r="I43" s="2190"/>
      <c r="J43" s="2190"/>
      <c r="K43" s="2266"/>
      <c r="L43" s="2190"/>
      <c r="M43" s="2190"/>
      <c r="O43" s="2269" t="s">
        <v>1105</v>
      </c>
      <c r="P43" s="2270"/>
      <c r="Q43" s="2285"/>
      <c r="R43" s="2270"/>
    </row>
    <row r="44" s="2083" customFormat="1" ht="18" customHeight="1" spans="1:18">
      <c r="A44" s="1989"/>
      <c r="B44" s="1989"/>
      <c r="C44" s="2198"/>
      <c r="D44" s="1989"/>
      <c r="E44" s="1989"/>
      <c r="F44" s="1989"/>
      <c r="G44" s="2197"/>
      <c r="K44" s="2271"/>
      <c r="O44" s="2272" t="s">
        <v>1106</v>
      </c>
      <c r="P44" s="2273" t="s">
        <v>1107</v>
      </c>
      <c r="Q44" s="2322" t="s">
        <v>1108</v>
      </c>
      <c r="R44" s="2323" t="s">
        <v>1109</v>
      </c>
    </row>
    <row r="45" s="2083" customFormat="1" ht="18" customHeight="1" spans="1:18">
      <c r="A45" s="1989"/>
      <c r="B45" s="1989"/>
      <c r="C45" s="2198"/>
      <c r="D45" s="1989"/>
      <c r="E45" s="1989"/>
      <c r="F45" s="1989"/>
      <c r="G45" s="2199"/>
      <c r="K45" s="2271"/>
      <c r="O45" s="2274" t="s">
        <v>1110</v>
      </c>
      <c r="P45" s="2275" t="s">
        <v>1111</v>
      </c>
      <c r="Q45" s="2324">
        <f ca="1">C40+J29</f>
        <v>6047099</v>
      </c>
      <c r="R45" s="2325" t="s">
        <v>1112</v>
      </c>
    </row>
    <row r="46" s="2083" customFormat="1" ht="18" customHeight="1" spans="1:18">
      <c r="A46" s="1989"/>
      <c r="D46" s="1989"/>
      <c r="E46" s="1989"/>
      <c r="F46" s="1989"/>
      <c r="K46" s="2271"/>
      <c r="O46" s="2274" t="s">
        <v>1113</v>
      </c>
      <c r="P46" s="2275" t="s">
        <v>1114</v>
      </c>
      <c r="Q46" s="2324" t="str">
        <f ca="1">J61</f>
        <v>0</v>
      </c>
      <c r="R46" s="2325" t="s">
        <v>1115</v>
      </c>
    </row>
    <row r="47" s="2083" customFormat="1" ht="21" spans="1:18">
      <c r="A47" s="2200" t="s">
        <v>1116</v>
      </c>
      <c r="C47" s="2201">
        <f ca="1">IF(C2="元",C69-C40,ROUND((C69-C40)/10000,0))</f>
        <v>-6215948</v>
      </c>
      <c r="D47" s="2202" t="str">
        <f>C2</f>
        <v>元</v>
      </c>
      <c r="E47" s="1989"/>
      <c r="F47" s="1989"/>
      <c r="I47" s="2276" t="s">
        <v>1117</v>
      </c>
      <c r="J47" s="2277"/>
      <c r="K47" s="2278"/>
      <c r="L47" s="2279">
        <f ca="1">IF(M48="住宅",0,IF(L49&gt;J52,L61,J61))</f>
        <v>0</v>
      </c>
      <c r="O47" s="2280" t="s">
        <v>1118</v>
      </c>
      <c r="P47" s="2275" t="s">
        <v>1119</v>
      </c>
      <c r="Q47" s="2324">
        <f ca="1">C29</f>
        <v>864126</v>
      </c>
      <c r="R47" s="2325" t="s">
        <v>1112</v>
      </c>
    </row>
    <row r="48" s="2083" customFormat="1" ht="15.75" spans="1:18">
      <c r="A48" s="2103" t="s">
        <v>988</v>
      </c>
      <c r="B48" s="2104" t="s">
        <v>989</v>
      </c>
      <c r="C48" s="2104" t="s">
        <v>990</v>
      </c>
      <c r="D48" s="2104" t="s">
        <v>991</v>
      </c>
      <c r="E48" s="2203" t="s">
        <v>992</v>
      </c>
      <c r="F48" s="2204"/>
      <c r="I48" s="2281" t="s">
        <v>1120</v>
      </c>
      <c r="J48" s="2282" t="s">
        <v>920</v>
      </c>
      <c r="K48" s="2283" t="s">
        <v>1121</v>
      </c>
      <c r="L48" s="2284">
        <f>'数据-取费表'!B11</f>
        <v>70</v>
      </c>
      <c r="M48" s="2285" t="str">
        <f>IF('数据-取费表'!B10="住宅","住宅","非住宅")</f>
        <v>住宅</v>
      </c>
      <c r="O48" s="2280" t="s">
        <v>1122</v>
      </c>
      <c r="P48" s="2275" t="s">
        <v>1123</v>
      </c>
      <c r="Q48" s="2326" t="e">
        <f>J59</f>
        <v>#VALUE!</v>
      </c>
      <c r="R48" s="2325"/>
    </row>
    <row r="49" s="2083" customFormat="1" ht="15.75" spans="1:18">
      <c r="A49" s="2205" t="s">
        <v>1124</v>
      </c>
      <c r="B49" s="2109" t="s">
        <v>993</v>
      </c>
      <c r="C49" s="2206">
        <f ca="1">C50+C54+C56</f>
        <v>0</v>
      </c>
      <c r="D49" s="2207"/>
      <c r="E49" s="2208"/>
      <c r="F49" s="2156"/>
      <c r="I49" s="2286" t="s">
        <v>1125</v>
      </c>
      <c r="J49" s="2287" t="s">
        <v>1126</v>
      </c>
      <c r="K49" s="2288" t="s">
        <v>1127</v>
      </c>
      <c r="L49" s="2289">
        <f>'数据-取费表'!B13</f>
        <v>50.07</v>
      </c>
      <c r="O49" s="2280" t="s">
        <v>1128</v>
      </c>
      <c r="P49" s="2275" t="s">
        <v>1129</v>
      </c>
      <c r="Q49" s="2326">
        <f>J53</f>
        <v>0</v>
      </c>
      <c r="R49" s="2325"/>
    </row>
    <row r="50" s="2083" customFormat="1" ht="15.75" spans="1:18">
      <c r="A50" s="2209" t="s">
        <v>996</v>
      </c>
      <c r="B50" s="2114" t="s">
        <v>1130</v>
      </c>
      <c r="C50" s="2110">
        <f>ROUND(F50*F52*F51*(1-F53),0)</f>
        <v>0</v>
      </c>
      <c r="D50" s="2210" t="s">
        <v>1131</v>
      </c>
      <c r="E50" s="2211" t="s">
        <v>1132</v>
      </c>
      <c r="F50" s="2212"/>
      <c r="I50" s="2286" t="s">
        <v>1133</v>
      </c>
      <c r="J50" s="2289">
        <f>'数据-取费表'!B27</f>
        <v>2003</v>
      </c>
      <c r="K50" s="2290" t="s">
        <v>1134</v>
      </c>
      <c r="L50" s="2291"/>
      <c r="O50" s="2280" t="s">
        <v>1135</v>
      </c>
      <c r="P50" s="2275" t="s">
        <v>1136</v>
      </c>
      <c r="Q50" s="2324">
        <f>J54</f>
        <v>50.07</v>
      </c>
      <c r="R50" s="2325" t="s">
        <v>1137</v>
      </c>
    </row>
    <row r="51" s="2083" customFormat="1" ht="15.75" spans="1:18">
      <c r="A51" s="2122"/>
      <c r="B51" s="2119"/>
      <c r="C51" s="2120"/>
      <c r="D51" s="2121"/>
      <c r="E51" s="2152" t="s">
        <v>1000</v>
      </c>
      <c r="F51" s="2213">
        <f>F7</f>
        <v>164.75</v>
      </c>
      <c r="I51" s="2286" t="s">
        <v>1138</v>
      </c>
      <c r="J51" s="2292">
        <f>SUMPRODUCT((I64:I66=J48)*(J63:L63=J49)*(J64:L66))</f>
        <v>60</v>
      </c>
      <c r="K51" s="2290" t="s">
        <v>1139</v>
      </c>
      <c r="L51" s="2291"/>
      <c r="O51" s="2274" t="s">
        <v>1140</v>
      </c>
      <c r="P51" s="2275" t="str">
        <f>IF(C2="元","收益价值(元)","收益价值(万元)")</f>
        <v>收益价值(元)</v>
      </c>
      <c r="Q51" s="2324">
        <f ca="1">ROUND(IF(C2="元",Q45+Q46,(Q45+Q46)/10000),0)</f>
        <v>6047099</v>
      </c>
      <c r="R51" s="2325" t="s">
        <v>1141</v>
      </c>
    </row>
    <row r="52" s="2083" customFormat="1" ht="16.5" spans="1:18">
      <c r="A52" s="2122"/>
      <c r="B52" s="2119"/>
      <c r="C52" s="2120"/>
      <c r="D52" s="2121"/>
      <c r="E52" s="2116" t="s">
        <v>1002</v>
      </c>
      <c r="F52" s="2117">
        <f>F8</f>
        <v>12</v>
      </c>
      <c r="I52" s="2293" t="s">
        <v>1142</v>
      </c>
      <c r="J52" s="2294">
        <f>IF(J50="",J51,J50+J51-YEAR('数据-取费表'!B2))</f>
        <v>42</v>
      </c>
      <c r="K52" s="2295" t="s">
        <v>1143</v>
      </c>
      <c r="L52" s="2296">
        <f ca="1">ROUND(-PV('数据-取费表'!B15,J52,(C40-C13*J35)),0)</f>
        <v>113223159</v>
      </c>
      <c r="O52" s="2269" t="s">
        <v>1144</v>
      </c>
      <c r="P52" s="2270"/>
      <c r="Q52" s="2285"/>
      <c r="R52" s="2270"/>
    </row>
    <row r="53" s="2083" customFormat="1" ht="15.75" spans="1:18">
      <c r="A53" s="2135"/>
      <c r="B53" s="2191"/>
      <c r="C53" s="2144"/>
      <c r="D53" s="2123"/>
      <c r="E53" s="2116" t="s">
        <v>1003</v>
      </c>
      <c r="F53" s="2214"/>
      <c r="I53" s="2297" t="s">
        <v>1145</v>
      </c>
      <c r="J53" s="2298"/>
      <c r="K53" s="2297" t="s">
        <v>1146</v>
      </c>
      <c r="L53" s="2298"/>
      <c r="O53" s="2272" t="s">
        <v>1106</v>
      </c>
      <c r="P53" s="2273" t="s">
        <v>1107</v>
      </c>
      <c r="Q53" s="2322" t="s">
        <v>1108</v>
      </c>
      <c r="R53" s="2323" t="s">
        <v>1109</v>
      </c>
    </row>
    <row r="54" s="2083" customFormat="1" ht="29.25" customHeight="1" spans="1:18">
      <c r="A54" s="2113" t="s">
        <v>1004</v>
      </c>
      <c r="B54" s="2125" t="s">
        <v>1005</v>
      </c>
      <c r="C54" s="2126">
        <f ca="1">ROUND(IF(F54="押一",C50/12*F11,IF(F54="押二",C50/12*2*F11,IF(F54="押三",C50/12*3*F11,C55*F11))),0)</f>
        <v>0</v>
      </c>
      <c r="D54" s="2127" t="s">
        <v>1006</v>
      </c>
      <c r="E54" s="2128" t="s">
        <v>1007</v>
      </c>
      <c r="F54" s="2129"/>
      <c r="I54" s="2299" t="s">
        <v>1147</v>
      </c>
      <c r="J54" s="2300">
        <f>IF(M48="住宅",IF(E1="——",MAX(J52,L49),MAX(J52,L49-'数据-取费表'!B26)),IF(E1="——",MIN(J52,L49),MIN(J52,L49-'数据-取费表'!B26)))</f>
        <v>50.07</v>
      </c>
      <c r="K54" s="2301" t="s">
        <v>1148</v>
      </c>
      <c r="L54" s="2302"/>
      <c r="O54" s="2274" t="s">
        <v>1110</v>
      </c>
      <c r="P54" s="2275" t="s">
        <v>1111</v>
      </c>
      <c r="Q54" s="2324">
        <f ca="1">C40+J29</f>
        <v>6047099</v>
      </c>
      <c r="R54" s="2325" t="s">
        <v>1112</v>
      </c>
    </row>
    <row r="55" s="2083" customFormat="1" ht="20.25" spans="1:18">
      <c r="A55" s="2113"/>
      <c r="B55" s="2215" t="s">
        <v>1011</v>
      </c>
      <c r="C55" s="2132"/>
      <c r="D55" s="2210"/>
      <c r="E55" s="2216"/>
      <c r="F55" s="2217"/>
      <c r="I55" s="218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03"/>
      <c r="K55" s="2303"/>
      <c r="L55" s="2303"/>
      <c r="O55" s="2274" t="s">
        <v>1113</v>
      </c>
      <c r="P55" s="2275" t="s">
        <v>1149</v>
      </c>
      <c r="Q55" s="2324">
        <f ca="1">L61</f>
        <v>0</v>
      </c>
      <c r="R55" s="2325" t="s">
        <v>1150</v>
      </c>
    </row>
    <row r="56" s="2083" customFormat="1" ht="20.25" spans="1:18">
      <c r="A56" s="2136" t="s">
        <v>1012</v>
      </c>
      <c r="B56" s="2137" t="s">
        <v>1013</v>
      </c>
      <c r="C56" s="2138"/>
      <c r="D56" s="2218"/>
      <c r="E56" s="2219"/>
      <c r="F56" s="2220"/>
      <c r="I56" s="2304" t="s">
        <v>1151</v>
      </c>
      <c r="J56" s="2305" t="e">
        <f>ROUND(IF(J48="钢混",J58/J51,1-(1-2%)*(J51-J58)/J51),3)</f>
        <v>#VALUE!</v>
      </c>
      <c r="K56" s="2306" t="s">
        <v>1152</v>
      </c>
      <c r="L56" s="2307"/>
      <c r="O56" s="2280" t="s">
        <v>1118</v>
      </c>
      <c r="P56" s="2275" t="s">
        <v>1153</v>
      </c>
      <c r="Q56" s="2324">
        <f>IF(L56="比较法",L50,IF(L56="基准地价",L51,0))</f>
        <v>0</v>
      </c>
      <c r="R56" s="2325" t="s">
        <v>1112</v>
      </c>
    </row>
    <row r="57" s="2083" customFormat="1" ht="44.25" spans="1:18">
      <c r="A57" s="2142">
        <v>2</v>
      </c>
      <c r="B57" s="2143" t="s">
        <v>1014</v>
      </c>
      <c r="C57" s="2221">
        <f ca="1">C13</f>
        <v>604888</v>
      </c>
      <c r="D57" s="2222"/>
      <c r="E57" s="2223"/>
      <c r="F57" s="2224"/>
      <c r="I57" s="2308" t="s">
        <v>1154</v>
      </c>
      <c r="J57" s="2309" t="s">
        <v>1155</v>
      </c>
      <c r="K57" s="2286" t="s">
        <v>1156</v>
      </c>
      <c r="L57" s="2289">
        <f>IF(L49&lt;J52,"——",L49-J52)</f>
        <v>8.07</v>
      </c>
      <c r="O57" s="2280" t="s">
        <v>1122</v>
      </c>
      <c r="P57" s="2275" t="s">
        <v>1157</v>
      </c>
      <c r="Q57" s="2326">
        <f>L53</f>
        <v>0</v>
      </c>
      <c r="R57" s="2325"/>
    </row>
    <row r="58" s="2083" customFormat="1" ht="29.25" spans="1:18">
      <c r="A58" s="2225"/>
      <c r="B58" s="2116" t="s">
        <v>1083</v>
      </c>
      <c r="C58" s="2046">
        <f ca="1">C29</f>
        <v>864126</v>
      </c>
      <c r="D58" s="2222"/>
      <c r="E58" s="2223"/>
      <c r="F58" s="2224"/>
      <c r="I58" s="2310" t="s">
        <v>1158</v>
      </c>
      <c r="J58" s="2311" t="str">
        <f>IF(OR(M48="住宅",J52&lt;L49,J57="是"),"——",J52-L49)</f>
        <v>——</v>
      </c>
      <c r="K58" s="2286" t="s">
        <v>1159</v>
      </c>
      <c r="L58" s="2289">
        <f ca="1">IF(L49&lt;J52,"——",IF(L56="比较法",L50,IF(L56="基准地价",L51,L52)))</f>
        <v>113223159</v>
      </c>
      <c r="O58" s="2280" t="s">
        <v>1128</v>
      </c>
      <c r="P58" s="2275" t="s">
        <v>1160</v>
      </c>
      <c r="Q58" s="2324" t="e">
        <f>L59</f>
        <v>#DIV/0!</v>
      </c>
      <c r="R58" s="2325" t="s">
        <v>1161</v>
      </c>
    </row>
    <row r="59" s="2083" customFormat="1" ht="29.25" spans="1:18">
      <c r="A59" s="2226" t="s">
        <v>740</v>
      </c>
      <c r="B59" s="2227" t="s">
        <v>1027</v>
      </c>
      <c r="C59" s="1716">
        <f ca="1">ROUND(C60+C65+C66+C67,0)</f>
        <v>9246</v>
      </c>
      <c r="D59" s="2228" t="s">
        <v>1028</v>
      </c>
      <c r="E59" s="1765"/>
      <c r="F59" s="2156"/>
      <c r="I59" s="2310" t="s">
        <v>1162</v>
      </c>
      <c r="J59" s="2312" t="e">
        <f>IF(J56&lt;0.4,0.4,J56)</f>
        <v>#VALUE!</v>
      </c>
      <c r="K59" s="2295" t="s">
        <v>1163</v>
      </c>
      <c r="L59" s="2289" t="e">
        <f>ROUND(POWER(1+L53,L48-L49)*(POWER(1+L53,L49)-1)/(POWER(1+L53,L48)-1),4)</f>
        <v>#DIV/0!</v>
      </c>
      <c r="O59" s="2280" t="s">
        <v>1135</v>
      </c>
      <c r="P59" s="2275" t="str">
        <f>K60</f>
        <v>建筑物剩余耐用年限下的土地年期修正系数Kn</v>
      </c>
      <c r="Q59" s="2324" t="e">
        <f>L60</f>
        <v>#DIV/0!</v>
      </c>
      <c r="R59" s="2325" t="s">
        <v>1164</v>
      </c>
    </row>
    <row r="60" s="2083" customFormat="1" ht="29.25" spans="1:18">
      <c r="A60" s="2147" t="s">
        <v>1165</v>
      </c>
      <c r="B60" s="2116" t="s">
        <v>1033</v>
      </c>
      <c r="C60" s="2170">
        <f ca="1">ROUND(IF(AND(项目基本情况!B7="自然人",项目基本情况!B6="北京市"),C50*F60/(1+'数据-取费表'!F30),C61+C62+C63),0)</f>
        <v>0</v>
      </c>
      <c r="D60" s="2149" t="s">
        <v>1034</v>
      </c>
      <c r="E60" s="2171" t="s">
        <v>1035</v>
      </c>
      <c r="F60" s="2172">
        <f>IF(项目基本情况!B7="企业","——",IF('数据-取费表'!B10="住宅",IF(F50*F51*F52/12/(1+'数据-取费表'!F30)&gt;100000,4%,2.5%),IF(F50*F51*F52/12/(1+'数据-取费表'!F30)&gt;100000,12%,7%)))</f>
        <v>0.025</v>
      </c>
      <c r="I60" s="2310" t="s">
        <v>1166</v>
      </c>
      <c r="J60" s="2311" t="str">
        <f ca="1">IF(OR(M48="住宅",J52&lt;L49,J57="是"),"——",ROUND(C29*J59,0))</f>
        <v>——</v>
      </c>
      <c r="K60" s="229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89" t="e">
        <f>ROUND(IF(E1="在建（套用方法）",M60,IF(E1="土地（套用方法）",N60,POWER(1+L53,L48-J52)*(POWER(1+L53,J52)-1)/(POWER(1+L53,L48)-1))),4)</f>
        <v>#DIV/0!</v>
      </c>
      <c r="M60" s="2270" t="e">
        <f>ROUND(POWER(1+L53,L48-(J52+'数据-取费表'!B26))*(POWER(1+L53,(J52+'数据-取费表'!B26))-1)/(POWER(1+L53,L48)-1),4)</f>
        <v>#DIV/0!</v>
      </c>
      <c r="N60" s="2270" t="e">
        <f>ROUND(POWER(1+L53,L48-(J52+'数据-取费表'!B22))*(POWER(1+L53,(J52+'数据-取费表'!B22))-1)/(POWER(1+L53,L48)-1),4)</f>
        <v>#DIV/0!</v>
      </c>
      <c r="O60" s="2274" t="s">
        <v>1140</v>
      </c>
      <c r="P60" s="2275" t="str">
        <f>IF(C2="元","收益价值(元)","收益价值(万元)")</f>
        <v>收益价值(元)</v>
      </c>
      <c r="Q60" s="2324">
        <f ca="1">ROUND(IF(C2="元",Q54+Q55,(Q54+Q55)/10000),0)</f>
        <v>6047099</v>
      </c>
      <c r="R60" s="2325" t="s">
        <v>1141</v>
      </c>
    </row>
    <row r="61" s="2083" customFormat="1" ht="16.5" spans="1:18">
      <c r="A61" s="2147" t="s">
        <v>1167</v>
      </c>
      <c r="B61" s="2116" t="s">
        <v>1038</v>
      </c>
      <c r="C61" s="1763" t="str">
        <f ca="1">IF(项目基本情况!B7="自然人","——",ROUND(C49*F61/(1+'数据-取费表'!F30),0))</f>
        <v>——</v>
      </c>
      <c r="D61" s="2171" t="s">
        <v>1168</v>
      </c>
      <c r="E61" s="2116" t="s">
        <v>1024</v>
      </c>
      <c r="F61" s="2161">
        <f t="shared" ref="F61:F67" si="0">F32</f>
        <v>0.056</v>
      </c>
      <c r="I61" s="2313" t="s">
        <v>1169</v>
      </c>
      <c r="J61" s="2314" t="str">
        <f ca="1">IF(OR(M48="住宅",J52&lt;L49,J57="是"),"0",ROUND(J60/(1+J53)^J54,0))</f>
        <v>0</v>
      </c>
      <c r="K61" s="2315" t="s">
        <v>1170</v>
      </c>
      <c r="L61" s="2314">
        <f ca="1">IF(OR(M48="住宅",L49&lt;J52),0,ROUND(L58*(L59/L60-1),0))</f>
        <v>0</v>
      </c>
      <c r="O61" s="2269" t="s">
        <v>1171</v>
      </c>
      <c r="P61" s="2270"/>
      <c r="Q61" s="2285"/>
      <c r="R61" s="2270"/>
    </row>
    <row r="62" s="2083" customFormat="1" ht="15.75" spans="1:18">
      <c r="A62" s="2147" t="s">
        <v>1172</v>
      </c>
      <c r="B62" s="2116" t="s">
        <v>1042</v>
      </c>
      <c r="C62" s="1763" t="str">
        <f ca="1">IF(项目基本情况!B7="自然人","——",IF(D62="按租金收入计税",ROUND(C50*F62/(1+'数据-取费表'!F30),0),IF(D62="按房产原值计税",ROUND(C58*F62*0.7,0),'数据-取费表'!B44)))</f>
        <v>——</v>
      </c>
      <c r="D62" s="2174" t="s">
        <v>1173</v>
      </c>
      <c r="E62" s="2116" t="s">
        <v>1024</v>
      </c>
      <c r="F62" s="2155">
        <f t="shared" si="0"/>
        <v>0.12</v>
      </c>
      <c r="O62" s="2272" t="s">
        <v>1106</v>
      </c>
      <c r="P62" s="2273" t="s">
        <v>1107</v>
      </c>
      <c r="Q62" s="2322" t="s">
        <v>1108</v>
      </c>
      <c r="R62" s="2323" t="s">
        <v>1109</v>
      </c>
    </row>
    <row r="63" s="2083" customFormat="1" ht="15.75" spans="1:18">
      <c r="A63" s="2209" t="s">
        <v>1174</v>
      </c>
      <c r="B63" s="2115" t="s">
        <v>1045</v>
      </c>
      <c r="C63" s="2176" t="str">
        <f>IF(项目基本情况!B7="自然人","——",ROUND(F63*F64,0))</f>
        <v>——</v>
      </c>
      <c r="D63" s="2177" t="s">
        <v>1046</v>
      </c>
      <c r="E63" s="2116" t="s">
        <v>1047</v>
      </c>
      <c r="F63" s="2160">
        <f t="shared" si="0"/>
        <v>0</v>
      </c>
      <c r="I63" s="2316" t="s">
        <v>1175</v>
      </c>
      <c r="J63" s="2317" t="s">
        <v>1176</v>
      </c>
      <c r="K63" s="2317" t="s">
        <v>1177</v>
      </c>
      <c r="L63" s="2317" t="s">
        <v>1178</v>
      </c>
      <c r="M63" s="2318" t="s">
        <v>1179</v>
      </c>
      <c r="O63" s="2274" t="s">
        <v>1110</v>
      </c>
      <c r="P63" s="2275" t="s">
        <v>1111</v>
      </c>
      <c r="Q63" s="2324">
        <f ca="1">C40+J29</f>
        <v>6047099</v>
      </c>
      <c r="R63" s="2325" t="s">
        <v>1112</v>
      </c>
    </row>
    <row r="64" s="2083" customFormat="1" ht="20.25" spans="1:18">
      <c r="A64" s="2130"/>
      <c r="B64" s="2123"/>
      <c r="C64" s="1835"/>
      <c r="D64" s="447"/>
      <c r="E64" s="2116" t="s">
        <v>1051</v>
      </c>
      <c r="F64" s="2117">
        <f t="shared" si="0"/>
        <v>0</v>
      </c>
      <c r="I64" s="2316" t="s">
        <v>1180</v>
      </c>
      <c r="J64" s="2317">
        <v>70</v>
      </c>
      <c r="K64" s="2317">
        <v>50</v>
      </c>
      <c r="L64" s="2317">
        <v>80</v>
      </c>
      <c r="M64" s="2319">
        <v>0.02</v>
      </c>
      <c r="O64" s="2274" t="s">
        <v>1113</v>
      </c>
      <c r="P64" s="2275" t="s">
        <v>1149</v>
      </c>
      <c r="Q64" s="2324">
        <f ca="1">L61</f>
        <v>0</v>
      </c>
      <c r="R64" s="2325" t="s">
        <v>1150</v>
      </c>
    </row>
    <row r="65" s="2083" customFormat="1" ht="24" spans="1:18">
      <c r="A65" s="2147" t="s">
        <v>1181</v>
      </c>
      <c r="B65" s="2116" t="s">
        <v>1054</v>
      </c>
      <c r="C65" s="1763">
        <f ca="1">ROUND(C58*F65,0)</f>
        <v>8641</v>
      </c>
      <c r="D65" s="2171" t="s">
        <v>1092</v>
      </c>
      <c r="E65" s="2116" t="s">
        <v>1024</v>
      </c>
      <c r="F65" s="2180">
        <f t="shared" si="0"/>
        <v>0.01</v>
      </c>
      <c r="I65" s="2316" t="s">
        <v>1182</v>
      </c>
      <c r="J65" s="2317">
        <v>50</v>
      </c>
      <c r="K65" s="2317">
        <v>35</v>
      </c>
      <c r="L65" s="2317">
        <v>60</v>
      </c>
      <c r="M65" s="2318">
        <v>0</v>
      </c>
      <c r="O65" s="2280" t="s">
        <v>1118</v>
      </c>
      <c r="P65" s="2275" t="s">
        <v>1153</v>
      </c>
      <c r="Q65" s="2331">
        <f ca="1">L52</f>
        <v>113223159</v>
      </c>
      <c r="R65" s="2332" t="s">
        <v>1183</v>
      </c>
    </row>
    <row r="66" s="2083" customFormat="1" ht="20.25" spans="1:18">
      <c r="A66" s="2147" t="s">
        <v>1184</v>
      </c>
      <c r="B66" s="2116" t="s">
        <v>1058</v>
      </c>
      <c r="C66" s="1763">
        <f ca="1">ROUND(C57*F66,0)</f>
        <v>605</v>
      </c>
      <c r="D66" s="2171" t="s">
        <v>1059</v>
      </c>
      <c r="E66" s="2116" t="s">
        <v>1024</v>
      </c>
      <c r="F66" s="2181">
        <f t="shared" si="0"/>
        <v>0.001</v>
      </c>
      <c r="I66" s="2316" t="s">
        <v>1185</v>
      </c>
      <c r="J66" s="2317">
        <v>40</v>
      </c>
      <c r="K66" s="2317">
        <v>30</v>
      </c>
      <c r="L66" s="2317">
        <v>50</v>
      </c>
      <c r="M66" s="2319">
        <v>0.02</v>
      </c>
      <c r="O66" s="2280" t="s">
        <v>1122</v>
      </c>
      <c r="P66" s="2330" t="s">
        <v>1186</v>
      </c>
      <c r="Q66" s="2324">
        <f ca="1">ROUND(Q67-Q68*Q69,0)</f>
        <v>236906</v>
      </c>
      <c r="R66" s="2325"/>
    </row>
    <row r="67" s="2083" customFormat="1" ht="15.75" spans="1:18">
      <c r="A67" s="2147" t="s">
        <v>1187</v>
      </c>
      <c r="B67" s="2116" t="s">
        <v>1043</v>
      </c>
      <c r="C67" s="1763">
        <f ca="1">ROUND(C49*F67,0)</f>
        <v>0</v>
      </c>
      <c r="D67" s="2171" t="s">
        <v>1062</v>
      </c>
      <c r="E67" s="2116" t="s">
        <v>1024</v>
      </c>
      <c r="F67" s="2124">
        <f t="shared" si="0"/>
        <v>0.01</v>
      </c>
      <c r="O67" s="2280" t="s">
        <v>1188</v>
      </c>
      <c r="P67" s="2330" t="s">
        <v>1189</v>
      </c>
      <c r="Q67" s="2324">
        <f ca="1">C39</f>
        <v>236906</v>
      </c>
      <c r="R67" s="2325" t="s">
        <v>1112</v>
      </c>
    </row>
    <row r="68" ht="15.75" spans="1:18">
      <c r="A68" s="2226" t="s">
        <v>743</v>
      </c>
      <c r="B68" s="2327" t="s">
        <v>1066</v>
      </c>
      <c r="C68" s="1716">
        <f ca="1">C49-C59</f>
        <v>-9246</v>
      </c>
      <c r="D68" s="2149" t="s">
        <v>1067</v>
      </c>
      <c r="E68" s="2328"/>
      <c r="F68" s="2329"/>
      <c r="H68" s="2083"/>
      <c r="I68" s="2083"/>
      <c r="J68" s="2083"/>
      <c r="K68" s="2083"/>
      <c r="L68" s="2083"/>
      <c r="M68" s="2083"/>
      <c r="O68" s="2280" t="s">
        <v>1190</v>
      </c>
      <c r="P68" s="2330" t="s">
        <v>1191</v>
      </c>
      <c r="Q68" s="2324">
        <f ca="1">C13</f>
        <v>604888</v>
      </c>
      <c r="R68" s="2325" t="s">
        <v>1112</v>
      </c>
    </row>
    <row r="69" ht="15.75" spans="1:18">
      <c r="A69" s="2108" t="s">
        <v>769</v>
      </c>
      <c r="B69" s="2109" t="s">
        <v>1097</v>
      </c>
      <c r="C69" s="2110">
        <f ca="1">ROUND(C68*(1-((1+F71)/(1+F69))^F70)/(F69-F71),0)</f>
        <v>-168849</v>
      </c>
      <c r="D69" s="2177" t="s">
        <v>1072</v>
      </c>
      <c r="E69" s="2116" t="s">
        <v>1073</v>
      </c>
      <c r="F69" s="2124">
        <f>F40</f>
        <v>0.05</v>
      </c>
      <c r="H69" s="2083"/>
      <c r="I69" s="2083"/>
      <c r="J69" s="2083"/>
      <c r="K69" s="2083"/>
      <c r="L69" s="2083"/>
      <c r="M69" s="2083"/>
      <c r="O69" s="2280" t="s">
        <v>1192</v>
      </c>
      <c r="P69" s="2330" t="s">
        <v>1193</v>
      </c>
      <c r="Q69" s="2326">
        <f>J35</f>
        <v>0</v>
      </c>
      <c r="R69" s="2325"/>
    </row>
    <row r="70" ht="15.75" spans="1:18">
      <c r="A70" s="2122"/>
      <c r="B70" s="2119"/>
      <c r="C70" s="2120"/>
      <c r="D70" s="2187" t="s">
        <v>1076</v>
      </c>
      <c r="E70" s="2116" t="s">
        <v>1077</v>
      </c>
      <c r="F70" s="2189">
        <f>F41</f>
        <v>50.07</v>
      </c>
      <c r="H70" s="2083"/>
      <c r="I70" s="2083"/>
      <c r="J70" s="2083"/>
      <c r="K70" s="2083"/>
      <c r="L70" s="2083"/>
      <c r="M70" s="2083"/>
      <c r="O70" s="2280" t="s">
        <v>1128</v>
      </c>
      <c r="P70" s="2275" t="s">
        <v>1157</v>
      </c>
      <c r="Q70" s="2326">
        <f>L53</f>
        <v>0</v>
      </c>
      <c r="R70" s="2325"/>
    </row>
    <row r="71" ht="20.25" spans="1:18">
      <c r="A71" s="2135"/>
      <c r="B71" s="2191"/>
      <c r="C71" s="2144"/>
      <c r="D71" s="447"/>
      <c r="E71" s="2116" t="s">
        <v>1081</v>
      </c>
      <c r="F71" s="2214"/>
      <c r="H71" s="2083"/>
      <c r="M71" s="2083"/>
      <c r="O71" s="2280" t="s">
        <v>1135</v>
      </c>
      <c r="P71" s="2275" t="s">
        <v>1160</v>
      </c>
      <c r="Q71" s="2324" t="e">
        <f>L59</f>
        <v>#DIV/0!</v>
      </c>
      <c r="R71" s="2325" t="s">
        <v>1161</v>
      </c>
    </row>
    <row r="72" ht="15.75" spans="1:18">
      <c r="A72" s="2165" t="s">
        <v>1084</v>
      </c>
      <c r="B72" s="2192" t="s">
        <v>1102</v>
      </c>
      <c r="C72" s="2193">
        <f ca="1">ROUND(C69/F72,0)</f>
        <v>-1025</v>
      </c>
      <c r="D72" s="2194" t="s">
        <v>1103</v>
      </c>
      <c r="E72" s="2195" t="s">
        <v>1104</v>
      </c>
      <c r="F72" s="2196">
        <f>F43</f>
        <v>164.75</v>
      </c>
      <c r="O72" s="2280" t="s">
        <v>1194</v>
      </c>
      <c r="P72" s="2275" t="str">
        <f>K60</f>
        <v>建筑物剩余耐用年限下的土地年期修正系数Kn</v>
      </c>
      <c r="Q72" s="2324" t="e">
        <f>L60</f>
        <v>#DIV/0!</v>
      </c>
      <c r="R72" s="2325" t="s">
        <v>1164</v>
      </c>
    </row>
    <row r="73" ht="15.75" spans="1:18">
      <c r="A73" s="2083"/>
      <c r="B73" s="2086"/>
      <c r="C73" s="2086"/>
      <c r="D73" s="2083"/>
      <c r="E73" s="2083"/>
      <c r="F73" s="2083"/>
      <c r="O73" s="2274" t="s">
        <v>1140</v>
      </c>
      <c r="P73" s="2275" t="str">
        <f>IF(C2="元","收益价值(元)","收益价值(万元)")</f>
        <v>收益价值(元)</v>
      </c>
      <c r="Q73" s="2324">
        <f ca="1">ROUND(IF(C2="元",Q63+Q64,(Q63+Q64)/10000),0)</f>
        <v>6047099</v>
      </c>
      <c r="R73" s="2325" t="s">
        <v>1141</v>
      </c>
    </row>
    <row r="74" spans="1:6">
      <c r="A74" s="2083"/>
      <c r="B74" s="2086"/>
      <c r="C74" s="2086"/>
      <c r="D74" s="2083"/>
      <c r="E74" s="2083"/>
      <c r="F74" s="2083"/>
    </row>
    <row r="75" spans="1:6">
      <c r="A75" s="2083"/>
      <c r="B75" s="2086"/>
      <c r="C75" s="2086"/>
      <c r="D75" s="2083"/>
      <c r="E75" s="2083"/>
      <c r="F75" s="2083"/>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408"/>
      <c r="B1" s="3409"/>
    </row>
    <row r="2" spans="1:2">
      <c r="A2" s="3408"/>
      <c r="B2" s="3409"/>
    </row>
    <row r="3" spans="1:2">
      <c r="A3" s="3408"/>
      <c r="B3" s="3409"/>
    </row>
    <row r="4" spans="1:2">
      <c r="A4" s="3408"/>
      <c r="B4" s="3409"/>
    </row>
    <row r="5" spans="1:2">
      <c r="A5" s="3408"/>
      <c r="B5" s="3409"/>
    </row>
    <row r="6" spans="1:2">
      <c r="A6" s="3408"/>
      <c r="B6" s="3409"/>
    </row>
    <row r="7" spans="1:2">
      <c r="A7" s="3408"/>
      <c r="B7" s="3409"/>
    </row>
    <row r="8" spans="1:3">
      <c r="A8" s="3410" t="s">
        <v>71</v>
      </c>
      <c r="B8" s="3411" t="s">
        <v>72</v>
      </c>
      <c r="C8" s="3412"/>
    </row>
    <row r="9" spans="1:7">
      <c r="A9" s="3408"/>
      <c r="B9" s="3413" t="str">
        <f>项目基本情况!B1</f>
        <v>北京市预评估</v>
      </c>
      <c r="C9" s="3414"/>
      <c r="D9" s="3415"/>
      <c r="E9" s="3415"/>
      <c r="F9" s="3415"/>
      <c r="G9" s="3415"/>
    </row>
    <row r="10" spans="1:7">
      <c r="A10" s="3408"/>
      <c r="B10" s="3416"/>
      <c r="C10" s="3414"/>
      <c r="D10" s="3415"/>
      <c r="E10" s="3415"/>
      <c r="F10" s="3415"/>
      <c r="G10" s="3415"/>
    </row>
    <row r="11" spans="1:3">
      <c r="A11" s="3410" t="s">
        <v>71</v>
      </c>
      <c r="B11" s="3411" t="s">
        <v>73</v>
      </c>
      <c r="C11" s="3412"/>
    </row>
    <row r="12" spans="1:3">
      <c r="A12" s="3408"/>
      <c r="B12" s="3417" t="str">
        <f>项目基本情况!B4</f>
        <v>xx</v>
      </c>
      <c r="C12" s="3412"/>
    </row>
    <row r="13" spans="1:3">
      <c r="A13" s="3408"/>
      <c r="B13" s="3411"/>
      <c r="C13" s="3412"/>
    </row>
    <row r="14" spans="1:3">
      <c r="A14" s="3410" t="s">
        <v>71</v>
      </c>
      <c r="B14" s="3411" t="s">
        <v>74</v>
      </c>
      <c r="C14" s="3412"/>
    </row>
    <row r="15" spans="1:3">
      <c r="A15" s="3408"/>
      <c r="B15" s="3417" t="s">
        <v>75</v>
      </c>
      <c r="C15" s="3412"/>
    </row>
    <row r="16" spans="1:3">
      <c r="A16" s="3408"/>
      <c r="B16" s="3411"/>
      <c r="C16" s="3412"/>
    </row>
    <row r="17" spans="1:3">
      <c r="A17" s="3410" t="s">
        <v>71</v>
      </c>
      <c r="B17" s="3411" t="s">
        <v>76</v>
      </c>
      <c r="C17" s="3412"/>
    </row>
    <row r="18" s="3407" customFormat="1" spans="1:5">
      <c r="A18" s="3418"/>
      <c r="B18" s="3417" t="str">
        <f ca="1">CONCATENATE(项目基本情况!B3,"（注册号:",项目基本情况!C3,"）、",项目基本情况!D3,"（注册号:",项目基本情况!E3,")")</f>
        <v>陈颖（注册号:1120060040）、（注册号:0)</v>
      </c>
      <c r="C18" s="3419"/>
      <c r="E18" s="3419"/>
    </row>
    <row r="19" spans="1:3">
      <c r="A19" s="3408"/>
      <c r="B19" s="3411"/>
      <c r="C19" s="3412"/>
    </row>
    <row r="20" spans="1:3">
      <c r="A20" s="3410" t="s">
        <v>71</v>
      </c>
      <c r="B20" s="3411" t="s">
        <v>77</v>
      </c>
      <c r="C20" s="3412"/>
    </row>
    <row r="21" spans="1:2">
      <c r="A21" s="3408"/>
      <c r="B21" s="3417" t="str">
        <f>"康正预评字"&amp;项目基本情况!G1&amp;"号"</f>
        <v>康正预评字号</v>
      </c>
    </row>
    <row r="22" spans="1:2">
      <c r="A22" s="3408"/>
      <c r="B22" s="3409"/>
    </row>
    <row r="23" spans="2:2">
      <c r="B23" s="3420"/>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B1" sqref="B1"/>
    </sheetView>
  </sheetViews>
  <sheetFormatPr defaultColWidth="8.375" defaultRowHeight="12.75"/>
  <cols>
    <col min="1" max="1" width="9.375" style="2001" customWidth="1"/>
    <col min="2" max="2" width="29.25" style="2002" customWidth="1"/>
    <col min="3" max="3" width="12.125" style="2002" customWidth="1"/>
    <col min="4" max="4" width="12.25" style="2003" customWidth="1"/>
    <col min="5" max="5" width="11.25" style="2003" customWidth="1"/>
    <col min="6" max="6" width="9.5" style="2002" customWidth="1"/>
    <col min="7" max="7" width="31.875" style="2002" customWidth="1"/>
    <col min="8" max="123" width="9" style="2000" customWidth="1"/>
    <col min="124" max="254" width="9" style="2002" customWidth="1"/>
    <col min="255" max="16384" width="8.375" style="2002"/>
  </cols>
  <sheetData>
    <row r="1" s="1996" customFormat="1" ht="20.25" spans="1:123">
      <c r="A1" s="1908" t="s">
        <v>1195</v>
      </c>
      <c r="B1" s="1910" t="s">
        <v>97</v>
      </c>
      <c r="C1" s="2004"/>
      <c r="D1" s="2004"/>
      <c r="E1" s="2004"/>
      <c r="F1" s="2004"/>
      <c r="G1" s="1426"/>
      <c r="H1" s="2005"/>
      <c r="I1" s="2005"/>
      <c r="J1" s="2005"/>
      <c r="K1" s="2005"/>
      <c r="L1" s="2005"/>
      <c r="M1" s="2005"/>
      <c r="N1" s="2005"/>
      <c r="O1" s="2005"/>
      <c r="P1" s="2005"/>
      <c r="Q1" s="2005"/>
      <c r="R1" s="2005"/>
      <c r="S1" s="2005"/>
      <c r="T1" s="2005"/>
      <c r="U1" s="2005"/>
      <c r="V1" s="2005"/>
      <c r="W1" s="2005"/>
      <c r="X1" s="2005"/>
      <c r="Y1" s="2005"/>
      <c r="Z1" s="2005"/>
      <c r="AA1" s="2005"/>
      <c r="AB1" s="2005"/>
      <c r="AC1" s="2005"/>
      <c r="AD1" s="2005"/>
      <c r="AE1" s="2005"/>
      <c r="AF1" s="2005"/>
      <c r="AG1" s="2005"/>
      <c r="AH1" s="2005"/>
      <c r="AI1" s="2005"/>
      <c r="AJ1" s="2005"/>
      <c r="AK1" s="2005"/>
      <c r="AL1" s="2005"/>
      <c r="AM1" s="2005"/>
      <c r="AN1" s="2005"/>
      <c r="AO1" s="2005"/>
      <c r="AP1" s="2005"/>
      <c r="AQ1" s="2005"/>
      <c r="AR1" s="2005"/>
      <c r="AS1" s="2005"/>
      <c r="AT1" s="2005"/>
      <c r="AU1" s="2005"/>
      <c r="AV1" s="2005"/>
      <c r="AW1" s="2005"/>
      <c r="AX1" s="2005"/>
      <c r="AY1" s="2005"/>
      <c r="AZ1" s="2005"/>
      <c r="BA1" s="2005"/>
      <c r="BB1" s="2005"/>
      <c r="BC1" s="2005"/>
      <c r="BD1" s="2005"/>
      <c r="BE1" s="2005"/>
      <c r="BF1" s="2005"/>
      <c r="BG1" s="2005"/>
      <c r="BH1" s="2005"/>
      <c r="BI1" s="2005"/>
      <c r="BJ1" s="2005"/>
      <c r="BK1" s="2005"/>
      <c r="BL1" s="2005"/>
      <c r="BM1" s="2005"/>
      <c r="BN1" s="2005"/>
      <c r="BO1" s="2005"/>
      <c r="BP1" s="2005"/>
      <c r="BQ1" s="2005"/>
      <c r="BR1" s="2005"/>
      <c r="BS1" s="2005"/>
      <c r="BT1" s="2005"/>
      <c r="BU1" s="2005"/>
      <c r="BV1" s="2005"/>
      <c r="BW1" s="2005"/>
      <c r="BX1" s="2005"/>
      <c r="BY1" s="2005"/>
      <c r="BZ1" s="2005"/>
      <c r="CA1" s="2005"/>
      <c r="CB1" s="2005"/>
      <c r="CC1" s="2005"/>
      <c r="CD1" s="2005"/>
      <c r="CE1" s="2005"/>
      <c r="CF1" s="2005"/>
      <c r="CG1" s="2005"/>
      <c r="CH1" s="2005"/>
      <c r="CI1" s="2005"/>
      <c r="CJ1" s="2005"/>
      <c r="CK1" s="2005"/>
      <c r="CL1" s="2005"/>
      <c r="CM1" s="2005"/>
      <c r="CN1" s="2005"/>
      <c r="CO1" s="2005"/>
      <c r="CP1" s="2005"/>
      <c r="CQ1" s="2005"/>
      <c r="CR1" s="2005"/>
      <c r="CS1" s="2005"/>
      <c r="CT1" s="2005"/>
      <c r="CU1" s="2005"/>
      <c r="CV1" s="2005"/>
      <c r="CW1" s="2005"/>
      <c r="CX1" s="2005"/>
      <c r="CY1" s="2005"/>
      <c r="CZ1" s="2005"/>
      <c r="DA1" s="2005"/>
      <c r="DB1" s="2005"/>
      <c r="DC1" s="2005"/>
      <c r="DD1" s="2005"/>
      <c r="DE1" s="2005"/>
      <c r="DF1" s="2005"/>
      <c r="DG1" s="2005"/>
      <c r="DH1" s="2005"/>
      <c r="DI1" s="2005"/>
      <c r="DJ1" s="2005"/>
      <c r="DK1" s="2005"/>
      <c r="DL1" s="2005"/>
      <c r="DM1" s="2005"/>
      <c r="DN1" s="2005"/>
      <c r="DO1" s="2005"/>
      <c r="DP1" s="2005"/>
      <c r="DQ1" s="2005"/>
      <c r="DR1" s="2005"/>
      <c r="DS1" s="2005"/>
    </row>
    <row r="2" s="1996" customFormat="1" ht="18" customHeight="1" spans="1:123">
      <c r="A2" s="721" t="s">
        <v>870</v>
      </c>
      <c r="B2" s="2006">
        <f ca="1">IF(D2="——",IF(C2="元",C52,ROUND(C52/10000,0)),IF(C2="元",C52,ROUND(C52/10000,0))-E2)</f>
        <v>1094843</v>
      </c>
      <c r="C2" s="1426" t="str">
        <f>'数据-取费表'!B3</f>
        <v>元</v>
      </c>
      <c r="D2" s="2007" t="s">
        <v>121</v>
      </c>
      <c r="E2" s="2008" t="e">
        <f ca="1">SUMIF(INDIRECT("'"&amp;G2&amp;"'"&amp;"!A:A"),"承租人权益价值",INDIRECT("'"&amp;G2&amp;"'"&amp;"!c:c"))</f>
        <v>#REF!</v>
      </c>
      <c r="F2" s="2009" t="str">
        <f>C2</f>
        <v>元</v>
      </c>
      <c r="G2" s="2010"/>
      <c r="H2" s="2005"/>
      <c r="I2" s="2005"/>
      <c r="J2" s="2005"/>
      <c r="K2" s="2005"/>
      <c r="L2" s="2005"/>
      <c r="M2" s="2005"/>
      <c r="N2" s="2005"/>
      <c r="O2" s="2005"/>
      <c r="P2" s="2005"/>
      <c r="Q2" s="2005"/>
      <c r="R2" s="2005"/>
      <c r="S2" s="2005"/>
      <c r="T2" s="2005"/>
      <c r="U2" s="2005"/>
      <c r="V2" s="2005"/>
      <c r="W2" s="2005"/>
      <c r="X2" s="2005"/>
      <c r="Y2" s="2005"/>
      <c r="Z2" s="2005"/>
      <c r="AA2" s="2005"/>
      <c r="AB2" s="2005"/>
      <c r="AC2" s="2005"/>
      <c r="AD2" s="2005"/>
      <c r="AE2" s="2005"/>
      <c r="AF2" s="2005"/>
      <c r="AG2" s="2005"/>
      <c r="AH2" s="2005"/>
      <c r="AI2" s="2005"/>
      <c r="AJ2" s="2005"/>
      <c r="AK2" s="2005"/>
      <c r="AL2" s="2005"/>
      <c r="AM2" s="2005"/>
      <c r="AN2" s="2005"/>
      <c r="AO2" s="2005"/>
      <c r="AP2" s="2005"/>
      <c r="AQ2" s="2005"/>
      <c r="AR2" s="2005"/>
      <c r="AS2" s="2005"/>
      <c r="AT2" s="2005"/>
      <c r="AU2" s="2005"/>
      <c r="AV2" s="2005"/>
      <c r="AW2" s="2005"/>
      <c r="AX2" s="2005"/>
      <c r="AY2" s="2005"/>
      <c r="AZ2" s="2005"/>
      <c r="BA2" s="2005"/>
      <c r="BB2" s="2005"/>
      <c r="BC2" s="2005"/>
      <c r="BD2" s="2005"/>
      <c r="BE2" s="2005"/>
      <c r="BF2" s="2005"/>
      <c r="BG2" s="2005"/>
      <c r="BH2" s="2005"/>
      <c r="BI2" s="2005"/>
      <c r="BJ2" s="2005"/>
      <c r="BK2" s="2005"/>
      <c r="BL2" s="2005"/>
      <c r="BM2" s="2005"/>
      <c r="BN2" s="2005"/>
      <c r="BO2" s="2005"/>
      <c r="BP2" s="2005"/>
      <c r="BQ2" s="2005"/>
      <c r="BR2" s="2005"/>
      <c r="BS2" s="2005"/>
      <c r="BT2" s="2005"/>
      <c r="BU2" s="2005"/>
      <c r="BV2" s="2005"/>
      <c r="BW2" s="2005"/>
      <c r="BX2" s="2005"/>
      <c r="BY2" s="2005"/>
      <c r="BZ2" s="2005"/>
      <c r="CA2" s="2005"/>
      <c r="CB2" s="2005"/>
      <c r="CC2" s="2005"/>
      <c r="CD2" s="2005"/>
      <c r="CE2" s="2005"/>
      <c r="CF2" s="2005"/>
      <c r="CG2" s="2005"/>
      <c r="CH2" s="2005"/>
      <c r="CI2" s="2005"/>
      <c r="CJ2" s="2005"/>
      <c r="CK2" s="2005"/>
      <c r="CL2" s="2005"/>
      <c r="CM2" s="2005"/>
      <c r="CN2" s="2005"/>
      <c r="CO2" s="2005"/>
      <c r="CP2" s="2005"/>
      <c r="CQ2" s="2005"/>
      <c r="CR2" s="2005"/>
      <c r="CS2" s="2005"/>
      <c r="CT2" s="2005"/>
      <c r="CU2" s="2005"/>
      <c r="CV2" s="2005"/>
      <c r="CW2" s="2005"/>
      <c r="CX2" s="2005"/>
      <c r="CY2" s="2005"/>
      <c r="CZ2" s="2005"/>
      <c r="DA2" s="2005"/>
      <c r="DB2" s="2005"/>
      <c r="DC2" s="2005"/>
      <c r="DD2" s="2005"/>
      <c r="DE2" s="2005"/>
      <c r="DF2" s="2005"/>
      <c r="DG2" s="2005"/>
      <c r="DH2" s="2005"/>
      <c r="DI2" s="2005"/>
      <c r="DJ2" s="2005"/>
      <c r="DK2" s="2005"/>
      <c r="DL2" s="2005"/>
      <c r="DM2" s="2005"/>
      <c r="DN2" s="2005"/>
      <c r="DO2" s="2005"/>
      <c r="DP2" s="2005"/>
      <c r="DQ2" s="2005"/>
      <c r="DR2" s="2005"/>
      <c r="DS2" s="2005"/>
    </row>
    <row r="3" s="1996" customFormat="1" ht="18" customHeight="1" spans="1:123">
      <c r="A3" s="726" t="s">
        <v>871</v>
      </c>
      <c r="B3" s="1913">
        <f ca="1">ROUND(C52/IF(B1="仅计算典型户型",'数据-取费表'!E5,'数据-取费表'!B5),0)</f>
        <v>6645</v>
      </c>
      <c r="C3" s="1426" t="s">
        <v>1196</v>
      </c>
      <c r="D3" s="1426"/>
      <c r="E3" s="1426"/>
      <c r="F3" s="1426"/>
      <c r="G3" s="1426"/>
      <c r="H3" s="2005"/>
      <c r="I3" s="2005"/>
      <c r="J3" s="2005"/>
      <c r="K3" s="2005"/>
      <c r="L3" s="2005"/>
      <c r="M3" s="2005"/>
      <c r="N3" s="2005"/>
      <c r="O3" s="2005"/>
      <c r="P3" s="2005"/>
      <c r="Q3" s="2005"/>
      <c r="R3" s="2005"/>
      <c r="S3" s="2005"/>
      <c r="T3" s="2005"/>
      <c r="U3" s="2005"/>
      <c r="V3" s="2005"/>
      <c r="W3" s="2005"/>
      <c r="X3" s="2005"/>
      <c r="Y3" s="2005"/>
      <c r="Z3" s="2005"/>
      <c r="AA3" s="2005"/>
      <c r="AB3" s="2005"/>
      <c r="AC3" s="2005"/>
      <c r="AD3" s="2005"/>
      <c r="AE3" s="2005"/>
      <c r="AF3" s="2005"/>
      <c r="AG3" s="2005"/>
      <c r="AH3" s="2005"/>
      <c r="AI3" s="2005"/>
      <c r="AJ3" s="2005"/>
      <c r="AK3" s="2005"/>
      <c r="AL3" s="2005"/>
      <c r="AM3" s="2005"/>
      <c r="AN3" s="2005"/>
      <c r="AO3" s="2005"/>
      <c r="AP3" s="2005"/>
      <c r="AQ3" s="2005"/>
      <c r="AR3" s="2005"/>
      <c r="AS3" s="2005"/>
      <c r="AT3" s="2005"/>
      <c r="AU3" s="2005"/>
      <c r="AV3" s="2005"/>
      <c r="AW3" s="2005"/>
      <c r="AX3" s="2005"/>
      <c r="AY3" s="2005"/>
      <c r="AZ3" s="2005"/>
      <c r="BA3" s="2005"/>
      <c r="BB3" s="2005"/>
      <c r="BC3" s="2005"/>
      <c r="BD3" s="2005"/>
      <c r="BE3" s="2005"/>
      <c r="BF3" s="2005"/>
      <c r="BG3" s="2005"/>
      <c r="BH3" s="2005"/>
      <c r="BI3" s="2005"/>
      <c r="BJ3" s="2005"/>
      <c r="BK3" s="2005"/>
      <c r="BL3" s="2005"/>
      <c r="BM3" s="2005"/>
      <c r="BN3" s="2005"/>
      <c r="BO3" s="2005"/>
      <c r="BP3" s="2005"/>
      <c r="BQ3" s="2005"/>
      <c r="BR3" s="2005"/>
      <c r="BS3" s="2005"/>
      <c r="BT3" s="2005"/>
      <c r="BU3" s="2005"/>
      <c r="BV3" s="2005"/>
      <c r="BW3" s="2005"/>
      <c r="BX3" s="2005"/>
      <c r="BY3" s="2005"/>
      <c r="BZ3" s="2005"/>
      <c r="CA3" s="2005"/>
      <c r="CB3" s="2005"/>
      <c r="CC3" s="2005"/>
      <c r="CD3" s="2005"/>
      <c r="CE3" s="2005"/>
      <c r="CF3" s="2005"/>
      <c r="CG3" s="2005"/>
      <c r="CH3" s="2005"/>
      <c r="CI3" s="2005"/>
      <c r="CJ3" s="2005"/>
      <c r="CK3" s="2005"/>
      <c r="CL3" s="2005"/>
      <c r="CM3" s="2005"/>
      <c r="CN3" s="2005"/>
      <c r="CO3" s="2005"/>
      <c r="CP3" s="2005"/>
      <c r="CQ3" s="2005"/>
      <c r="CR3" s="2005"/>
      <c r="CS3" s="2005"/>
      <c r="CT3" s="2005"/>
      <c r="CU3" s="2005"/>
      <c r="CV3" s="2005"/>
      <c r="CW3" s="2005"/>
      <c r="CX3" s="2005"/>
      <c r="CY3" s="2005"/>
      <c r="CZ3" s="2005"/>
      <c r="DA3" s="2005"/>
      <c r="DB3" s="2005"/>
      <c r="DC3" s="2005"/>
      <c r="DD3" s="2005"/>
      <c r="DE3" s="2005"/>
      <c r="DF3" s="2005"/>
      <c r="DG3" s="2005"/>
      <c r="DH3" s="2005"/>
      <c r="DI3" s="2005"/>
      <c r="DJ3" s="2005"/>
      <c r="DK3" s="2005"/>
      <c r="DL3" s="2005"/>
      <c r="DM3" s="2005"/>
      <c r="DN3" s="2005"/>
      <c r="DO3" s="2005"/>
      <c r="DP3" s="2005"/>
      <c r="DQ3" s="2005"/>
      <c r="DR3" s="2005"/>
      <c r="DS3" s="2005"/>
    </row>
    <row r="4" s="1997" customFormat="1" ht="15.75" spans="1:123">
      <c r="A4" s="2011" t="s">
        <v>1197</v>
      </c>
      <c r="B4" s="2012"/>
      <c r="C4" s="2012"/>
      <c r="D4" s="2012"/>
      <c r="E4" s="2012"/>
      <c r="F4" s="2012"/>
      <c r="G4" s="2013"/>
      <c r="H4" s="2014"/>
      <c r="I4" s="2014"/>
      <c r="J4" s="2014"/>
      <c r="K4" s="2014"/>
      <c r="L4" s="2014"/>
      <c r="M4" s="2014"/>
      <c r="N4" s="2014"/>
      <c r="O4" s="2014"/>
      <c r="P4" s="2014"/>
      <c r="Q4" s="2014"/>
      <c r="R4" s="2014"/>
      <c r="S4" s="2014"/>
      <c r="T4" s="2014"/>
      <c r="U4" s="2014"/>
      <c r="V4" s="2014"/>
      <c r="W4" s="2014"/>
      <c r="X4" s="2014"/>
      <c r="Y4" s="2014"/>
      <c r="Z4" s="2014"/>
      <c r="AA4" s="2014"/>
      <c r="AB4" s="2014"/>
      <c r="AC4" s="2014"/>
      <c r="AD4" s="2014"/>
      <c r="AE4" s="2014"/>
      <c r="AF4" s="2014"/>
      <c r="AG4" s="2014"/>
      <c r="AH4" s="2014"/>
      <c r="AI4" s="2014"/>
      <c r="AJ4" s="2014"/>
      <c r="AK4" s="2014"/>
      <c r="AL4" s="2014"/>
      <c r="AM4" s="2014"/>
      <c r="AN4" s="2014"/>
      <c r="AO4" s="2014"/>
      <c r="AP4" s="2014"/>
      <c r="AQ4" s="2014"/>
      <c r="AR4" s="2014"/>
      <c r="AS4" s="2014"/>
      <c r="AT4" s="2014"/>
      <c r="AU4" s="2014"/>
      <c r="AV4" s="2014"/>
      <c r="AW4" s="2014"/>
      <c r="AX4" s="2014"/>
      <c r="AY4" s="2014"/>
      <c r="AZ4" s="2014"/>
      <c r="BA4" s="2014"/>
      <c r="BB4" s="2014"/>
      <c r="BC4" s="2014"/>
      <c r="BD4" s="2014"/>
      <c r="BE4" s="2014"/>
      <c r="BF4" s="2014"/>
      <c r="BG4" s="2014"/>
      <c r="BH4" s="2014"/>
      <c r="BI4" s="2014"/>
      <c r="BJ4" s="2014"/>
      <c r="BK4" s="2014"/>
      <c r="BL4" s="2014"/>
      <c r="BM4" s="2014"/>
      <c r="BN4" s="2014"/>
      <c r="BO4" s="2014"/>
      <c r="BP4" s="2014"/>
      <c r="BQ4" s="2014"/>
      <c r="BR4" s="2014"/>
      <c r="BS4" s="2014"/>
      <c r="BT4" s="2014"/>
      <c r="BU4" s="2014"/>
      <c r="BV4" s="2014"/>
      <c r="BW4" s="2014"/>
      <c r="BX4" s="2014"/>
      <c r="BY4" s="2014"/>
      <c r="BZ4" s="2014"/>
      <c r="CA4" s="2014"/>
      <c r="CB4" s="2014"/>
      <c r="CC4" s="2014"/>
      <c r="CD4" s="2014"/>
      <c r="CE4" s="2014"/>
      <c r="CF4" s="2014"/>
      <c r="CG4" s="2014"/>
      <c r="CH4" s="2014"/>
      <c r="CI4" s="2014"/>
      <c r="CJ4" s="2014"/>
      <c r="CK4" s="2014"/>
      <c r="CL4" s="2014"/>
      <c r="CM4" s="2014"/>
      <c r="CN4" s="2014"/>
      <c r="CO4" s="2014"/>
      <c r="CP4" s="2014"/>
      <c r="CQ4" s="2014"/>
      <c r="CR4" s="2014"/>
      <c r="CS4" s="2014"/>
      <c r="CT4" s="2014"/>
      <c r="CU4" s="2014"/>
      <c r="CV4" s="2014"/>
      <c r="CW4" s="2014"/>
      <c r="CX4" s="2014"/>
      <c r="CY4" s="2014"/>
      <c r="CZ4" s="2014"/>
      <c r="DA4" s="2014"/>
      <c r="DB4" s="2014"/>
      <c r="DC4" s="2014"/>
      <c r="DD4" s="2014"/>
      <c r="DE4" s="2014"/>
      <c r="DF4" s="2014"/>
      <c r="DG4" s="2014"/>
      <c r="DH4" s="2014"/>
      <c r="DI4" s="2014"/>
      <c r="DJ4" s="2014"/>
      <c r="DK4" s="2014"/>
      <c r="DL4" s="2014"/>
      <c r="DM4" s="2014"/>
      <c r="DN4" s="2014"/>
      <c r="DO4" s="2014"/>
      <c r="DP4" s="2014"/>
      <c r="DQ4" s="2014"/>
      <c r="DR4" s="2014"/>
      <c r="DS4" s="2014"/>
    </row>
    <row r="5" s="1998" customFormat="1" ht="13.5" customHeight="1" spans="1:123">
      <c r="A5" s="2015" t="s">
        <v>1198</v>
      </c>
      <c r="B5" s="2016" t="s">
        <v>1199</v>
      </c>
      <c r="C5" s="2017">
        <f>C6+C7+C8</f>
        <v>366166</v>
      </c>
      <c r="D5" s="2017" t="s">
        <v>1200</v>
      </c>
      <c r="E5" s="2018" t="s">
        <v>1201</v>
      </c>
      <c r="F5" s="2018" t="s">
        <v>724</v>
      </c>
      <c r="G5" s="2019"/>
      <c r="H5" s="1999"/>
      <c r="I5" s="1999"/>
      <c r="J5" s="1999"/>
      <c r="K5" s="1999"/>
      <c r="L5" s="1999"/>
      <c r="M5" s="1999"/>
      <c r="N5" s="1999"/>
      <c r="O5" s="1999"/>
      <c r="P5" s="1999"/>
      <c r="Q5" s="1999"/>
      <c r="R5" s="1999"/>
      <c r="S5" s="1999"/>
      <c r="T5" s="1999"/>
      <c r="U5" s="1999"/>
      <c r="V5" s="1999"/>
      <c r="W5" s="1999"/>
      <c r="X5" s="1999"/>
      <c r="Y5" s="1999"/>
      <c r="Z5" s="1999"/>
      <c r="AA5" s="1999"/>
      <c r="AB5" s="1999"/>
      <c r="AC5" s="1999"/>
      <c r="AD5" s="1999"/>
      <c r="AE5" s="1999"/>
      <c r="AF5" s="1999"/>
      <c r="AG5" s="1999"/>
      <c r="AH5" s="1999"/>
      <c r="AI5" s="1999"/>
      <c r="AJ5" s="1999"/>
      <c r="AK5" s="1999"/>
      <c r="AL5" s="1999"/>
      <c r="AM5" s="1999"/>
      <c r="AN5" s="1999"/>
      <c r="AO5" s="1999"/>
      <c r="AP5" s="1999"/>
      <c r="AQ5" s="1999"/>
      <c r="AR5" s="1999"/>
      <c r="AS5" s="1999"/>
      <c r="AT5" s="1999"/>
      <c r="AU5" s="1999"/>
      <c r="AV5" s="1999"/>
      <c r="AW5" s="1999"/>
      <c r="AX5" s="1999"/>
      <c r="AY5" s="1999"/>
      <c r="AZ5" s="1999"/>
      <c r="BA5" s="1999"/>
      <c r="BB5" s="1999"/>
      <c r="BC5" s="1999"/>
      <c r="BD5" s="1999"/>
      <c r="BE5" s="1999"/>
      <c r="BF5" s="1999"/>
      <c r="BG5" s="1999"/>
      <c r="BH5" s="1999"/>
      <c r="BI5" s="1999"/>
      <c r="BJ5" s="1999"/>
      <c r="BK5" s="1999"/>
      <c r="BL5" s="1999"/>
      <c r="BM5" s="1999"/>
      <c r="BN5" s="1999"/>
      <c r="BO5" s="1999"/>
      <c r="BP5" s="1999"/>
      <c r="BQ5" s="1999"/>
      <c r="BR5" s="1999"/>
      <c r="BS5" s="1999"/>
      <c r="BT5" s="1999"/>
      <c r="BU5" s="1999"/>
      <c r="BV5" s="1999"/>
      <c r="BW5" s="1999"/>
      <c r="BX5" s="1999"/>
      <c r="BY5" s="1999"/>
      <c r="BZ5" s="1999"/>
      <c r="CA5" s="1999"/>
      <c r="CB5" s="1999"/>
      <c r="CC5" s="1999"/>
      <c r="CD5" s="1999"/>
      <c r="CE5" s="1999"/>
      <c r="CF5" s="1999"/>
      <c r="CG5" s="1999"/>
      <c r="CH5" s="1999"/>
      <c r="CI5" s="1999"/>
      <c r="CJ5" s="1999"/>
      <c r="CK5" s="1999"/>
      <c r="CL5" s="1999"/>
      <c r="CM5" s="1999"/>
      <c r="CN5" s="1999"/>
      <c r="CO5" s="1999"/>
      <c r="CP5" s="1999"/>
      <c r="CQ5" s="1999"/>
      <c r="CR5" s="1999"/>
      <c r="CS5" s="1999"/>
      <c r="CT5" s="1999"/>
      <c r="CU5" s="1999"/>
      <c r="CV5" s="1999"/>
      <c r="CW5" s="1999"/>
      <c r="CX5" s="1999"/>
      <c r="CY5" s="1999"/>
      <c r="CZ5" s="1999"/>
      <c r="DA5" s="1999"/>
      <c r="DB5" s="1999"/>
      <c r="DC5" s="1999"/>
      <c r="DD5" s="1999"/>
      <c r="DE5" s="1999"/>
      <c r="DF5" s="1999"/>
      <c r="DG5" s="1999"/>
      <c r="DH5" s="1999"/>
      <c r="DI5" s="1999"/>
      <c r="DJ5" s="1999"/>
      <c r="DK5" s="1999"/>
      <c r="DL5" s="1999"/>
      <c r="DM5" s="1999"/>
      <c r="DN5" s="1999"/>
      <c r="DO5" s="1999"/>
      <c r="DP5" s="1999"/>
      <c r="DQ5" s="1999"/>
      <c r="DR5" s="1999"/>
      <c r="DS5" s="1999"/>
    </row>
    <row r="6" s="1998" customFormat="1" ht="13.5" customHeight="1" spans="1:123">
      <c r="A6" s="2020" t="s">
        <v>1202</v>
      </c>
      <c r="B6" s="2021" t="s">
        <v>1203</v>
      </c>
      <c r="C6" s="2022">
        <f>'[1]2002基准地价'!$E$18</f>
        <v>355328</v>
      </c>
      <c r="D6" s="2023"/>
      <c r="E6" s="2024"/>
      <c r="F6" s="2024"/>
      <c r="G6" s="2025"/>
      <c r="H6" s="1999"/>
      <c r="I6" s="1999"/>
      <c r="J6" s="1999"/>
      <c r="K6" s="1999"/>
      <c r="L6" s="1999"/>
      <c r="M6" s="1999"/>
      <c r="N6" s="1999"/>
      <c r="O6" s="1999"/>
      <c r="P6" s="1999"/>
      <c r="Q6" s="1999"/>
      <c r="R6" s="1999"/>
      <c r="S6" s="1999"/>
      <c r="T6" s="1999"/>
      <c r="U6" s="1999"/>
      <c r="V6" s="1999"/>
      <c r="W6" s="1999"/>
      <c r="X6" s="1999"/>
      <c r="Y6" s="1999"/>
      <c r="Z6" s="1999"/>
      <c r="AA6" s="1999"/>
      <c r="AB6" s="1999"/>
      <c r="AC6" s="1999"/>
      <c r="AD6" s="1999"/>
      <c r="AE6" s="1999"/>
      <c r="AF6" s="1999"/>
      <c r="AG6" s="1999"/>
      <c r="AH6" s="1999"/>
      <c r="AI6" s="1999"/>
      <c r="AJ6" s="1999"/>
      <c r="AK6" s="1999"/>
      <c r="AL6" s="1999"/>
      <c r="AM6" s="1999"/>
      <c r="AN6" s="1999"/>
      <c r="AO6" s="1999"/>
      <c r="AP6" s="1999"/>
      <c r="AQ6" s="1999"/>
      <c r="AR6" s="1999"/>
      <c r="AS6" s="1999"/>
      <c r="AT6" s="1999"/>
      <c r="AU6" s="1999"/>
      <c r="AV6" s="1999"/>
      <c r="AW6" s="1999"/>
      <c r="AX6" s="1999"/>
      <c r="AY6" s="1999"/>
      <c r="AZ6" s="1999"/>
      <c r="BA6" s="1999"/>
      <c r="BB6" s="1999"/>
      <c r="BC6" s="1999"/>
      <c r="BD6" s="1999"/>
      <c r="BE6" s="1999"/>
      <c r="BF6" s="1999"/>
      <c r="BG6" s="1999"/>
      <c r="BH6" s="1999"/>
      <c r="BI6" s="1999"/>
      <c r="BJ6" s="1999"/>
      <c r="BK6" s="1999"/>
      <c r="BL6" s="1999"/>
      <c r="BM6" s="1999"/>
      <c r="BN6" s="1999"/>
      <c r="BO6" s="1999"/>
      <c r="BP6" s="1999"/>
      <c r="BQ6" s="1999"/>
      <c r="BR6" s="1999"/>
      <c r="BS6" s="1999"/>
      <c r="BT6" s="1999"/>
      <c r="BU6" s="1999"/>
      <c r="BV6" s="1999"/>
      <c r="BW6" s="1999"/>
      <c r="BX6" s="1999"/>
      <c r="BY6" s="1999"/>
      <c r="BZ6" s="1999"/>
      <c r="CA6" s="1999"/>
      <c r="CB6" s="1999"/>
      <c r="CC6" s="1999"/>
      <c r="CD6" s="1999"/>
      <c r="CE6" s="1999"/>
      <c r="CF6" s="1999"/>
      <c r="CG6" s="1999"/>
      <c r="CH6" s="1999"/>
      <c r="CI6" s="1999"/>
      <c r="CJ6" s="1999"/>
      <c r="CK6" s="1999"/>
      <c r="CL6" s="1999"/>
      <c r="CM6" s="1999"/>
      <c r="CN6" s="1999"/>
      <c r="CO6" s="1999"/>
      <c r="CP6" s="1999"/>
      <c r="CQ6" s="1999"/>
      <c r="CR6" s="1999"/>
      <c r="CS6" s="1999"/>
      <c r="CT6" s="1999"/>
      <c r="CU6" s="1999"/>
      <c r="CV6" s="1999"/>
      <c r="CW6" s="1999"/>
      <c r="CX6" s="1999"/>
      <c r="CY6" s="1999"/>
      <c r="CZ6" s="1999"/>
      <c r="DA6" s="1999"/>
      <c r="DB6" s="1999"/>
      <c r="DC6" s="1999"/>
      <c r="DD6" s="1999"/>
      <c r="DE6" s="1999"/>
      <c r="DF6" s="1999"/>
      <c r="DG6" s="1999"/>
      <c r="DH6" s="1999"/>
      <c r="DI6" s="1999"/>
      <c r="DJ6" s="1999"/>
      <c r="DK6" s="1999"/>
      <c r="DL6" s="1999"/>
      <c r="DM6" s="1999"/>
      <c r="DN6" s="1999"/>
      <c r="DO6" s="1999"/>
      <c r="DP6" s="1999"/>
      <c r="DQ6" s="1999"/>
      <c r="DR6" s="1999"/>
      <c r="DS6" s="1999"/>
    </row>
    <row r="7" s="1998" customFormat="1" ht="13.5" customHeight="1" spans="1:123">
      <c r="A7" s="2020" t="s">
        <v>1204</v>
      </c>
      <c r="B7" s="2021" t="s">
        <v>1205</v>
      </c>
      <c r="C7" s="2026">
        <f>ROUND(C6*F7,0)</f>
        <v>10838</v>
      </c>
      <c r="D7" s="2026"/>
      <c r="E7" s="2024"/>
      <c r="F7" s="2027">
        <f>'数据-取费表'!E36+'数据-取费表'!E37</f>
        <v>0.0305</v>
      </c>
      <c r="G7" s="2025"/>
      <c r="H7" s="1999"/>
      <c r="I7" s="1999"/>
      <c r="J7" s="1999"/>
      <c r="K7" s="1999"/>
      <c r="L7" s="1999"/>
      <c r="M7" s="1999"/>
      <c r="N7" s="1999"/>
      <c r="O7" s="1999"/>
      <c r="P7" s="1999"/>
      <c r="Q7" s="1999"/>
      <c r="R7" s="1999"/>
      <c r="S7" s="1999"/>
      <c r="T7" s="1999"/>
      <c r="U7" s="1999"/>
      <c r="V7" s="1999"/>
      <c r="W7" s="1999"/>
      <c r="X7" s="1999"/>
      <c r="Y7" s="1999"/>
      <c r="Z7" s="1999"/>
      <c r="AA7" s="1999"/>
      <c r="AB7" s="1999"/>
      <c r="AC7" s="1999"/>
      <c r="AD7" s="1999"/>
      <c r="AE7" s="1999"/>
      <c r="AF7" s="1999"/>
      <c r="AG7" s="1999"/>
      <c r="AH7" s="1999"/>
      <c r="AI7" s="1999"/>
      <c r="AJ7" s="1999"/>
      <c r="AK7" s="1999"/>
      <c r="AL7" s="1999"/>
      <c r="AM7" s="1999"/>
      <c r="AN7" s="1999"/>
      <c r="AO7" s="1999"/>
      <c r="AP7" s="1999"/>
      <c r="AQ7" s="1999"/>
      <c r="AR7" s="1999"/>
      <c r="AS7" s="1999"/>
      <c r="AT7" s="1999"/>
      <c r="AU7" s="1999"/>
      <c r="AV7" s="1999"/>
      <c r="AW7" s="1999"/>
      <c r="AX7" s="1999"/>
      <c r="AY7" s="1999"/>
      <c r="AZ7" s="1999"/>
      <c r="BA7" s="1999"/>
      <c r="BB7" s="1999"/>
      <c r="BC7" s="1999"/>
      <c r="BD7" s="1999"/>
      <c r="BE7" s="1999"/>
      <c r="BF7" s="1999"/>
      <c r="BG7" s="1999"/>
      <c r="BH7" s="1999"/>
      <c r="BI7" s="1999"/>
      <c r="BJ7" s="1999"/>
      <c r="BK7" s="1999"/>
      <c r="BL7" s="1999"/>
      <c r="BM7" s="1999"/>
      <c r="BN7" s="1999"/>
      <c r="BO7" s="1999"/>
      <c r="BP7" s="1999"/>
      <c r="BQ7" s="1999"/>
      <c r="BR7" s="1999"/>
      <c r="BS7" s="1999"/>
      <c r="BT7" s="1999"/>
      <c r="BU7" s="1999"/>
      <c r="BV7" s="1999"/>
      <c r="BW7" s="1999"/>
      <c r="BX7" s="1999"/>
      <c r="BY7" s="1999"/>
      <c r="BZ7" s="1999"/>
      <c r="CA7" s="1999"/>
      <c r="CB7" s="1999"/>
      <c r="CC7" s="1999"/>
      <c r="CD7" s="1999"/>
      <c r="CE7" s="1999"/>
      <c r="CF7" s="1999"/>
      <c r="CG7" s="1999"/>
      <c r="CH7" s="1999"/>
      <c r="CI7" s="1999"/>
      <c r="CJ7" s="1999"/>
      <c r="CK7" s="1999"/>
      <c r="CL7" s="1999"/>
      <c r="CM7" s="1999"/>
      <c r="CN7" s="1999"/>
      <c r="CO7" s="1999"/>
      <c r="CP7" s="1999"/>
      <c r="CQ7" s="1999"/>
      <c r="CR7" s="1999"/>
      <c r="CS7" s="1999"/>
      <c r="CT7" s="1999"/>
      <c r="CU7" s="1999"/>
      <c r="CV7" s="1999"/>
      <c r="CW7" s="1999"/>
      <c r="CX7" s="1999"/>
      <c r="CY7" s="1999"/>
      <c r="CZ7" s="1999"/>
      <c r="DA7" s="1999"/>
      <c r="DB7" s="1999"/>
      <c r="DC7" s="1999"/>
      <c r="DD7" s="1999"/>
      <c r="DE7" s="1999"/>
      <c r="DF7" s="1999"/>
      <c r="DG7" s="1999"/>
      <c r="DH7" s="1999"/>
      <c r="DI7" s="1999"/>
      <c r="DJ7" s="1999"/>
      <c r="DK7" s="1999"/>
      <c r="DL7" s="1999"/>
      <c r="DM7" s="1999"/>
      <c r="DN7" s="1999"/>
      <c r="DO7" s="1999"/>
      <c r="DP7" s="1999"/>
      <c r="DQ7" s="1999"/>
      <c r="DR7" s="1999"/>
      <c r="DS7" s="1999"/>
    </row>
    <row r="8" s="1999" customFormat="1" spans="1:7">
      <c r="A8" s="2020" t="s">
        <v>1206</v>
      </c>
      <c r="B8" s="2021" t="s">
        <v>1207</v>
      </c>
      <c r="C8" s="2026">
        <f>IF(G8="已包含在土地购买价格中","0",'数据-取费表'!E13)</f>
        <v>0</v>
      </c>
      <c r="D8" s="2028"/>
      <c r="E8" s="2026"/>
      <c r="F8" s="2027"/>
      <c r="G8" s="2029" t="s">
        <v>1208</v>
      </c>
    </row>
    <row r="9" s="1998" customFormat="1" ht="13.5" customHeight="1" spans="1:123">
      <c r="A9" s="2030" t="s">
        <v>1209</v>
      </c>
      <c r="B9" s="2031" t="s">
        <v>1210</v>
      </c>
      <c r="C9" s="2032">
        <f>ROUND(D9*E9,0)</f>
        <v>0</v>
      </c>
      <c r="D9" s="2033">
        <f>IF('数据-取费表'!B10="住宅",IF(B1="仅计算典型户型",'数据-取费表'!E5,'数据-取费表'!B5),0)</f>
        <v>164.75</v>
      </c>
      <c r="E9" s="2032">
        <f>'数据-取费表'!E11</f>
        <v>0</v>
      </c>
      <c r="F9" s="2027"/>
      <c r="G9" s="2034"/>
      <c r="H9" s="1999"/>
      <c r="I9" s="1999"/>
      <c r="J9" s="1999"/>
      <c r="K9" s="1999"/>
      <c r="L9" s="1999"/>
      <c r="M9" s="1999"/>
      <c r="N9" s="1999"/>
      <c r="O9" s="1999"/>
      <c r="P9" s="1999"/>
      <c r="Q9" s="1999"/>
      <c r="R9" s="1999"/>
      <c r="S9" s="1999"/>
      <c r="T9" s="1999"/>
      <c r="U9" s="1999"/>
      <c r="V9" s="1999"/>
      <c r="W9" s="1999"/>
      <c r="X9" s="1999"/>
      <c r="Y9" s="1999"/>
      <c r="Z9" s="1999"/>
      <c r="AA9" s="1999"/>
      <c r="AB9" s="1999"/>
      <c r="AC9" s="1999"/>
      <c r="AD9" s="1999"/>
      <c r="AE9" s="1999"/>
      <c r="AF9" s="1999"/>
      <c r="AG9" s="1999"/>
      <c r="AH9" s="1999"/>
      <c r="AI9" s="1999"/>
      <c r="AJ9" s="1999"/>
      <c r="AK9" s="1999"/>
      <c r="AL9" s="1999"/>
      <c r="AM9" s="1999"/>
      <c r="AN9" s="1999"/>
      <c r="AO9" s="1999"/>
      <c r="AP9" s="1999"/>
      <c r="AQ9" s="1999"/>
      <c r="AR9" s="1999"/>
      <c r="AS9" s="1999"/>
      <c r="AT9" s="1999"/>
      <c r="AU9" s="1999"/>
      <c r="AV9" s="1999"/>
      <c r="AW9" s="1999"/>
      <c r="AX9" s="1999"/>
      <c r="AY9" s="1999"/>
      <c r="AZ9" s="1999"/>
      <c r="BA9" s="1999"/>
      <c r="BB9" s="1999"/>
      <c r="BC9" s="1999"/>
      <c r="BD9" s="1999"/>
      <c r="BE9" s="1999"/>
      <c r="BF9" s="1999"/>
      <c r="BG9" s="1999"/>
      <c r="BH9" s="1999"/>
      <c r="BI9" s="1999"/>
      <c r="BJ9" s="1999"/>
      <c r="BK9" s="1999"/>
      <c r="BL9" s="1999"/>
      <c r="BM9" s="1999"/>
      <c r="BN9" s="1999"/>
      <c r="BO9" s="1999"/>
      <c r="BP9" s="1999"/>
      <c r="BQ9" s="1999"/>
      <c r="BR9" s="1999"/>
      <c r="BS9" s="1999"/>
      <c r="BT9" s="1999"/>
      <c r="BU9" s="1999"/>
      <c r="BV9" s="1999"/>
      <c r="BW9" s="1999"/>
      <c r="BX9" s="1999"/>
      <c r="BY9" s="1999"/>
      <c r="BZ9" s="1999"/>
      <c r="CA9" s="1999"/>
      <c r="CB9" s="1999"/>
      <c r="CC9" s="1999"/>
      <c r="CD9" s="1999"/>
      <c r="CE9" s="1999"/>
      <c r="CF9" s="1999"/>
      <c r="CG9" s="1999"/>
      <c r="CH9" s="1999"/>
      <c r="CI9" s="1999"/>
      <c r="CJ9" s="1999"/>
      <c r="CK9" s="1999"/>
      <c r="CL9" s="1999"/>
      <c r="CM9" s="1999"/>
      <c r="CN9" s="1999"/>
      <c r="CO9" s="1999"/>
      <c r="CP9" s="1999"/>
      <c r="CQ9" s="1999"/>
      <c r="CR9" s="1999"/>
      <c r="CS9" s="1999"/>
      <c r="CT9" s="1999"/>
      <c r="CU9" s="1999"/>
      <c r="CV9" s="1999"/>
      <c r="CW9" s="1999"/>
      <c r="CX9" s="1999"/>
      <c r="CY9" s="1999"/>
      <c r="CZ9" s="1999"/>
      <c r="DA9" s="1999"/>
      <c r="DB9" s="1999"/>
      <c r="DC9" s="1999"/>
      <c r="DD9" s="1999"/>
      <c r="DE9" s="1999"/>
      <c r="DF9" s="1999"/>
      <c r="DG9" s="1999"/>
      <c r="DH9" s="1999"/>
      <c r="DI9" s="1999"/>
      <c r="DJ9" s="1999"/>
      <c r="DK9" s="1999"/>
      <c r="DL9" s="1999"/>
      <c r="DM9" s="1999"/>
      <c r="DN9" s="1999"/>
      <c r="DO9" s="1999"/>
      <c r="DP9" s="1999"/>
      <c r="DQ9" s="1999"/>
      <c r="DR9" s="1999"/>
      <c r="DS9" s="1999"/>
    </row>
    <row r="10" s="1998" customFormat="1" ht="13.5" customHeight="1" spans="1:123">
      <c r="A10" s="2030" t="s">
        <v>1211</v>
      </c>
      <c r="B10" s="2031" t="s">
        <v>1212</v>
      </c>
      <c r="C10" s="2032">
        <f>ROUND(D10*E10,0)</f>
        <v>0</v>
      </c>
      <c r="D10" s="2033">
        <f>IF('数据-取费表'!B10&lt;&gt;"住宅",IF(B1="仅计算典型户型",'数据-取费表'!E5,'数据-取费表'!B5),0)</f>
        <v>0</v>
      </c>
      <c r="E10" s="2032">
        <f>'数据-取费表'!E12</f>
        <v>0</v>
      </c>
      <c r="F10" s="2027"/>
      <c r="G10" s="2034"/>
      <c r="H10" s="1999"/>
      <c r="I10" s="1999"/>
      <c r="J10" s="1999"/>
      <c r="K10" s="1999"/>
      <c r="L10" s="1999"/>
      <c r="M10" s="1999"/>
      <c r="N10" s="1999"/>
      <c r="O10" s="1999"/>
      <c r="P10" s="1999"/>
      <c r="Q10" s="1999"/>
      <c r="R10" s="1999"/>
      <c r="S10" s="1999"/>
      <c r="T10" s="1999"/>
      <c r="U10" s="1999"/>
      <c r="V10" s="1999"/>
      <c r="W10" s="1999"/>
      <c r="X10" s="1999"/>
      <c r="Y10" s="1999"/>
      <c r="Z10" s="1999"/>
      <c r="AA10" s="1999"/>
      <c r="AB10" s="1999"/>
      <c r="AC10" s="1999"/>
      <c r="AD10" s="1999"/>
      <c r="AE10" s="1999"/>
      <c r="AF10" s="1999"/>
      <c r="AG10" s="1999"/>
      <c r="AH10" s="1999"/>
      <c r="AI10" s="1999"/>
      <c r="AJ10" s="1999"/>
      <c r="AK10" s="1999"/>
      <c r="AL10" s="1999"/>
      <c r="AM10" s="1999"/>
      <c r="AN10" s="1999"/>
      <c r="AO10" s="1999"/>
      <c r="AP10" s="1999"/>
      <c r="AQ10" s="1999"/>
      <c r="AR10" s="1999"/>
      <c r="AS10" s="1999"/>
      <c r="AT10" s="1999"/>
      <c r="AU10" s="1999"/>
      <c r="AV10" s="1999"/>
      <c r="AW10" s="1999"/>
      <c r="AX10" s="1999"/>
      <c r="AY10" s="1999"/>
      <c r="AZ10" s="1999"/>
      <c r="BA10" s="1999"/>
      <c r="BB10" s="1999"/>
      <c r="BC10" s="1999"/>
      <c r="BD10" s="1999"/>
      <c r="BE10" s="1999"/>
      <c r="BF10" s="1999"/>
      <c r="BG10" s="1999"/>
      <c r="BH10" s="1999"/>
      <c r="BI10" s="1999"/>
      <c r="BJ10" s="1999"/>
      <c r="BK10" s="1999"/>
      <c r="BL10" s="1999"/>
      <c r="BM10" s="1999"/>
      <c r="BN10" s="1999"/>
      <c r="BO10" s="1999"/>
      <c r="BP10" s="1999"/>
      <c r="BQ10" s="1999"/>
      <c r="BR10" s="1999"/>
      <c r="BS10" s="1999"/>
      <c r="BT10" s="1999"/>
      <c r="BU10" s="1999"/>
      <c r="BV10" s="1999"/>
      <c r="BW10" s="1999"/>
      <c r="BX10" s="1999"/>
      <c r="BY10" s="1999"/>
      <c r="BZ10" s="1999"/>
      <c r="CA10" s="1999"/>
      <c r="CB10" s="1999"/>
      <c r="CC10" s="1999"/>
      <c r="CD10" s="1999"/>
      <c r="CE10" s="1999"/>
      <c r="CF10" s="1999"/>
      <c r="CG10" s="1999"/>
      <c r="CH10" s="1999"/>
      <c r="CI10" s="1999"/>
      <c r="CJ10" s="1999"/>
      <c r="CK10" s="1999"/>
      <c r="CL10" s="1999"/>
      <c r="CM10" s="1999"/>
      <c r="CN10" s="1999"/>
      <c r="CO10" s="1999"/>
      <c r="CP10" s="1999"/>
      <c r="CQ10" s="1999"/>
      <c r="CR10" s="1999"/>
      <c r="CS10" s="1999"/>
      <c r="CT10" s="1999"/>
      <c r="CU10" s="1999"/>
      <c r="CV10" s="1999"/>
      <c r="CW10" s="1999"/>
      <c r="CX10" s="1999"/>
      <c r="CY10" s="1999"/>
      <c r="CZ10" s="1999"/>
      <c r="DA10" s="1999"/>
      <c r="DB10" s="1999"/>
      <c r="DC10" s="1999"/>
      <c r="DD10" s="1999"/>
      <c r="DE10" s="1999"/>
      <c r="DF10" s="1999"/>
      <c r="DG10" s="1999"/>
      <c r="DH10" s="1999"/>
      <c r="DI10" s="1999"/>
      <c r="DJ10" s="1999"/>
      <c r="DK10" s="1999"/>
      <c r="DL10" s="1999"/>
      <c r="DM10" s="1999"/>
      <c r="DN10" s="1999"/>
      <c r="DO10" s="1999"/>
      <c r="DP10" s="1999"/>
      <c r="DQ10" s="1999"/>
      <c r="DR10" s="1999"/>
      <c r="DS10" s="1999"/>
    </row>
    <row r="11" s="1998" customFormat="1" ht="13.5" hidden="1" customHeight="1" spans="1:123">
      <c r="A11" s="2020" t="s">
        <v>1213</v>
      </c>
      <c r="B11" s="2021" t="s">
        <v>1214</v>
      </c>
      <c r="C11" s="2017"/>
      <c r="D11" s="2026"/>
      <c r="E11" s="2024"/>
      <c r="F11" s="2024"/>
      <c r="G11" s="2025"/>
      <c r="H11" s="1999"/>
      <c r="I11" s="1999"/>
      <c r="J11" s="1999"/>
      <c r="K11" s="1999"/>
      <c r="L11" s="1999"/>
      <c r="M11" s="1999"/>
      <c r="N11" s="1999"/>
      <c r="O11" s="1999"/>
      <c r="P11" s="1999"/>
      <c r="Q11" s="1999"/>
      <c r="R11" s="1999"/>
      <c r="S11" s="1999"/>
      <c r="T11" s="1999"/>
      <c r="U11" s="1999"/>
      <c r="V11" s="1999"/>
      <c r="W11" s="1999"/>
      <c r="X11" s="1999"/>
      <c r="Y11" s="1999"/>
      <c r="Z11" s="1999"/>
      <c r="AA11" s="1999"/>
      <c r="AB11" s="1999"/>
      <c r="AC11" s="1999"/>
      <c r="AD11" s="1999"/>
      <c r="AE11" s="1999"/>
      <c r="AF11" s="1999"/>
      <c r="AG11" s="1999"/>
      <c r="AH11" s="1999"/>
      <c r="AI11" s="1999"/>
      <c r="AJ11" s="1999"/>
      <c r="AK11" s="1999"/>
      <c r="AL11" s="1999"/>
      <c r="AM11" s="1999"/>
      <c r="AN11" s="1999"/>
      <c r="AO11" s="1999"/>
      <c r="AP11" s="1999"/>
      <c r="AQ11" s="1999"/>
      <c r="AR11" s="1999"/>
      <c r="AS11" s="1999"/>
      <c r="AT11" s="1999"/>
      <c r="AU11" s="1999"/>
      <c r="AV11" s="1999"/>
      <c r="AW11" s="1999"/>
      <c r="AX11" s="1999"/>
      <c r="AY11" s="1999"/>
      <c r="AZ11" s="1999"/>
      <c r="BA11" s="1999"/>
      <c r="BB11" s="1999"/>
      <c r="BC11" s="1999"/>
      <c r="BD11" s="1999"/>
      <c r="BE11" s="1999"/>
      <c r="BF11" s="1999"/>
      <c r="BG11" s="1999"/>
      <c r="BH11" s="1999"/>
      <c r="BI11" s="1999"/>
      <c r="BJ11" s="1999"/>
      <c r="BK11" s="1999"/>
      <c r="BL11" s="1999"/>
      <c r="BM11" s="1999"/>
      <c r="BN11" s="1999"/>
      <c r="BO11" s="1999"/>
      <c r="BP11" s="1999"/>
      <c r="BQ11" s="1999"/>
      <c r="BR11" s="1999"/>
      <c r="BS11" s="1999"/>
      <c r="BT11" s="1999"/>
      <c r="BU11" s="1999"/>
      <c r="BV11" s="1999"/>
      <c r="BW11" s="1999"/>
      <c r="BX11" s="1999"/>
      <c r="BY11" s="1999"/>
      <c r="BZ11" s="1999"/>
      <c r="CA11" s="1999"/>
      <c r="CB11" s="1999"/>
      <c r="CC11" s="1999"/>
      <c r="CD11" s="1999"/>
      <c r="CE11" s="1999"/>
      <c r="CF11" s="1999"/>
      <c r="CG11" s="1999"/>
      <c r="CH11" s="1999"/>
      <c r="CI11" s="1999"/>
      <c r="CJ11" s="1999"/>
      <c r="CK11" s="1999"/>
      <c r="CL11" s="1999"/>
      <c r="CM11" s="1999"/>
      <c r="CN11" s="1999"/>
      <c r="CO11" s="1999"/>
      <c r="CP11" s="1999"/>
      <c r="CQ11" s="1999"/>
      <c r="CR11" s="1999"/>
      <c r="CS11" s="1999"/>
      <c r="CT11" s="1999"/>
      <c r="CU11" s="1999"/>
      <c r="CV11" s="1999"/>
      <c r="CW11" s="1999"/>
      <c r="CX11" s="1999"/>
      <c r="CY11" s="1999"/>
      <c r="CZ11" s="1999"/>
      <c r="DA11" s="1999"/>
      <c r="DB11" s="1999"/>
      <c r="DC11" s="1999"/>
      <c r="DD11" s="1999"/>
      <c r="DE11" s="1999"/>
      <c r="DF11" s="1999"/>
      <c r="DG11" s="1999"/>
      <c r="DH11" s="1999"/>
      <c r="DI11" s="1999"/>
      <c r="DJ11" s="1999"/>
      <c r="DK11" s="1999"/>
      <c r="DL11" s="1999"/>
      <c r="DM11" s="1999"/>
      <c r="DN11" s="1999"/>
      <c r="DO11" s="1999"/>
      <c r="DP11" s="1999"/>
      <c r="DQ11" s="1999"/>
      <c r="DR11" s="1999"/>
      <c r="DS11" s="1999"/>
    </row>
    <row r="12" s="1998" customFormat="1" ht="13.5" hidden="1" customHeight="1" spans="1:123">
      <c r="A12" s="2020" t="s">
        <v>1215</v>
      </c>
      <c r="B12" s="2021" t="s">
        <v>761</v>
      </c>
      <c r="C12" s="2017">
        <v>0</v>
      </c>
      <c r="D12" s="2026"/>
      <c r="E12" s="2035"/>
      <c r="F12" s="2027">
        <v>0.0305</v>
      </c>
      <c r="G12" s="2025"/>
      <c r="H12" s="1999"/>
      <c r="I12" s="1999"/>
      <c r="J12" s="1999"/>
      <c r="K12" s="1999"/>
      <c r="L12" s="1999"/>
      <c r="M12" s="1999"/>
      <c r="N12" s="1999"/>
      <c r="O12" s="1999"/>
      <c r="P12" s="1999"/>
      <c r="Q12" s="1999"/>
      <c r="R12" s="1999"/>
      <c r="S12" s="1999"/>
      <c r="T12" s="1999"/>
      <c r="U12" s="1999"/>
      <c r="V12" s="1999"/>
      <c r="W12" s="1999"/>
      <c r="X12" s="1999"/>
      <c r="Y12" s="1999"/>
      <c r="Z12" s="1999"/>
      <c r="AA12" s="1999"/>
      <c r="AB12" s="1999"/>
      <c r="AC12" s="1999"/>
      <c r="AD12" s="1999"/>
      <c r="AE12" s="1999"/>
      <c r="AF12" s="1999"/>
      <c r="AG12" s="1999"/>
      <c r="AH12" s="1999"/>
      <c r="AI12" s="1999"/>
      <c r="AJ12" s="1999"/>
      <c r="AK12" s="1999"/>
      <c r="AL12" s="1999"/>
      <c r="AM12" s="1999"/>
      <c r="AN12" s="1999"/>
      <c r="AO12" s="1999"/>
      <c r="AP12" s="1999"/>
      <c r="AQ12" s="1999"/>
      <c r="AR12" s="1999"/>
      <c r="AS12" s="1999"/>
      <c r="AT12" s="1999"/>
      <c r="AU12" s="1999"/>
      <c r="AV12" s="1999"/>
      <c r="AW12" s="1999"/>
      <c r="AX12" s="1999"/>
      <c r="AY12" s="1999"/>
      <c r="AZ12" s="1999"/>
      <c r="BA12" s="1999"/>
      <c r="BB12" s="1999"/>
      <c r="BC12" s="1999"/>
      <c r="BD12" s="1999"/>
      <c r="BE12" s="1999"/>
      <c r="BF12" s="1999"/>
      <c r="BG12" s="1999"/>
      <c r="BH12" s="1999"/>
      <c r="BI12" s="1999"/>
      <c r="BJ12" s="1999"/>
      <c r="BK12" s="1999"/>
      <c r="BL12" s="1999"/>
      <c r="BM12" s="1999"/>
      <c r="BN12" s="1999"/>
      <c r="BO12" s="1999"/>
      <c r="BP12" s="1999"/>
      <c r="BQ12" s="1999"/>
      <c r="BR12" s="1999"/>
      <c r="BS12" s="1999"/>
      <c r="BT12" s="1999"/>
      <c r="BU12" s="1999"/>
      <c r="BV12" s="1999"/>
      <c r="BW12" s="1999"/>
      <c r="BX12" s="1999"/>
      <c r="BY12" s="1999"/>
      <c r="BZ12" s="1999"/>
      <c r="CA12" s="1999"/>
      <c r="CB12" s="1999"/>
      <c r="CC12" s="1999"/>
      <c r="CD12" s="1999"/>
      <c r="CE12" s="1999"/>
      <c r="CF12" s="1999"/>
      <c r="CG12" s="1999"/>
      <c r="CH12" s="1999"/>
      <c r="CI12" s="1999"/>
      <c r="CJ12" s="1999"/>
      <c r="CK12" s="1999"/>
      <c r="CL12" s="1999"/>
      <c r="CM12" s="1999"/>
      <c r="CN12" s="1999"/>
      <c r="CO12" s="1999"/>
      <c r="CP12" s="1999"/>
      <c r="CQ12" s="1999"/>
      <c r="CR12" s="1999"/>
      <c r="CS12" s="1999"/>
      <c r="CT12" s="1999"/>
      <c r="CU12" s="1999"/>
      <c r="CV12" s="1999"/>
      <c r="CW12" s="1999"/>
      <c r="CX12" s="1999"/>
      <c r="CY12" s="1999"/>
      <c r="CZ12" s="1999"/>
      <c r="DA12" s="1999"/>
      <c r="DB12" s="1999"/>
      <c r="DC12" s="1999"/>
      <c r="DD12" s="1999"/>
      <c r="DE12" s="1999"/>
      <c r="DF12" s="1999"/>
      <c r="DG12" s="1999"/>
      <c r="DH12" s="1999"/>
      <c r="DI12" s="1999"/>
      <c r="DJ12" s="1999"/>
      <c r="DK12" s="1999"/>
      <c r="DL12" s="1999"/>
      <c r="DM12" s="1999"/>
      <c r="DN12" s="1999"/>
      <c r="DO12" s="1999"/>
      <c r="DP12" s="1999"/>
      <c r="DQ12" s="1999"/>
      <c r="DR12" s="1999"/>
      <c r="DS12" s="1999"/>
    </row>
    <row r="13" s="1998" customFormat="1" ht="13.5" hidden="1" customHeight="1" spans="1:123">
      <c r="A13" s="2020" t="s">
        <v>1216</v>
      </c>
      <c r="B13" s="2021" t="s">
        <v>1217</v>
      </c>
      <c r="C13" s="2017"/>
      <c r="D13" s="2026"/>
      <c r="E13" s="2024"/>
      <c r="F13" s="2024"/>
      <c r="G13" s="2025"/>
      <c r="H13" s="1999"/>
      <c r="I13" s="1999"/>
      <c r="J13" s="1999"/>
      <c r="K13" s="1999"/>
      <c r="L13" s="1999"/>
      <c r="M13" s="1999"/>
      <c r="N13" s="1999"/>
      <c r="O13" s="1999"/>
      <c r="P13" s="1999"/>
      <c r="Q13" s="1999"/>
      <c r="R13" s="1999"/>
      <c r="S13" s="1999"/>
      <c r="T13" s="1999"/>
      <c r="U13" s="1999"/>
      <c r="V13" s="1999"/>
      <c r="W13" s="1999"/>
      <c r="X13" s="1999"/>
      <c r="Y13" s="1999"/>
      <c r="Z13" s="1999"/>
      <c r="AA13" s="1999"/>
      <c r="AB13" s="1999"/>
      <c r="AC13" s="1999"/>
      <c r="AD13" s="1999"/>
      <c r="AE13" s="1999"/>
      <c r="AF13" s="1999"/>
      <c r="AG13" s="1999"/>
      <c r="AH13" s="1999"/>
      <c r="AI13" s="1999"/>
      <c r="AJ13" s="1999"/>
      <c r="AK13" s="1999"/>
      <c r="AL13" s="1999"/>
      <c r="AM13" s="1999"/>
      <c r="AN13" s="1999"/>
      <c r="AO13" s="1999"/>
      <c r="AP13" s="1999"/>
      <c r="AQ13" s="1999"/>
      <c r="AR13" s="1999"/>
      <c r="AS13" s="1999"/>
      <c r="AT13" s="1999"/>
      <c r="AU13" s="1999"/>
      <c r="AV13" s="1999"/>
      <c r="AW13" s="1999"/>
      <c r="AX13" s="1999"/>
      <c r="AY13" s="1999"/>
      <c r="AZ13" s="1999"/>
      <c r="BA13" s="1999"/>
      <c r="BB13" s="1999"/>
      <c r="BC13" s="1999"/>
      <c r="BD13" s="1999"/>
      <c r="BE13" s="1999"/>
      <c r="BF13" s="1999"/>
      <c r="BG13" s="1999"/>
      <c r="BH13" s="1999"/>
      <c r="BI13" s="1999"/>
      <c r="BJ13" s="1999"/>
      <c r="BK13" s="1999"/>
      <c r="BL13" s="1999"/>
      <c r="BM13" s="1999"/>
      <c r="BN13" s="1999"/>
      <c r="BO13" s="1999"/>
      <c r="BP13" s="1999"/>
      <c r="BQ13" s="1999"/>
      <c r="BR13" s="1999"/>
      <c r="BS13" s="1999"/>
      <c r="BT13" s="1999"/>
      <c r="BU13" s="1999"/>
      <c r="BV13" s="1999"/>
      <c r="BW13" s="1999"/>
      <c r="BX13" s="1999"/>
      <c r="BY13" s="1999"/>
      <c r="BZ13" s="1999"/>
      <c r="CA13" s="1999"/>
      <c r="CB13" s="1999"/>
      <c r="CC13" s="1999"/>
      <c r="CD13" s="1999"/>
      <c r="CE13" s="1999"/>
      <c r="CF13" s="1999"/>
      <c r="CG13" s="1999"/>
      <c r="CH13" s="1999"/>
      <c r="CI13" s="1999"/>
      <c r="CJ13" s="1999"/>
      <c r="CK13" s="1999"/>
      <c r="CL13" s="1999"/>
      <c r="CM13" s="1999"/>
      <c r="CN13" s="1999"/>
      <c r="CO13" s="1999"/>
      <c r="CP13" s="1999"/>
      <c r="CQ13" s="1999"/>
      <c r="CR13" s="1999"/>
      <c r="CS13" s="1999"/>
      <c r="CT13" s="1999"/>
      <c r="CU13" s="1999"/>
      <c r="CV13" s="1999"/>
      <c r="CW13" s="1999"/>
      <c r="CX13" s="1999"/>
      <c r="CY13" s="1999"/>
      <c r="CZ13" s="1999"/>
      <c r="DA13" s="1999"/>
      <c r="DB13" s="1999"/>
      <c r="DC13" s="1999"/>
      <c r="DD13" s="1999"/>
      <c r="DE13" s="1999"/>
      <c r="DF13" s="1999"/>
      <c r="DG13" s="1999"/>
      <c r="DH13" s="1999"/>
      <c r="DI13" s="1999"/>
      <c r="DJ13" s="1999"/>
      <c r="DK13" s="1999"/>
      <c r="DL13" s="1999"/>
      <c r="DM13" s="1999"/>
      <c r="DN13" s="1999"/>
      <c r="DO13" s="1999"/>
      <c r="DP13" s="1999"/>
      <c r="DQ13" s="1999"/>
      <c r="DR13" s="1999"/>
      <c r="DS13" s="1999"/>
    </row>
    <row r="14" s="1998" customFormat="1" ht="13.5" hidden="1" customHeight="1" spans="1:123">
      <c r="A14" s="2020" t="s">
        <v>1218</v>
      </c>
      <c r="B14" s="2021" t="s">
        <v>1207</v>
      </c>
      <c r="C14" s="2017"/>
      <c r="D14" s="2026"/>
      <c r="E14" s="2024"/>
      <c r="F14" s="2024"/>
      <c r="G14" s="2025" t="s">
        <v>1219</v>
      </c>
      <c r="H14" s="1999"/>
      <c r="I14" s="1999"/>
      <c r="J14" s="1999"/>
      <c r="K14" s="1999"/>
      <c r="L14" s="1999"/>
      <c r="M14" s="1999"/>
      <c r="N14" s="1999"/>
      <c r="O14" s="1999"/>
      <c r="P14" s="1999"/>
      <c r="Q14" s="1999"/>
      <c r="R14" s="1999"/>
      <c r="S14" s="1999"/>
      <c r="T14" s="1999"/>
      <c r="U14" s="1999"/>
      <c r="V14" s="1999"/>
      <c r="W14" s="1999"/>
      <c r="X14" s="1999"/>
      <c r="Y14" s="1999"/>
      <c r="Z14" s="1999"/>
      <c r="AA14" s="1999"/>
      <c r="AB14" s="1999"/>
      <c r="AC14" s="1999"/>
      <c r="AD14" s="1999"/>
      <c r="AE14" s="1999"/>
      <c r="AF14" s="1999"/>
      <c r="AG14" s="1999"/>
      <c r="AH14" s="1999"/>
      <c r="AI14" s="1999"/>
      <c r="AJ14" s="1999"/>
      <c r="AK14" s="1999"/>
      <c r="AL14" s="1999"/>
      <c r="AM14" s="1999"/>
      <c r="AN14" s="1999"/>
      <c r="AO14" s="1999"/>
      <c r="AP14" s="1999"/>
      <c r="AQ14" s="1999"/>
      <c r="AR14" s="1999"/>
      <c r="AS14" s="1999"/>
      <c r="AT14" s="1999"/>
      <c r="AU14" s="1999"/>
      <c r="AV14" s="1999"/>
      <c r="AW14" s="1999"/>
      <c r="AX14" s="1999"/>
      <c r="AY14" s="1999"/>
      <c r="AZ14" s="1999"/>
      <c r="BA14" s="1999"/>
      <c r="BB14" s="1999"/>
      <c r="BC14" s="1999"/>
      <c r="BD14" s="1999"/>
      <c r="BE14" s="1999"/>
      <c r="BF14" s="1999"/>
      <c r="BG14" s="1999"/>
      <c r="BH14" s="1999"/>
      <c r="BI14" s="1999"/>
      <c r="BJ14" s="1999"/>
      <c r="BK14" s="1999"/>
      <c r="BL14" s="1999"/>
      <c r="BM14" s="1999"/>
      <c r="BN14" s="1999"/>
      <c r="BO14" s="1999"/>
      <c r="BP14" s="1999"/>
      <c r="BQ14" s="1999"/>
      <c r="BR14" s="1999"/>
      <c r="BS14" s="1999"/>
      <c r="BT14" s="1999"/>
      <c r="BU14" s="1999"/>
      <c r="BV14" s="1999"/>
      <c r="BW14" s="1999"/>
      <c r="BX14" s="1999"/>
      <c r="BY14" s="1999"/>
      <c r="BZ14" s="1999"/>
      <c r="CA14" s="1999"/>
      <c r="CB14" s="1999"/>
      <c r="CC14" s="1999"/>
      <c r="CD14" s="1999"/>
      <c r="CE14" s="1999"/>
      <c r="CF14" s="1999"/>
      <c r="CG14" s="1999"/>
      <c r="CH14" s="1999"/>
      <c r="CI14" s="1999"/>
      <c r="CJ14" s="1999"/>
      <c r="CK14" s="1999"/>
      <c r="CL14" s="1999"/>
      <c r="CM14" s="1999"/>
      <c r="CN14" s="1999"/>
      <c r="CO14" s="1999"/>
      <c r="CP14" s="1999"/>
      <c r="CQ14" s="1999"/>
      <c r="CR14" s="1999"/>
      <c r="CS14" s="1999"/>
      <c r="CT14" s="1999"/>
      <c r="CU14" s="1999"/>
      <c r="CV14" s="1999"/>
      <c r="CW14" s="1999"/>
      <c r="CX14" s="1999"/>
      <c r="CY14" s="1999"/>
      <c r="CZ14" s="1999"/>
      <c r="DA14" s="1999"/>
      <c r="DB14" s="1999"/>
      <c r="DC14" s="1999"/>
      <c r="DD14" s="1999"/>
      <c r="DE14" s="1999"/>
      <c r="DF14" s="1999"/>
      <c r="DG14" s="1999"/>
      <c r="DH14" s="1999"/>
      <c r="DI14" s="1999"/>
      <c r="DJ14" s="1999"/>
      <c r="DK14" s="1999"/>
      <c r="DL14" s="1999"/>
      <c r="DM14" s="1999"/>
      <c r="DN14" s="1999"/>
      <c r="DO14" s="1999"/>
      <c r="DP14" s="1999"/>
      <c r="DQ14" s="1999"/>
      <c r="DR14" s="1999"/>
      <c r="DS14" s="1999"/>
    </row>
    <row r="15" s="1998" customFormat="1" ht="13.5" hidden="1" customHeight="1" spans="1:123">
      <c r="A15" s="2020" t="s">
        <v>1220</v>
      </c>
      <c r="B15" s="2021" t="s">
        <v>1221</v>
      </c>
      <c r="C15" s="2026"/>
      <c r="D15" s="2026"/>
      <c r="E15" s="2024"/>
      <c r="F15" s="2024"/>
      <c r="G15" s="2025" t="s">
        <v>1222</v>
      </c>
      <c r="H15" s="1999"/>
      <c r="I15" s="1999"/>
      <c r="J15" s="1999"/>
      <c r="K15" s="1999"/>
      <c r="L15" s="1999"/>
      <c r="M15" s="1999"/>
      <c r="N15" s="1999"/>
      <c r="O15" s="1999"/>
      <c r="P15" s="1999"/>
      <c r="Q15" s="1999"/>
      <c r="R15" s="1999"/>
      <c r="S15" s="1999"/>
      <c r="T15" s="1999"/>
      <c r="U15" s="1999"/>
      <c r="V15" s="1999"/>
      <c r="W15" s="1999"/>
      <c r="X15" s="1999"/>
      <c r="Y15" s="1999"/>
      <c r="Z15" s="1999"/>
      <c r="AA15" s="1999"/>
      <c r="AB15" s="1999"/>
      <c r="AC15" s="1999"/>
      <c r="AD15" s="1999"/>
      <c r="AE15" s="1999"/>
      <c r="AF15" s="1999"/>
      <c r="AG15" s="1999"/>
      <c r="AH15" s="1999"/>
      <c r="AI15" s="1999"/>
      <c r="AJ15" s="1999"/>
      <c r="AK15" s="1999"/>
      <c r="AL15" s="1999"/>
      <c r="AM15" s="1999"/>
      <c r="AN15" s="1999"/>
      <c r="AO15" s="1999"/>
      <c r="AP15" s="1999"/>
      <c r="AQ15" s="1999"/>
      <c r="AR15" s="1999"/>
      <c r="AS15" s="1999"/>
      <c r="AT15" s="1999"/>
      <c r="AU15" s="1999"/>
      <c r="AV15" s="1999"/>
      <c r="AW15" s="1999"/>
      <c r="AX15" s="1999"/>
      <c r="AY15" s="1999"/>
      <c r="AZ15" s="1999"/>
      <c r="BA15" s="1999"/>
      <c r="BB15" s="1999"/>
      <c r="BC15" s="1999"/>
      <c r="BD15" s="1999"/>
      <c r="BE15" s="1999"/>
      <c r="BF15" s="1999"/>
      <c r="BG15" s="1999"/>
      <c r="BH15" s="1999"/>
      <c r="BI15" s="1999"/>
      <c r="BJ15" s="1999"/>
      <c r="BK15" s="1999"/>
      <c r="BL15" s="1999"/>
      <c r="BM15" s="1999"/>
      <c r="BN15" s="1999"/>
      <c r="BO15" s="1999"/>
      <c r="BP15" s="1999"/>
      <c r="BQ15" s="1999"/>
      <c r="BR15" s="1999"/>
      <c r="BS15" s="1999"/>
      <c r="BT15" s="1999"/>
      <c r="BU15" s="1999"/>
      <c r="BV15" s="1999"/>
      <c r="BW15" s="1999"/>
      <c r="BX15" s="1999"/>
      <c r="BY15" s="1999"/>
      <c r="BZ15" s="1999"/>
      <c r="CA15" s="1999"/>
      <c r="CB15" s="1999"/>
      <c r="CC15" s="1999"/>
      <c r="CD15" s="1999"/>
      <c r="CE15" s="1999"/>
      <c r="CF15" s="1999"/>
      <c r="CG15" s="1999"/>
      <c r="CH15" s="1999"/>
      <c r="CI15" s="1999"/>
      <c r="CJ15" s="1999"/>
      <c r="CK15" s="1999"/>
      <c r="CL15" s="1999"/>
      <c r="CM15" s="1999"/>
      <c r="CN15" s="1999"/>
      <c r="CO15" s="1999"/>
      <c r="CP15" s="1999"/>
      <c r="CQ15" s="1999"/>
      <c r="CR15" s="1999"/>
      <c r="CS15" s="1999"/>
      <c r="CT15" s="1999"/>
      <c r="CU15" s="1999"/>
      <c r="CV15" s="1999"/>
      <c r="CW15" s="1999"/>
      <c r="CX15" s="1999"/>
      <c r="CY15" s="1999"/>
      <c r="CZ15" s="1999"/>
      <c r="DA15" s="1999"/>
      <c r="DB15" s="1999"/>
      <c r="DC15" s="1999"/>
      <c r="DD15" s="1999"/>
      <c r="DE15" s="1999"/>
      <c r="DF15" s="1999"/>
      <c r="DG15" s="1999"/>
      <c r="DH15" s="1999"/>
      <c r="DI15" s="1999"/>
      <c r="DJ15" s="1999"/>
      <c r="DK15" s="1999"/>
      <c r="DL15" s="1999"/>
      <c r="DM15" s="1999"/>
      <c r="DN15" s="1999"/>
      <c r="DO15" s="1999"/>
      <c r="DP15" s="1999"/>
      <c r="DQ15" s="1999"/>
      <c r="DR15" s="1999"/>
      <c r="DS15" s="1999"/>
    </row>
    <row r="16" s="1998" customFormat="1" ht="13.5" hidden="1" customHeight="1" spans="1:123">
      <c r="A16" s="2020" t="s">
        <v>1223</v>
      </c>
      <c r="B16" s="2021" t="s">
        <v>1207</v>
      </c>
      <c r="C16" s="2026"/>
      <c r="D16" s="2026"/>
      <c r="E16" s="2024"/>
      <c r="F16" s="2024"/>
      <c r="G16" s="2025"/>
      <c r="H16" s="1999"/>
      <c r="I16" s="1999"/>
      <c r="J16" s="1999"/>
      <c r="K16" s="1999"/>
      <c r="L16" s="1999"/>
      <c r="M16" s="1999"/>
      <c r="N16" s="1999"/>
      <c r="O16" s="1999"/>
      <c r="P16" s="1999"/>
      <c r="Q16" s="1999"/>
      <c r="R16" s="1999"/>
      <c r="S16" s="1999"/>
      <c r="T16" s="1999"/>
      <c r="U16" s="1999"/>
      <c r="V16" s="1999"/>
      <c r="W16" s="1999"/>
      <c r="X16" s="1999"/>
      <c r="Y16" s="1999"/>
      <c r="Z16" s="1999"/>
      <c r="AA16" s="1999"/>
      <c r="AB16" s="1999"/>
      <c r="AC16" s="1999"/>
      <c r="AD16" s="1999"/>
      <c r="AE16" s="1999"/>
      <c r="AF16" s="1999"/>
      <c r="AG16" s="1999"/>
      <c r="AH16" s="1999"/>
      <c r="AI16" s="1999"/>
      <c r="AJ16" s="1999"/>
      <c r="AK16" s="1999"/>
      <c r="AL16" s="1999"/>
      <c r="AM16" s="1999"/>
      <c r="AN16" s="1999"/>
      <c r="AO16" s="1999"/>
      <c r="AP16" s="1999"/>
      <c r="AQ16" s="1999"/>
      <c r="AR16" s="1999"/>
      <c r="AS16" s="1999"/>
      <c r="AT16" s="1999"/>
      <c r="AU16" s="1999"/>
      <c r="AV16" s="1999"/>
      <c r="AW16" s="1999"/>
      <c r="AX16" s="1999"/>
      <c r="AY16" s="1999"/>
      <c r="AZ16" s="1999"/>
      <c r="BA16" s="1999"/>
      <c r="BB16" s="1999"/>
      <c r="BC16" s="1999"/>
      <c r="BD16" s="1999"/>
      <c r="BE16" s="1999"/>
      <c r="BF16" s="1999"/>
      <c r="BG16" s="1999"/>
      <c r="BH16" s="1999"/>
      <c r="BI16" s="1999"/>
      <c r="BJ16" s="1999"/>
      <c r="BK16" s="1999"/>
      <c r="BL16" s="1999"/>
      <c r="BM16" s="1999"/>
      <c r="BN16" s="1999"/>
      <c r="BO16" s="1999"/>
      <c r="BP16" s="1999"/>
      <c r="BQ16" s="1999"/>
      <c r="BR16" s="1999"/>
      <c r="BS16" s="1999"/>
      <c r="BT16" s="1999"/>
      <c r="BU16" s="1999"/>
      <c r="BV16" s="1999"/>
      <c r="BW16" s="1999"/>
      <c r="BX16" s="1999"/>
      <c r="BY16" s="1999"/>
      <c r="BZ16" s="1999"/>
      <c r="CA16" s="1999"/>
      <c r="CB16" s="1999"/>
      <c r="CC16" s="1999"/>
      <c r="CD16" s="1999"/>
      <c r="CE16" s="1999"/>
      <c r="CF16" s="1999"/>
      <c r="CG16" s="1999"/>
      <c r="CH16" s="1999"/>
      <c r="CI16" s="1999"/>
      <c r="CJ16" s="1999"/>
      <c r="CK16" s="1999"/>
      <c r="CL16" s="1999"/>
      <c r="CM16" s="1999"/>
      <c r="CN16" s="1999"/>
      <c r="CO16" s="1999"/>
      <c r="CP16" s="1999"/>
      <c r="CQ16" s="1999"/>
      <c r="CR16" s="1999"/>
      <c r="CS16" s="1999"/>
      <c r="CT16" s="1999"/>
      <c r="CU16" s="1999"/>
      <c r="CV16" s="1999"/>
      <c r="CW16" s="1999"/>
      <c r="CX16" s="1999"/>
      <c r="CY16" s="1999"/>
      <c r="CZ16" s="1999"/>
      <c r="DA16" s="1999"/>
      <c r="DB16" s="1999"/>
      <c r="DC16" s="1999"/>
      <c r="DD16" s="1999"/>
      <c r="DE16" s="1999"/>
      <c r="DF16" s="1999"/>
      <c r="DG16" s="1999"/>
      <c r="DH16" s="1999"/>
      <c r="DI16" s="1999"/>
      <c r="DJ16" s="1999"/>
      <c r="DK16" s="1999"/>
      <c r="DL16" s="1999"/>
      <c r="DM16" s="1999"/>
      <c r="DN16" s="1999"/>
      <c r="DO16" s="1999"/>
      <c r="DP16" s="1999"/>
      <c r="DQ16" s="1999"/>
      <c r="DR16" s="1999"/>
      <c r="DS16" s="1999"/>
    </row>
    <row r="17" s="1998" customFormat="1" ht="13.5" hidden="1" customHeight="1" spans="1:123">
      <c r="A17" s="2020" t="s">
        <v>1224</v>
      </c>
      <c r="B17" s="2021" t="s">
        <v>1225</v>
      </c>
      <c r="C17" s="2036"/>
      <c r="D17" s="2036"/>
      <c r="E17" s="2036"/>
      <c r="F17" s="2036"/>
      <c r="G17" s="2025" t="s">
        <v>1222</v>
      </c>
      <c r="H17" s="1999"/>
      <c r="I17" s="1999"/>
      <c r="J17" s="1999"/>
      <c r="K17" s="1999"/>
      <c r="L17" s="1999"/>
      <c r="M17" s="1999"/>
      <c r="N17" s="1999"/>
      <c r="O17" s="1999"/>
      <c r="P17" s="1999"/>
      <c r="Q17" s="1999"/>
      <c r="R17" s="1999"/>
      <c r="S17" s="1999"/>
      <c r="T17" s="1999"/>
      <c r="U17" s="1999"/>
      <c r="V17" s="1999"/>
      <c r="W17" s="1999"/>
      <c r="X17" s="1999"/>
      <c r="Y17" s="1999"/>
      <c r="Z17" s="1999"/>
      <c r="AA17" s="1999"/>
      <c r="AB17" s="1999"/>
      <c r="AC17" s="1999"/>
      <c r="AD17" s="1999"/>
      <c r="AE17" s="1999"/>
      <c r="AF17" s="1999"/>
      <c r="AG17" s="1999"/>
      <c r="AH17" s="1999"/>
      <c r="AI17" s="1999"/>
      <c r="AJ17" s="1999"/>
      <c r="AK17" s="1999"/>
      <c r="AL17" s="1999"/>
      <c r="AM17" s="1999"/>
      <c r="AN17" s="1999"/>
      <c r="AO17" s="1999"/>
      <c r="AP17" s="1999"/>
      <c r="AQ17" s="1999"/>
      <c r="AR17" s="1999"/>
      <c r="AS17" s="1999"/>
      <c r="AT17" s="1999"/>
      <c r="AU17" s="1999"/>
      <c r="AV17" s="1999"/>
      <c r="AW17" s="1999"/>
      <c r="AX17" s="1999"/>
      <c r="AY17" s="1999"/>
      <c r="AZ17" s="1999"/>
      <c r="BA17" s="1999"/>
      <c r="BB17" s="1999"/>
      <c r="BC17" s="1999"/>
      <c r="BD17" s="1999"/>
      <c r="BE17" s="1999"/>
      <c r="BF17" s="1999"/>
      <c r="BG17" s="1999"/>
      <c r="BH17" s="1999"/>
      <c r="BI17" s="1999"/>
      <c r="BJ17" s="1999"/>
      <c r="BK17" s="1999"/>
      <c r="BL17" s="1999"/>
      <c r="BM17" s="1999"/>
      <c r="BN17" s="1999"/>
      <c r="BO17" s="1999"/>
      <c r="BP17" s="1999"/>
      <c r="BQ17" s="1999"/>
      <c r="BR17" s="1999"/>
      <c r="BS17" s="1999"/>
      <c r="BT17" s="1999"/>
      <c r="BU17" s="1999"/>
      <c r="BV17" s="1999"/>
      <c r="BW17" s="1999"/>
      <c r="BX17" s="1999"/>
      <c r="BY17" s="1999"/>
      <c r="BZ17" s="1999"/>
      <c r="CA17" s="1999"/>
      <c r="CB17" s="1999"/>
      <c r="CC17" s="1999"/>
      <c r="CD17" s="1999"/>
      <c r="CE17" s="1999"/>
      <c r="CF17" s="1999"/>
      <c r="CG17" s="1999"/>
      <c r="CH17" s="1999"/>
      <c r="CI17" s="1999"/>
      <c r="CJ17" s="1999"/>
      <c r="CK17" s="1999"/>
      <c r="CL17" s="1999"/>
      <c r="CM17" s="1999"/>
      <c r="CN17" s="1999"/>
      <c r="CO17" s="1999"/>
      <c r="CP17" s="1999"/>
      <c r="CQ17" s="1999"/>
      <c r="CR17" s="1999"/>
      <c r="CS17" s="1999"/>
      <c r="CT17" s="1999"/>
      <c r="CU17" s="1999"/>
      <c r="CV17" s="1999"/>
      <c r="CW17" s="1999"/>
      <c r="CX17" s="1999"/>
      <c r="CY17" s="1999"/>
      <c r="CZ17" s="1999"/>
      <c r="DA17" s="1999"/>
      <c r="DB17" s="1999"/>
      <c r="DC17" s="1999"/>
      <c r="DD17" s="1999"/>
      <c r="DE17" s="1999"/>
      <c r="DF17" s="1999"/>
      <c r="DG17" s="1999"/>
      <c r="DH17" s="1999"/>
      <c r="DI17" s="1999"/>
      <c r="DJ17" s="1999"/>
      <c r="DK17" s="1999"/>
      <c r="DL17" s="1999"/>
      <c r="DM17" s="1999"/>
      <c r="DN17" s="1999"/>
      <c r="DO17" s="1999"/>
      <c r="DP17" s="1999"/>
      <c r="DQ17" s="1999"/>
      <c r="DR17" s="1999"/>
      <c r="DS17" s="1999"/>
    </row>
    <row r="18" s="1998" customFormat="1" ht="13.5" hidden="1" customHeight="1" spans="1:123">
      <c r="A18" s="2020" t="s">
        <v>1226</v>
      </c>
      <c r="B18" s="2021" t="s">
        <v>1227</v>
      </c>
      <c r="C18" s="2026">
        <v>0</v>
      </c>
      <c r="D18" s="2026"/>
      <c r="E18" s="2024"/>
      <c r="F18" s="2027">
        <v>0.0305</v>
      </c>
      <c r="G18" s="2025" t="s">
        <v>1228</v>
      </c>
      <c r="H18" s="1999"/>
      <c r="I18" s="1999"/>
      <c r="J18" s="1999"/>
      <c r="K18" s="1999"/>
      <c r="L18" s="1999"/>
      <c r="M18" s="1999"/>
      <c r="N18" s="1999"/>
      <c r="O18" s="1999"/>
      <c r="P18" s="1999"/>
      <c r="Q18" s="1999"/>
      <c r="R18" s="1999"/>
      <c r="S18" s="1999"/>
      <c r="T18" s="1999"/>
      <c r="U18" s="1999"/>
      <c r="V18" s="1999"/>
      <c r="W18" s="1999"/>
      <c r="X18" s="1999"/>
      <c r="Y18" s="1999"/>
      <c r="Z18" s="1999"/>
      <c r="AA18" s="1999"/>
      <c r="AB18" s="1999"/>
      <c r="AC18" s="1999"/>
      <c r="AD18" s="1999"/>
      <c r="AE18" s="1999"/>
      <c r="AF18" s="1999"/>
      <c r="AG18" s="1999"/>
      <c r="AH18" s="1999"/>
      <c r="AI18" s="1999"/>
      <c r="AJ18" s="1999"/>
      <c r="AK18" s="1999"/>
      <c r="AL18" s="1999"/>
      <c r="AM18" s="1999"/>
      <c r="AN18" s="1999"/>
      <c r="AO18" s="1999"/>
      <c r="AP18" s="1999"/>
      <c r="AQ18" s="1999"/>
      <c r="AR18" s="1999"/>
      <c r="AS18" s="1999"/>
      <c r="AT18" s="1999"/>
      <c r="AU18" s="1999"/>
      <c r="AV18" s="1999"/>
      <c r="AW18" s="1999"/>
      <c r="AX18" s="1999"/>
      <c r="AY18" s="1999"/>
      <c r="AZ18" s="1999"/>
      <c r="BA18" s="1999"/>
      <c r="BB18" s="1999"/>
      <c r="BC18" s="1999"/>
      <c r="BD18" s="1999"/>
      <c r="BE18" s="1999"/>
      <c r="BF18" s="1999"/>
      <c r="BG18" s="1999"/>
      <c r="BH18" s="1999"/>
      <c r="BI18" s="1999"/>
      <c r="BJ18" s="1999"/>
      <c r="BK18" s="1999"/>
      <c r="BL18" s="1999"/>
      <c r="BM18" s="1999"/>
      <c r="BN18" s="1999"/>
      <c r="BO18" s="1999"/>
      <c r="BP18" s="1999"/>
      <c r="BQ18" s="1999"/>
      <c r="BR18" s="1999"/>
      <c r="BS18" s="1999"/>
      <c r="BT18" s="1999"/>
      <c r="BU18" s="1999"/>
      <c r="BV18" s="1999"/>
      <c r="BW18" s="1999"/>
      <c r="BX18" s="1999"/>
      <c r="BY18" s="1999"/>
      <c r="BZ18" s="1999"/>
      <c r="CA18" s="1999"/>
      <c r="CB18" s="1999"/>
      <c r="CC18" s="1999"/>
      <c r="CD18" s="1999"/>
      <c r="CE18" s="1999"/>
      <c r="CF18" s="1999"/>
      <c r="CG18" s="1999"/>
      <c r="CH18" s="1999"/>
      <c r="CI18" s="1999"/>
      <c r="CJ18" s="1999"/>
      <c r="CK18" s="1999"/>
      <c r="CL18" s="1999"/>
      <c r="CM18" s="1999"/>
      <c r="CN18" s="1999"/>
      <c r="CO18" s="1999"/>
      <c r="CP18" s="1999"/>
      <c r="CQ18" s="1999"/>
      <c r="CR18" s="1999"/>
      <c r="CS18" s="1999"/>
      <c r="CT18" s="1999"/>
      <c r="CU18" s="1999"/>
      <c r="CV18" s="1999"/>
      <c r="CW18" s="1999"/>
      <c r="CX18" s="1999"/>
      <c r="CY18" s="1999"/>
      <c r="CZ18" s="1999"/>
      <c r="DA18" s="1999"/>
      <c r="DB18" s="1999"/>
      <c r="DC18" s="1999"/>
      <c r="DD18" s="1999"/>
      <c r="DE18" s="1999"/>
      <c r="DF18" s="1999"/>
      <c r="DG18" s="1999"/>
      <c r="DH18" s="1999"/>
      <c r="DI18" s="1999"/>
      <c r="DJ18" s="1999"/>
      <c r="DK18" s="1999"/>
      <c r="DL18" s="1999"/>
      <c r="DM18" s="1999"/>
      <c r="DN18" s="1999"/>
      <c r="DO18" s="1999"/>
      <c r="DP18" s="1999"/>
      <c r="DQ18" s="1999"/>
      <c r="DR18" s="1999"/>
      <c r="DS18" s="1999"/>
    </row>
    <row r="19" s="1999" customFormat="1" ht="13.5" customHeight="1" spans="1:7">
      <c r="A19" s="2015" t="s">
        <v>1229</v>
      </c>
      <c r="B19" s="2016" t="s">
        <v>1230</v>
      </c>
      <c r="C19" s="2017" t="str">
        <f>IF(G19="已包含在土地取得成本中","0",ROUND(D19*E19,0))</f>
        <v>0</v>
      </c>
      <c r="D19" s="2037">
        <f>IF(B1="仅计算典型户型",'数据-取费表'!E5,'数据-取费表'!B5)</f>
        <v>164.75</v>
      </c>
      <c r="E19" s="2017">
        <f>'数据-取费表'!E15</f>
        <v>200</v>
      </c>
      <c r="F19" s="2038"/>
      <c r="G19" s="2029" t="s">
        <v>1231</v>
      </c>
    </row>
    <row r="20" s="1998" customFormat="1" ht="13.5" customHeight="1" spans="1:123">
      <c r="A20" s="2015" t="s">
        <v>1232</v>
      </c>
      <c r="B20" s="2016" t="s">
        <v>1233</v>
      </c>
      <c r="C20" s="2039">
        <f>ROUND((C5+C19)*F20,0)</f>
        <v>3662</v>
      </c>
      <c r="D20" s="2039"/>
      <c r="E20" s="2039"/>
      <c r="F20" s="2040">
        <f>'数据-取费表'!E25</f>
        <v>0.01</v>
      </c>
      <c r="G20" s="2041" t="s">
        <v>1234</v>
      </c>
      <c r="H20" s="1999"/>
      <c r="I20" s="1999"/>
      <c r="J20" s="1999"/>
      <c r="K20" s="1999"/>
      <c r="L20" s="1999"/>
      <c r="M20" s="1999"/>
      <c r="N20" s="1999"/>
      <c r="O20" s="1999"/>
      <c r="P20" s="1999"/>
      <c r="Q20" s="1999"/>
      <c r="R20" s="1999"/>
      <c r="S20" s="1999"/>
      <c r="T20" s="1999"/>
      <c r="U20" s="1999"/>
      <c r="V20" s="1999"/>
      <c r="W20" s="1999"/>
      <c r="X20" s="1999"/>
      <c r="Y20" s="1999"/>
      <c r="Z20" s="1999"/>
      <c r="AA20" s="1999"/>
      <c r="AB20" s="1999"/>
      <c r="AC20" s="1999"/>
      <c r="AD20" s="1999"/>
      <c r="AE20" s="1999"/>
      <c r="AF20" s="1999"/>
      <c r="AG20" s="1999"/>
      <c r="AH20" s="1999"/>
      <c r="AI20" s="1999"/>
      <c r="AJ20" s="1999"/>
      <c r="AK20" s="1999"/>
      <c r="AL20" s="1999"/>
      <c r="AM20" s="1999"/>
      <c r="AN20" s="1999"/>
      <c r="AO20" s="1999"/>
      <c r="AP20" s="1999"/>
      <c r="AQ20" s="1999"/>
      <c r="AR20" s="1999"/>
      <c r="AS20" s="1999"/>
      <c r="AT20" s="1999"/>
      <c r="AU20" s="1999"/>
      <c r="AV20" s="1999"/>
      <c r="AW20" s="1999"/>
      <c r="AX20" s="1999"/>
      <c r="AY20" s="1999"/>
      <c r="AZ20" s="1999"/>
      <c r="BA20" s="1999"/>
      <c r="BB20" s="1999"/>
      <c r="BC20" s="1999"/>
      <c r="BD20" s="1999"/>
      <c r="BE20" s="1999"/>
      <c r="BF20" s="1999"/>
      <c r="BG20" s="1999"/>
      <c r="BH20" s="1999"/>
      <c r="BI20" s="1999"/>
      <c r="BJ20" s="1999"/>
      <c r="BK20" s="1999"/>
      <c r="BL20" s="1999"/>
      <c r="BM20" s="1999"/>
      <c r="BN20" s="1999"/>
      <c r="BO20" s="1999"/>
      <c r="BP20" s="1999"/>
      <c r="BQ20" s="1999"/>
      <c r="BR20" s="1999"/>
      <c r="BS20" s="1999"/>
      <c r="BT20" s="1999"/>
      <c r="BU20" s="1999"/>
      <c r="BV20" s="1999"/>
      <c r="BW20" s="1999"/>
      <c r="BX20" s="1999"/>
      <c r="BY20" s="1999"/>
      <c r="BZ20" s="1999"/>
      <c r="CA20" s="1999"/>
      <c r="CB20" s="1999"/>
      <c r="CC20" s="1999"/>
      <c r="CD20" s="1999"/>
      <c r="CE20" s="1999"/>
      <c r="CF20" s="1999"/>
      <c r="CG20" s="1999"/>
      <c r="CH20" s="1999"/>
      <c r="CI20" s="1999"/>
      <c r="CJ20" s="1999"/>
      <c r="CK20" s="1999"/>
      <c r="CL20" s="1999"/>
      <c r="CM20" s="1999"/>
      <c r="CN20" s="1999"/>
      <c r="CO20" s="1999"/>
      <c r="CP20" s="1999"/>
      <c r="CQ20" s="1999"/>
      <c r="CR20" s="1999"/>
      <c r="CS20" s="1999"/>
      <c r="CT20" s="1999"/>
      <c r="CU20" s="1999"/>
      <c r="CV20" s="1999"/>
      <c r="CW20" s="1999"/>
      <c r="CX20" s="1999"/>
      <c r="CY20" s="1999"/>
      <c r="CZ20" s="1999"/>
      <c r="DA20" s="1999"/>
      <c r="DB20" s="1999"/>
      <c r="DC20" s="1999"/>
      <c r="DD20" s="1999"/>
      <c r="DE20" s="1999"/>
      <c r="DF20" s="1999"/>
      <c r="DG20" s="1999"/>
      <c r="DH20" s="1999"/>
      <c r="DI20" s="1999"/>
      <c r="DJ20" s="1999"/>
      <c r="DK20" s="1999"/>
      <c r="DL20" s="1999"/>
      <c r="DM20" s="1999"/>
      <c r="DN20" s="1999"/>
      <c r="DO20" s="1999"/>
      <c r="DP20" s="1999"/>
      <c r="DQ20" s="1999"/>
      <c r="DR20" s="1999"/>
      <c r="DS20" s="1999"/>
    </row>
    <row r="21" s="1998" customFormat="1" ht="13.5" customHeight="1" spans="1:123">
      <c r="A21" s="2015" t="s">
        <v>1235</v>
      </c>
      <c r="B21" s="2016" t="s">
        <v>1236</v>
      </c>
      <c r="C21" s="2042">
        <f>F21</f>
        <v>0.01</v>
      </c>
      <c r="D21" s="2043" t="s">
        <v>1237</v>
      </c>
      <c r="E21" s="2039"/>
      <c r="F21" s="2040">
        <f>'数据-取费表'!E26</f>
        <v>0.01</v>
      </c>
      <c r="G21" s="2041" t="s">
        <v>1238</v>
      </c>
      <c r="H21" s="1999"/>
      <c r="I21" s="1999"/>
      <c r="J21" s="1999"/>
      <c r="K21" s="1999"/>
      <c r="L21" s="1999"/>
      <c r="M21" s="1999"/>
      <c r="N21" s="1999"/>
      <c r="O21" s="1999"/>
      <c r="P21" s="1999"/>
      <c r="Q21" s="1999"/>
      <c r="R21" s="1999"/>
      <c r="S21" s="1999"/>
      <c r="T21" s="1999"/>
      <c r="U21" s="1999"/>
      <c r="V21" s="1999"/>
      <c r="W21" s="1999"/>
      <c r="X21" s="1999"/>
      <c r="Y21" s="1999"/>
      <c r="Z21" s="1999"/>
      <c r="AA21" s="1999"/>
      <c r="AB21" s="1999"/>
      <c r="AC21" s="1999"/>
      <c r="AD21" s="1999"/>
      <c r="AE21" s="1999"/>
      <c r="AF21" s="1999"/>
      <c r="AG21" s="1999"/>
      <c r="AH21" s="1999"/>
      <c r="AI21" s="1999"/>
      <c r="AJ21" s="1999"/>
      <c r="AK21" s="1999"/>
      <c r="AL21" s="1999"/>
      <c r="AM21" s="1999"/>
      <c r="AN21" s="1999"/>
      <c r="AO21" s="1999"/>
      <c r="AP21" s="1999"/>
      <c r="AQ21" s="1999"/>
      <c r="AR21" s="1999"/>
      <c r="AS21" s="1999"/>
      <c r="AT21" s="1999"/>
      <c r="AU21" s="1999"/>
      <c r="AV21" s="1999"/>
      <c r="AW21" s="1999"/>
      <c r="AX21" s="1999"/>
      <c r="AY21" s="1999"/>
      <c r="AZ21" s="1999"/>
      <c r="BA21" s="1999"/>
      <c r="BB21" s="1999"/>
      <c r="BC21" s="1999"/>
      <c r="BD21" s="1999"/>
      <c r="BE21" s="1999"/>
      <c r="BF21" s="1999"/>
      <c r="BG21" s="1999"/>
      <c r="BH21" s="1999"/>
      <c r="BI21" s="1999"/>
      <c r="BJ21" s="1999"/>
      <c r="BK21" s="1999"/>
      <c r="BL21" s="1999"/>
      <c r="BM21" s="1999"/>
      <c r="BN21" s="1999"/>
      <c r="BO21" s="1999"/>
      <c r="BP21" s="1999"/>
      <c r="BQ21" s="1999"/>
      <c r="BR21" s="1999"/>
      <c r="BS21" s="1999"/>
      <c r="BT21" s="1999"/>
      <c r="BU21" s="1999"/>
      <c r="BV21" s="1999"/>
      <c r="BW21" s="1999"/>
      <c r="BX21" s="1999"/>
      <c r="BY21" s="1999"/>
      <c r="BZ21" s="1999"/>
      <c r="CA21" s="1999"/>
      <c r="CB21" s="1999"/>
      <c r="CC21" s="1999"/>
      <c r="CD21" s="1999"/>
      <c r="CE21" s="1999"/>
      <c r="CF21" s="1999"/>
      <c r="CG21" s="1999"/>
      <c r="CH21" s="1999"/>
      <c r="CI21" s="1999"/>
      <c r="CJ21" s="1999"/>
      <c r="CK21" s="1999"/>
      <c r="CL21" s="1999"/>
      <c r="CM21" s="1999"/>
      <c r="CN21" s="1999"/>
      <c r="CO21" s="1999"/>
      <c r="CP21" s="1999"/>
      <c r="CQ21" s="1999"/>
      <c r="CR21" s="1999"/>
      <c r="CS21" s="1999"/>
      <c r="CT21" s="1999"/>
      <c r="CU21" s="1999"/>
      <c r="CV21" s="1999"/>
      <c r="CW21" s="1999"/>
      <c r="CX21" s="1999"/>
      <c r="CY21" s="1999"/>
      <c r="CZ21" s="1999"/>
      <c r="DA21" s="1999"/>
      <c r="DB21" s="1999"/>
      <c r="DC21" s="1999"/>
      <c r="DD21" s="1999"/>
      <c r="DE21" s="1999"/>
      <c r="DF21" s="1999"/>
      <c r="DG21" s="1999"/>
      <c r="DH21" s="1999"/>
      <c r="DI21" s="1999"/>
      <c r="DJ21" s="1999"/>
      <c r="DK21" s="1999"/>
      <c r="DL21" s="1999"/>
      <c r="DM21" s="1999"/>
      <c r="DN21" s="1999"/>
      <c r="DO21" s="1999"/>
      <c r="DP21" s="1999"/>
      <c r="DQ21" s="1999"/>
      <c r="DR21" s="1999"/>
      <c r="DS21" s="1999"/>
    </row>
    <row r="22" s="1998" customFormat="1" ht="13.5" customHeight="1" spans="1:123">
      <c r="A22" s="2015" t="s">
        <v>1239</v>
      </c>
      <c r="B22" s="2016" t="s">
        <v>1240</v>
      </c>
      <c r="C22" s="2044">
        <f ca="1">ROUND(SUM(C23:C25),0)</f>
        <v>32708</v>
      </c>
      <c r="D22" s="2042">
        <f ca="1">C26</f>
        <v>0.0004</v>
      </c>
      <c r="E22" s="2043" t="s">
        <v>1237</v>
      </c>
      <c r="F22" s="2040">
        <f ca="1">'数据-取费表'!E27</f>
        <v>0.0435</v>
      </c>
      <c r="G22" s="2041" t="str">
        <f>IF('数据-取费表'!B24&lt;=1,"单利计息。","复利计息。")</f>
        <v>复利计息。</v>
      </c>
      <c r="H22" s="1999"/>
      <c r="I22" s="1999"/>
      <c r="J22" s="1999"/>
      <c r="K22" s="1999"/>
      <c r="L22" s="1999"/>
      <c r="M22" s="1999"/>
      <c r="N22" s="1999"/>
      <c r="O22" s="1999"/>
      <c r="P22" s="1999"/>
      <c r="Q22" s="1999"/>
      <c r="R22" s="1999"/>
      <c r="S22" s="1999"/>
      <c r="T22" s="1999"/>
      <c r="U22" s="1999"/>
      <c r="V22" s="1999"/>
      <c r="W22" s="1999"/>
      <c r="X22" s="1999"/>
      <c r="Y22" s="1999"/>
      <c r="Z22" s="1999"/>
      <c r="AA22" s="1999"/>
      <c r="AB22" s="1999"/>
      <c r="AC22" s="1999"/>
      <c r="AD22" s="1999"/>
      <c r="AE22" s="1999"/>
      <c r="AF22" s="1999"/>
      <c r="AG22" s="1999"/>
      <c r="AH22" s="1999"/>
      <c r="AI22" s="1999"/>
      <c r="AJ22" s="1999"/>
      <c r="AK22" s="1999"/>
      <c r="AL22" s="1999"/>
      <c r="AM22" s="1999"/>
      <c r="AN22" s="1999"/>
      <c r="AO22" s="1999"/>
      <c r="AP22" s="1999"/>
      <c r="AQ22" s="1999"/>
      <c r="AR22" s="1999"/>
      <c r="AS22" s="1999"/>
      <c r="AT22" s="1999"/>
      <c r="AU22" s="1999"/>
      <c r="AV22" s="1999"/>
      <c r="AW22" s="1999"/>
      <c r="AX22" s="1999"/>
      <c r="AY22" s="1999"/>
      <c r="AZ22" s="1999"/>
      <c r="BA22" s="1999"/>
      <c r="BB22" s="1999"/>
      <c r="BC22" s="1999"/>
      <c r="BD22" s="1999"/>
      <c r="BE22" s="1999"/>
      <c r="BF22" s="1999"/>
      <c r="BG22" s="1999"/>
      <c r="BH22" s="1999"/>
      <c r="BI22" s="1999"/>
      <c r="BJ22" s="1999"/>
      <c r="BK22" s="1999"/>
      <c r="BL22" s="1999"/>
      <c r="BM22" s="1999"/>
      <c r="BN22" s="1999"/>
      <c r="BO22" s="1999"/>
      <c r="BP22" s="1999"/>
      <c r="BQ22" s="1999"/>
      <c r="BR22" s="1999"/>
      <c r="BS22" s="1999"/>
      <c r="BT22" s="1999"/>
      <c r="BU22" s="1999"/>
      <c r="BV22" s="1999"/>
      <c r="BW22" s="1999"/>
      <c r="BX22" s="1999"/>
      <c r="BY22" s="1999"/>
      <c r="BZ22" s="1999"/>
      <c r="CA22" s="1999"/>
      <c r="CB22" s="1999"/>
      <c r="CC22" s="1999"/>
      <c r="CD22" s="1999"/>
      <c r="CE22" s="1999"/>
      <c r="CF22" s="1999"/>
      <c r="CG22" s="1999"/>
      <c r="CH22" s="1999"/>
      <c r="CI22" s="1999"/>
      <c r="CJ22" s="1999"/>
      <c r="CK22" s="1999"/>
      <c r="CL22" s="1999"/>
      <c r="CM22" s="1999"/>
      <c r="CN22" s="1999"/>
      <c r="CO22" s="1999"/>
      <c r="CP22" s="1999"/>
      <c r="CQ22" s="1999"/>
      <c r="CR22" s="1999"/>
      <c r="CS22" s="1999"/>
      <c r="CT22" s="1999"/>
      <c r="CU22" s="1999"/>
      <c r="CV22" s="1999"/>
      <c r="CW22" s="1999"/>
      <c r="CX22" s="1999"/>
      <c r="CY22" s="1999"/>
      <c r="CZ22" s="1999"/>
      <c r="DA22" s="1999"/>
      <c r="DB22" s="1999"/>
      <c r="DC22" s="1999"/>
      <c r="DD22" s="1999"/>
      <c r="DE22" s="1999"/>
      <c r="DF22" s="1999"/>
      <c r="DG22" s="1999"/>
      <c r="DH22" s="1999"/>
      <c r="DI22" s="1999"/>
      <c r="DJ22" s="1999"/>
      <c r="DK22" s="1999"/>
      <c r="DL22" s="1999"/>
      <c r="DM22" s="1999"/>
      <c r="DN22" s="1999"/>
      <c r="DO22" s="1999"/>
      <c r="DP22" s="1999"/>
      <c r="DQ22" s="1999"/>
      <c r="DR22" s="1999"/>
      <c r="DS22" s="1999"/>
    </row>
    <row r="23" s="1998" customFormat="1" ht="13.5" customHeight="1" spans="1:123">
      <c r="A23" s="2020" t="s">
        <v>1202</v>
      </c>
      <c r="B23" s="2021" t="s">
        <v>1241</v>
      </c>
      <c r="C23" s="2045">
        <f ca="1">ROUND(IF('数据-取费表'!B24&lt;=1,C5*F22*'数据-取费表'!B25,C5*(POWER((1+F22),'数据-取费表'!B25)-1)),0)</f>
        <v>32549</v>
      </c>
      <c r="D23" s="2046"/>
      <c r="E23" s="2046"/>
      <c r="F23" s="2047"/>
      <c r="G23" s="2048" t="s">
        <v>1242</v>
      </c>
      <c r="H23" s="1999"/>
      <c r="I23" s="1999"/>
      <c r="J23" s="1999"/>
      <c r="K23" s="1999"/>
      <c r="L23" s="1999"/>
      <c r="M23" s="1999"/>
      <c r="N23" s="1999"/>
      <c r="O23" s="1999"/>
      <c r="P23" s="1999"/>
      <c r="Q23" s="1999"/>
      <c r="R23" s="1999"/>
      <c r="S23" s="1999"/>
      <c r="T23" s="1999"/>
      <c r="U23" s="1999"/>
      <c r="V23" s="1999"/>
      <c r="W23" s="1999"/>
      <c r="X23" s="1999"/>
      <c r="Y23" s="1999"/>
      <c r="Z23" s="1999"/>
      <c r="AA23" s="1999"/>
      <c r="AB23" s="1999"/>
      <c r="AC23" s="1999"/>
      <c r="AD23" s="1999"/>
      <c r="AE23" s="1999"/>
      <c r="AF23" s="1999"/>
      <c r="AG23" s="1999"/>
      <c r="AH23" s="1999"/>
      <c r="AI23" s="1999"/>
      <c r="AJ23" s="1999"/>
      <c r="AK23" s="1999"/>
      <c r="AL23" s="1999"/>
      <c r="AM23" s="1999"/>
      <c r="AN23" s="1999"/>
      <c r="AO23" s="1999"/>
      <c r="AP23" s="1999"/>
      <c r="AQ23" s="1999"/>
      <c r="AR23" s="1999"/>
      <c r="AS23" s="1999"/>
      <c r="AT23" s="1999"/>
      <c r="AU23" s="1999"/>
      <c r="AV23" s="1999"/>
      <c r="AW23" s="1999"/>
      <c r="AX23" s="1999"/>
      <c r="AY23" s="1999"/>
      <c r="AZ23" s="1999"/>
      <c r="BA23" s="1999"/>
      <c r="BB23" s="1999"/>
      <c r="BC23" s="1999"/>
      <c r="BD23" s="1999"/>
      <c r="BE23" s="1999"/>
      <c r="BF23" s="1999"/>
      <c r="BG23" s="1999"/>
      <c r="BH23" s="1999"/>
      <c r="BI23" s="1999"/>
      <c r="BJ23" s="1999"/>
      <c r="BK23" s="1999"/>
      <c r="BL23" s="1999"/>
      <c r="BM23" s="1999"/>
      <c r="BN23" s="1999"/>
      <c r="BO23" s="1999"/>
      <c r="BP23" s="1999"/>
      <c r="BQ23" s="1999"/>
      <c r="BR23" s="1999"/>
      <c r="BS23" s="1999"/>
      <c r="BT23" s="1999"/>
      <c r="BU23" s="1999"/>
      <c r="BV23" s="1999"/>
      <c r="BW23" s="1999"/>
      <c r="BX23" s="1999"/>
      <c r="BY23" s="1999"/>
      <c r="BZ23" s="1999"/>
      <c r="CA23" s="1999"/>
      <c r="CB23" s="1999"/>
      <c r="CC23" s="1999"/>
      <c r="CD23" s="1999"/>
      <c r="CE23" s="1999"/>
      <c r="CF23" s="1999"/>
      <c r="CG23" s="1999"/>
      <c r="CH23" s="1999"/>
      <c r="CI23" s="1999"/>
      <c r="CJ23" s="1999"/>
      <c r="CK23" s="1999"/>
      <c r="CL23" s="1999"/>
      <c r="CM23" s="1999"/>
      <c r="CN23" s="1999"/>
      <c r="CO23" s="1999"/>
      <c r="CP23" s="1999"/>
      <c r="CQ23" s="1999"/>
      <c r="CR23" s="1999"/>
      <c r="CS23" s="1999"/>
      <c r="CT23" s="1999"/>
      <c r="CU23" s="1999"/>
      <c r="CV23" s="1999"/>
      <c r="CW23" s="1999"/>
      <c r="CX23" s="1999"/>
      <c r="CY23" s="1999"/>
      <c r="CZ23" s="1999"/>
      <c r="DA23" s="1999"/>
      <c r="DB23" s="1999"/>
      <c r="DC23" s="1999"/>
      <c r="DD23" s="1999"/>
      <c r="DE23" s="1999"/>
      <c r="DF23" s="1999"/>
      <c r="DG23" s="1999"/>
      <c r="DH23" s="1999"/>
      <c r="DI23" s="1999"/>
      <c r="DJ23" s="1999"/>
      <c r="DK23" s="1999"/>
      <c r="DL23" s="1999"/>
      <c r="DM23" s="1999"/>
      <c r="DN23" s="1999"/>
      <c r="DO23" s="1999"/>
      <c r="DP23" s="1999"/>
      <c r="DQ23" s="1999"/>
      <c r="DR23" s="1999"/>
      <c r="DS23" s="1999"/>
    </row>
    <row r="24" s="1998" customFormat="1" ht="13.5" customHeight="1" spans="1:123">
      <c r="A24" s="2020" t="s">
        <v>1204</v>
      </c>
      <c r="B24" s="2021" t="s">
        <v>1243</v>
      </c>
      <c r="C24" s="2045">
        <f ca="1">ROUND(IF('数据-取费表'!B24&lt;=1,C19*F22*('数据-取费表'!B21/2+'数据-取费表'!B23),C19*(POWER((1+F22),('数据-取费表'!B21/2+'数据-取费表'!B23))-1)),0)</f>
        <v>0</v>
      </c>
      <c r="D24" s="2046"/>
      <c r="E24" s="2046"/>
      <c r="F24" s="2047"/>
      <c r="G24" s="2048" t="s">
        <v>1244</v>
      </c>
      <c r="H24" s="1999"/>
      <c r="I24" s="1999"/>
      <c r="J24" s="1999"/>
      <c r="K24" s="1999"/>
      <c r="L24" s="1999"/>
      <c r="M24" s="1999"/>
      <c r="N24" s="1999"/>
      <c r="O24" s="1999"/>
      <c r="P24" s="1999"/>
      <c r="Q24" s="1999"/>
      <c r="R24" s="1999"/>
      <c r="S24" s="1999"/>
      <c r="T24" s="1999"/>
      <c r="U24" s="1999"/>
      <c r="V24" s="1999"/>
      <c r="W24" s="1999"/>
      <c r="X24" s="1999"/>
      <c r="Y24" s="1999"/>
      <c r="Z24" s="1999"/>
      <c r="AA24" s="1999"/>
      <c r="AB24" s="1999"/>
      <c r="AC24" s="1999"/>
      <c r="AD24" s="1999"/>
      <c r="AE24" s="1999"/>
      <c r="AF24" s="1999"/>
      <c r="AG24" s="1999"/>
      <c r="AH24" s="1999"/>
      <c r="AI24" s="1999"/>
      <c r="AJ24" s="1999"/>
      <c r="AK24" s="1999"/>
      <c r="AL24" s="1999"/>
      <c r="AM24" s="1999"/>
      <c r="AN24" s="1999"/>
      <c r="AO24" s="1999"/>
      <c r="AP24" s="1999"/>
      <c r="AQ24" s="1999"/>
      <c r="AR24" s="1999"/>
      <c r="AS24" s="1999"/>
      <c r="AT24" s="1999"/>
      <c r="AU24" s="1999"/>
      <c r="AV24" s="1999"/>
      <c r="AW24" s="1999"/>
      <c r="AX24" s="1999"/>
      <c r="AY24" s="1999"/>
      <c r="AZ24" s="1999"/>
      <c r="BA24" s="1999"/>
      <c r="BB24" s="1999"/>
      <c r="BC24" s="1999"/>
      <c r="BD24" s="1999"/>
      <c r="BE24" s="1999"/>
      <c r="BF24" s="1999"/>
      <c r="BG24" s="1999"/>
      <c r="BH24" s="1999"/>
      <c r="BI24" s="1999"/>
      <c r="BJ24" s="1999"/>
      <c r="BK24" s="1999"/>
      <c r="BL24" s="1999"/>
      <c r="BM24" s="1999"/>
      <c r="BN24" s="1999"/>
      <c r="BO24" s="1999"/>
      <c r="BP24" s="1999"/>
      <c r="BQ24" s="1999"/>
      <c r="BR24" s="1999"/>
      <c r="BS24" s="1999"/>
      <c r="BT24" s="1999"/>
      <c r="BU24" s="1999"/>
      <c r="BV24" s="1999"/>
      <c r="BW24" s="1999"/>
      <c r="BX24" s="1999"/>
      <c r="BY24" s="1999"/>
      <c r="BZ24" s="1999"/>
      <c r="CA24" s="1999"/>
      <c r="CB24" s="1999"/>
      <c r="CC24" s="1999"/>
      <c r="CD24" s="1999"/>
      <c r="CE24" s="1999"/>
      <c r="CF24" s="1999"/>
      <c r="CG24" s="1999"/>
      <c r="CH24" s="1999"/>
      <c r="CI24" s="1999"/>
      <c r="CJ24" s="1999"/>
      <c r="CK24" s="1999"/>
      <c r="CL24" s="1999"/>
      <c r="CM24" s="1999"/>
      <c r="CN24" s="1999"/>
      <c r="CO24" s="1999"/>
      <c r="CP24" s="1999"/>
      <c r="CQ24" s="1999"/>
      <c r="CR24" s="1999"/>
      <c r="CS24" s="1999"/>
      <c r="CT24" s="1999"/>
      <c r="CU24" s="1999"/>
      <c r="CV24" s="1999"/>
      <c r="CW24" s="1999"/>
      <c r="CX24" s="1999"/>
      <c r="CY24" s="1999"/>
      <c r="CZ24" s="1999"/>
      <c r="DA24" s="1999"/>
      <c r="DB24" s="1999"/>
      <c r="DC24" s="1999"/>
      <c r="DD24" s="1999"/>
      <c r="DE24" s="1999"/>
      <c r="DF24" s="1999"/>
      <c r="DG24" s="1999"/>
      <c r="DH24" s="1999"/>
      <c r="DI24" s="1999"/>
      <c r="DJ24" s="1999"/>
      <c r="DK24" s="1999"/>
      <c r="DL24" s="1999"/>
      <c r="DM24" s="1999"/>
      <c r="DN24" s="1999"/>
      <c r="DO24" s="1999"/>
      <c r="DP24" s="1999"/>
      <c r="DQ24" s="1999"/>
      <c r="DR24" s="1999"/>
      <c r="DS24" s="1999"/>
    </row>
    <row r="25" s="1998" customFormat="1" ht="24" spans="1:123">
      <c r="A25" s="2020" t="s">
        <v>1206</v>
      </c>
      <c r="B25" s="2021" t="s">
        <v>1245</v>
      </c>
      <c r="C25" s="2045">
        <f ca="1">ROUND(IF('数据-取费表'!B24&lt;=1,C20*F22*'数据-取费表'!B25/2,C20*(POWER((1+F22),'数据-取费表'!B25/2)-1)),0)</f>
        <v>159</v>
      </c>
      <c r="D25" s="2046"/>
      <c r="E25" s="2049"/>
      <c r="F25" s="2047"/>
      <c r="G25" s="2050" t="s">
        <v>1246</v>
      </c>
      <c r="H25" s="1999"/>
      <c r="I25" s="1999"/>
      <c r="J25" s="1999"/>
      <c r="K25" s="1999"/>
      <c r="L25" s="1999"/>
      <c r="M25" s="1999"/>
      <c r="N25" s="1999"/>
      <c r="O25" s="1999"/>
      <c r="P25" s="1999"/>
      <c r="Q25" s="1999"/>
      <c r="R25" s="1999"/>
      <c r="S25" s="1999"/>
      <c r="T25" s="1999"/>
      <c r="U25" s="1999"/>
      <c r="V25" s="1999"/>
      <c r="W25" s="1999"/>
      <c r="X25" s="1999"/>
      <c r="Y25" s="1999"/>
      <c r="Z25" s="1999"/>
      <c r="AA25" s="1999"/>
      <c r="AB25" s="1999"/>
      <c r="AC25" s="1999"/>
      <c r="AD25" s="1999"/>
      <c r="AE25" s="1999"/>
      <c r="AF25" s="1999"/>
      <c r="AG25" s="1999"/>
      <c r="AH25" s="1999"/>
      <c r="AI25" s="1999"/>
      <c r="AJ25" s="1999"/>
      <c r="AK25" s="1999"/>
      <c r="AL25" s="1999"/>
      <c r="AM25" s="1999"/>
      <c r="AN25" s="1999"/>
      <c r="AO25" s="1999"/>
      <c r="AP25" s="1999"/>
      <c r="AQ25" s="1999"/>
      <c r="AR25" s="1999"/>
      <c r="AS25" s="1999"/>
      <c r="AT25" s="1999"/>
      <c r="AU25" s="1999"/>
      <c r="AV25" s="1999"/>
      <c r="AW25" s="1999"/>
      <c r="AX25" s="1999"/>
      <c r="AY25" s="1999"/>
      <c r="AZ25" s="1999"/>
      <c r="BA25" s="1999"/>
      <c r="BB25" s="1999"/>
      <c r="BC25" s="1999"/>
      <c r="BD25" s="1999"/>
      <c r="BE25" s="1999"/>
      <c r="BF25" s="1999"/>
      <c r="BG25" s="1999"/>
      <c r="BH25" s="1999"/>
      <c r="BI25" s="1999"/>
      <c r="BJ25" s="1999"/>
      <c r="BK25" s="1999"/>
      <c r="BL25" s="1999"/>
      <c r="BM25" s="1999"/>
      <c r="BN25" s="1999"/>
      <c r="BO25" s="1999"/>
      <c r="BP25" s="1999"/>
      <c r="BQ25" s="1999"/>
      <c r="BR25" s="1999"/>
      <c r="BS25" s="1999"/>
      <c r="BT25" s="1999"/>
      <c r="BU25" s="1999"/>
      <c r="BV25" s="1999"/>
      <c r="BW25" s="1999"/>
      <c r="BX25" s="1999"/>
      <c r="BY25" s="1999"/>
      <c r="BZ25" s="1999"/>
      <c r="CA25" s="1999"/>
      <c r="CB25" s="1999"/>
      <c r="CC25" s="1999"/>
      <c r="CD25" s="1999"/>
      <c r="CE25" s="1999"/>
      <c r="CF25" s="1999"/>
      <c r="CG25" s="1999"/>
      <c r="CH25" s="1999"/>
      <c r="CI25" s="1999"/>
      <c r="CJ25" s="1999"/>
      <c r="CK25" s="1999"/>
      <c r="CL25" s="1999"/>
      <c r="CM25" s="1999"/>
      <c r="CN25" s="1999"/>
      <c r="CO25" s="1999"/>
      <c r="CP25" s="1999"/>
      <c r="CQ25" s="1999"/>
      <c r="CR25" s="1999"/>
      <c r="CS25" s="1999"/>
      <c r="CT25" s="1999"/>
      <c r="CU25" s="1999"/>
      <c r="CV25" s="1999"/>
      <c r="CW25" s="1999"/>
      <c r="CX25" s="1999"/>
      <c r="CY25" s="1999"/>
      <c r="CZ25" s="1999"/>
      <c r="DA25" s="1999"/>
      <c r="DB25" s="1999"/>
      <c r="DC25" s="1999"/>
      <c r="DD25" s="1999"/>
      <c r="DE25" s="1999"/>
      <c r="DF25" s="1999"/>
      <c r="DG25" s="1999"/>
      <c r="DH25" s="1999"/>
      <c r="DI25" s="1999"/>
      <c r="DJ25" s="1999"/>
      <c r="DK25" s="1999"/>
      <c r="DL25" s="1999"/>
      <c r="DM25" s="1999"/>
      <c r="DN25" s="1999"/>
      <c r="DO25" s="1999"/>
      <c r="DP25" s="1999"/>
      <c r="DQ25" s="1999"/>
      <c r="DR25" s="1999"/>
      <c r="DS25" s="1999"/>
    </row>
    <row r="26" s="1998" customFormat="1" spans="1:123">
      <c r="A26" s="2020" t="s">
        <v>1247</v>
      </c>
      <c r="B26" s="2021" t="s">
        <v>1248</v>
      </c>
      <c r="C26" s="2046">
        <f ca="1">ROUND(IF('数据-取费表'!B24&lt;=1,F21*F22*'数据-取费表'!B25/2,F21*(POWER((1+F22),'数据-取费表'!B25/2)-1)),4)</f>
        <v>0.0004</v>
      </c>
      <c r="D26" s="2046"/>
      <c r="E26" s="2049"/>
      <c r="F26" s="2047"/>
      <c r="G26" s="2051"/>
      <c r="H26" s="1999"/>
      <c r="I26" s="1999"/>
      <c r="J26" s="1999"/>
      <c r="K26" s="1999"/>
      <c r="L26" s="1999"/>
      <c r="M26" s="1999"/>
      <c r="N26" s="1999"/>
      <c r="O26" s="1999"/>
      <c r="P26" s="1999"/>
      <c r="Q26" s="1999"/>
      <c r="R26" s="1999"/>
      <c r="S26" s="1999"/>
      <c r="T26" s="1999"/>
      <c r="U26" s="1999"/>
      <c r="V26" s="1999"/>
      <c r="W26" s="1999"/>
      <c r="X26" s="1999"/>
      <c r="Y26" s="1999"/>
      <c r="Z26" s="1999"/>
      <c r="AA26" s="1999"/>
      <c r="AB26" s="1999"/>
      <c r="AC26" s="1999"/>
      <c r="AD26" s="1999"/>
      <c r="AE26" s="1999"/>
      <c r="AF26" s="1999"/>
      <c r="AG26" s="1999"/>
      <c r="AH26" s="1999"/>
      <c r="AI26" s="1999"/>
      <c r="AJ26" s="1999"/>
      <c r="AK26" s="1999"/>
      <c r="AL26" s="1999"/>
      <c r="AM26" s="1999"/>
      <c r="AN26" s="1999"/>
      <c r="AO26" s="1999"/>
      <c r="AP26" s="1999"/>
      <c r="AQ26" s="1999"/>
      <c r="AR26" s="1999"/>
      <c r="AS26" s="1999"/>
      <c r="AT26" s="1999"/>
      <c r="AU26" s="1999"/>
      <c r="AV26" s="1999"/>
      <c r="AW26" s="1999"/>
      <c r="AX26" s="1999"/>
      <c r="AY26" s="1999"/>
      <c r="AZ26" s="1999"/>
      <c r="BA26" s="1999"/>
      <c r="BB26" s="1999"/>
      <c r="BC26" s="1999"/>
      <c r="BD26" s="1999"/>
      <c r="BE26" s="1999"/>
      <c r="BF26" s="1999"/>
      <c r="BG26" s="1999"/>
      <c r="BH26" s="1999"/>
      <c r="BI26" s="1999"/>
      <c r="BJ26" s="1999"/>
      <c r="BK26" s="1999"/>
      <c r="BL26" s="1999"/>
      <c r="BM26" s="1999"/>
      <c r="BN26" s="1999"/>
      <c r="BO26" s="1999"/>
      <c r="BP26" s="1999"/>
      <c r="BQ26" s="1999"/>
      <c r="BR26" s="1999"/>
      <c r="BS26" s="1999"/>
      <c r="BT26" s="1999"/>
      <c r="BU26" s="1999"/>
      <c r="BV26" s="1999"/>
      <c r="BW26" s="1999"/>
      <c r="BX26" s="1999"/>
      <c r="BY26" s="1999"/>
      <c r="BZ26" s="1999"/>
      <c r="CA26" s="1999"/>
      <c r="CB26" s="1999"/>
      <c r="CC26" s="1999"/>
      <c r="CD26" s="1999"/>
      <c r="CE26" s="1999"/>
      <c r="CF26" s="1999"/>
      <c r="CG26" s="1999"/>
      <c r="CH26" s="1999"/>
      <c r="CI26" s="1999"/>
      <c r="CJ26" s="1999"/>
      <c r="CK26" s="1999"/>
      <c r="CL26" s="1999"/>
      <c r="CM26" s="1999"/>
      <c r="CN26" s="1999"/>
      <c r="CO26" s="1999"/>
      <c r="CP26" s="1999"/>
      <c r="CQ26" s="1999"/>
      <c r="CR26" s="1999"/>
      <c r="CS26" s="1999"/>
      <c r="CT26" s="1999"/>
      <c r="CU26" s="1999"/>
      <c r="CV26" s="1999"/>
      <c r="CW26" s="1999"/>
      <c r="CX26" s="1999"/>
      <c r="CY26" s="1999"/>
      <c r="CZ26" s="1999"/>
      <c r="DA26" s="1999"/>
      <c r="DB26" s="1999"/>
      <c r="DC26" s="1999"/>
      <c r="DD26" s="1999"/>
      <c r="DE26" s="1999"/>
      <c r="DF26" s="1999"/>
      <c r="DG26" s="1999"/>
      <c r="DH26" s="1999"/>
      <c r="DI26" s="1999"/>
      <c r="DJ26" s="1999"/>
      <c r="DK26" s="1999"/>
      <c r="DL26" s="1999"/>
      <c r="DM26" s="1999"/>
      <c r="DN26" s="1999"/>
      <c r="DO26" s="1999"/>
      <c r="DP26" s="1999"/>
      <c r="DQ26" s="1999"/>
      <c r="DR26" s="1999"/>
      <c r="DS26" s="1999"/>
    </row>
    <row r="27" s="1998" customFormat="1" ht="25.5" spans="1:123">
      <c r="A27" s="2052" t="s">
        <v>1249</v>
      </c>
      <c r="B27" s="2053" t="s">
        <v>1250</v>
      </c>
      <c r="C27" s="2017">
        <f>C28</f>
        <v>55474</v>
      </c>
      <c r="D27" s="2042">
        <f>C29</f>
        <v>0.0015</v>
      </c>
      <c r="E27" s="2043" t="s">
        <v>1237</v>
      </c>
      <c r="F27" s="2038">
        <f>'数据-取费表'!E28</f>
        <v>0.15</v>
      </c>
      <c r="G27" s="2054" t="s">
        <v>1251</v>
      </c>
      <c r="H27" s="1999"/>
      <c r="I27" s="1999"/>
      <c r="J27" s="1999"/>
      <c r="K27" s="1999"/>
      <c r="L27" s="1999"/>
      <c r="M27" s="1999"/>
      <c r="N27" s="1999"/>
      <c r="O27" s="1999"/>
      <c r="P27" s="1999"/>
      <c r="Q27" s="1999"/>
      <c r="R27" s="1999"/>
      <c r="S27" s="1999"/>
      <c r="T27" s="1999"/>
      <c r="U27" s="1999"/>
      <c r="V27" s="1999"/>
      <c r="W27" s="1999"/>
      <c r="X27" s="1999"/>
      <c r="Y27" s="1999"/>
      <c r="Z27" s="1999"/>
      <c r="AA27" s="1999"/>
      <c r="AB27" s="1999"/>
      <c r="AC27" s="1999"/>
      <c r="AD27" s="1999"/>
      <c r="AE27" s="1999"/>
      <c r="AF27" s="1999"/>
      <c r="AG27" s="1999"/>
      <c r="AH27" s="1999"/>
      <c r="AI27" s="1999"/>
      <c r="AJ27" s="1999"/>
      <c r="AK27" s="1999"/>
      <c r="AL27" s="1999"/>
      <c r="AM27" s="1999"/>
      <c r="AN27" s="1999"/>
      <c r="AO27" s="1999"/>
      <c r="AP27" s="1999"/>
      <c r="AQ27" s="1999"/>
      <c r="AR27" s="1999"/>
      <c r="AS27" s="1999"/>
      <c r="AT27" s="1999"/>
      <c r="AU27" s="1999"/>
      <c r="AV27" s="1999"/>
      <c r="AW27" s="1999"/>
      <c r="AX27" s="1999"/>
      <c r="AY27" s="1999"/>
      <c r="AZ27" s="1999"/>
      <c r="BA27" s="1999"/>
      <c r="BB27" s="1999"/>
      <c r="BC27" s="1999"/>
      <c r="BD27" s="1999"/>
      <c r="BE27" s="1999"/>
      <c r="BF27" s="1999"/>
      <c r="BG27" s="1999"/>
      <c r="BH27" s="1999"/>
      <c r="BI27" s="1999"/>
      <c r="BJ27" s="1999"/>
      <c r="BK27" s="1999"/>
      <c r="BL27" s="1999"/>
      <c r="BM27" s="1999"/>
      <c r="BN27" s="1999"/>
      <c r="BO27" s="1999"/>
      <c r="BP27" s="1999"/>
      <c r="BQ27" s="1999"/>
      <c r="BR27" s="1999"/>
      <c r="BS27" s="1999"/>
      <c r="BT27" s="1999"/>
      <c r="BU27" s="1999"/>
      <c r="BV27" s="1999"/>
      <c r="BW27" s="1999"/>
      <c r="BX27" s="1999"/>
      <c r="BY27" s="1999"/>
      <c r="BZ27" s="1999"/>
      <c r="CA27" s="1999"/>
      <c r="CB27" s="1999"/>
      <c r="CC27" s="1999"/>
      <c r="CD27" s="1999"/>
      <c r="CE27" s="1999"/>
      <c r="CF27" s="1999"/>
      <c r="CG27" s="1999"/>
      <c r="CH27" s="1999"/>
      <c r="CI27" s="1999"/>
      <c r="CJ27" s="1999"/>
      <c r="CK27" s="1999"/>
      <c r="CL27" s="1999"/>
      <c r="CM27" s="1999"/>
      <c r="CN27" s="1999"/>
      <c r="CO27" s="1999"/>
      <c r="CP27" s="1999"/>
      <c r="CQ27" s="1999"/>
      <c r="CR27" s="1999"/>
      <c r="CS27" s="1999"/>
      <c r="CT27" s="1999"/>
      <c r="CU27" s="1999"/>
      <c r="CV27" s="1999"/>
      <c r="CW27" s="1999"/>
      <c r="CX27" s="1999"/>
      <c r="CY27" s="1999"/>
      <c r="CZ27" s="1999"/>
      <c r="DA27" s="1999"/>
      <c r="DB27" s="1999"/>
      <c r="DC27" s="1999"/>
      <c r="DD27" s="1999"/>
      <c r="DE27" s="1999"/>
      <c r="DF27" s="1999"/>
      <c r="DG27" s="1999"/>
      <c r="DH27" s="1999"/>
      <c r="DI27" s="1999"/>
      <c r="DJ27" s="1999"/>
      <c r="DK27" s="1999"/>
      <c r="DL27" s="1999"/>
      <c r="DM27" s="1999"/>
      <c r="DN27" s="1999"/>
      <c r="DO27" s="1999"/>
      <c r="DP27" s="1999"/>
      <c r="DQ27" s="1999"/>
      <c r="DR27" s="1999"/>
      <c r="DS27" s="1999"/>
    </row>
    <row r="28" s="1998" customFormat="1" ht="13.5" customHeight="1" spans="1:123">
      <c r="A28" s="2020" t="s">
        <v>1202</v>
      </c>
      <c r="B28" s="2055" t="s">
        <v>1252</v>
      </c>
      <c r="C28" s="2026">
        <f>ROUND((C5+C19+C20)*F27*'数据-取费表'!B23/'数据-取费表'!B22,0)</f>
        <v>55474</v>
      </c>
      <c r="D28" s="2042"/>
      <c r="E28" s="2043"/>
      <c r="F28" s="2038"/>
      <c r="G28" s="2054"/>
      <c r="H28" s="1999"/>
      <c r="I28" s="1999"/>
      <c r="J28" s="1999"/>
      <c r="K28" s="1999"/>
      <c r="L28" s="1999"/>
      <c r="M28" s="1999"/>
      <c r="N28" s="1999"/>
      <c r="O28" s="1999"/>
      <c r="P28" s="1999"/>
      <c r="Q28" s="1999"/>
      <c r="R28" s="1999"/>
      <c r="S28" s="1999"/>
      <c r="T28" s="1999"/>
      <c r="U28" s="1999"/>
      <c r="V28" s="1999"/>
      <c r="W28" s="1999"/>
      <c r="X28" s="1999"/>
      <c r="Y28" s="1999"/>
      <c r="Z28" s="1999"/>
      <c r="AA28" s="1999"/>
      <c r="AB28" s="1999"/>
      <c r="AC28" s="1999"/>
      <c r="AD28" s="1999"/>
      <c r="AE28" s="1999"/>
      <c r="AF28" s="1999"/>
      <c r="AG28" s="1999"/>
      <c r="AH28" s="1999"/>
      <c r="AI28" s="1999"/>
      <c r="AJ28" s="1999"/>
      <c r="AK28" s="1999"/>
      <c r="AL28" s="1999"/>
      <c r="AM28" s="1999"/>
      <c r="AN28" s="1999"/>
      <c r="AO28" s="1999"/>
      <c r="AP28" s="1999"/>
      <c r="AQ28" s="1999"/>
      <c r="AR28" s="1999"/>
      <c r="AS28" s="1999"/>
      <c r="AT28" s="1999"/>
      <c r="AU28" s="1999"/>
      <c r="AV28" s="1999"/>
      <c r="AW28" s="1999"/>
      <c r="AX28" s="1999"/>
      <c r="AY28" s="1999"/>
      <c r="AZ28" s="1999"/>
      <c r="BA28" s="1999"/>
      <c r="BB28" s="1999"/>
      <c r="BC28" s="1999"/>
      <c r="BD28" s="1999"/>
      <c r="BE28" s="1999"/>
      <c r="BF28" s="1999"/>
      <c r="BG28" s="1999"/>
      <c r="BH28" s="1999"/>
      <c r="BI28" s="1999"/>
      <c r="BJ28" s="1999"/>
      <c r="BK28" s="1999"/>
      <c r="BL28" s="1999"/>
      <c r="BM28" s="1999"/>
      <c r="BN28" s="1999"/>
      <c r="BO28" s="1999"/>
      <c r="BP28" s="1999"/>
      <c r="BQ28" s="1999"/>
      <c r="BR28" s="1999"/>
      <c r="BS28" s="1999"/>
      <c r="BT28" s="1999"/>
      <c r="BU28" s="1999"/>
      <c r="BV28" s="1999"/>
      <c r="BW28" s="1999"/>
      <c r="BX28" s="1999"/>
      <c r="BY28" s="1999"/>
      <c r="BZ28" s="1999"/>
      <c r="CA28" s="1999"/>
      <c r="CB28" s="1999"/>
      <c r="CC28" s="1999"/>
      <c r="CD28" s="1999"/>
      <c r="CE28" s="1999"/>
      <c r="CF28" s="1999"/>
      <c r="CG28" s="1999"/>
      <c r="CH28" s="1999"/>
      <c r="CI28" s="1999"/>
      <c r="CJ28" s="1999"/>
      <c r="CK28" s="1999"/>
      <c r="CL28" s="1999"/>
      <c r="CM28" s="1999"/>
      <c r="CN28" s="1999"/>
      <c r="CO28" s="1999"/>
      <c r="CP28" s="1999"/>
      <c r="CQ28" s="1999"/>
      <c r="CR28" s="1999"/>
      <c r="CS28" s="1999"/>
      <c r="CT28" s="1999"/>
      <c r="CU28" s="1999"/>
      <c r="CV28" s="1999"/>
      <c r="CW28" s="1999"/>
      <c r="CX28" s="1999"/>
      <c r="CY28" s="1999"/>
      <c r="CZ28" s="1999"/>
      <c r="DA28" s="1999"/>
      <c r="DB28" s="1999"/>
      <c r="DC28" s="1999"/>
      <c r="DD28" s="1999"/>
      <c r="DE28" s="1999"/>
      <c r="DF28" s="1999"/>
      <c r="DG28" s="1999"/>
      <c r="DH28" s="1999"/>
      <c r="DI28" s="1999"/>
      <c r="DJ28" s="1999"/>
      <c r="DK28" s="1999"/>
      <c r="DL28" s="1999"/>
      <c r="DM28" s="1999"/>
      <c r="DN28" s="1999"/>
      <c r="DO28" s="1999"/>
      <c r="DP28" s="1999"/>
      <c r="DQ28" s="1999"/>
      <c r="DR28" s="1999"/>
      <c r="DS28" s="1999"/>
    </row>
    <row r="29" s="1998" customFormat="1" ht="13.5" customHeight="1" spans="1:123">
      <c r="A29" s="2020" t="s">
        <v>1204</v>
      </c>
      <c r="B29" s="2055" t="s">
        <v>1253</v>
      </c>
      <c r="C29" s="2046">
        <f>ROUND(C21*F27*'数据-取费表'!B23/'数据-取费表'!B22,4)</f>
        <v>0.0015</v>
      </c>
      <c r="D29" s="2042"/>
      <c r="E29" s="2043"/>
      <c r="F29" s="2038"/>
      <c r="G29" s="2054"/>
      <c r="H29" s="1999"/>
      <c r="I29" s="1999"/>
      <c r="J29" s="1999"/>
      <c r="K29" s="1999"/>
      <c r="L29" s="1999"/>
      <c r="M29" s="1999"/>
      <c r="N29" s="1999"/>
      <c r="O29" s="1999"/>
      <c r="P29" s="1999"/>
      <c r="Q29" s="1999"/>
      <c r="R29" s="1999"/>
      <c r="S29" s="1999"/>
      <c r="T29" s="1999"/>
      <c r="U29" s="1999"/>
      <c r="V29" s="1999"/>
      <c r="W29" s="1999"/>
      <c r="X29" s="1999"/>
      <c r="Y29" s="1999"/>
      <c r="Z29" s="1999"/>
      <c r="AA29" s="1999"/>
      <c r="AB29" s="1999"/>
      <c r="AC29" s="1999"/>
      <c r="AD29" s="1999"/>
      <c r="AE29" s="1999"/>
      <c r="AF29" s="1999"/>
      <c r="AG29" s="1999"/>
      <c r="AH29" s="1999"/>
      <c r="AI29" s="1999"/>
      <c r="AJ29" s="1999"/>
      <c r="AK29" s="1999"/>
      <c r="AL29" s="1999"/>
      <c r="AM29" s="1999"/>
      <c r="AN29" s="1999"/>
      <c r="AO29" s="1999"/>
      <c r="AP29" s="1999"/>
      <c r="AQ29" s="1999"/>
      <c r="AR29" s="1999"/>
      <c r="AS29" s="1999"/>
      <c r="AT29" s="1999"/>
      <c r="AU29" s="1999"/>
      <c r="AV29" s="1999"/>
      <c r="AW29" s="1999"/>
      <c r="AX29" s="1999"/>
      <c r="AY29" s="1999"/>
      <c r="AZ29" s="1999"/>
      <c r="BA29" s="1999"/>
      <c r="BB29" s="1999"/>
      <c r="BC29" s="1999"/>
      <c r="BD29" s="1999"/>
      <c r="BE29" s="1999"/>
      <c r="BF29" s="1999"/>
      <c r="BG29" s="1999"/>
      <c r="BH29" s="1999"/>
      <c r="BI29" s="1999"/>
      <c r="BJ29" s="1999"/>
      <c r="BK29" s="1999"/>
      <c r="BL29" s="1999"/>
      <c r="BM29" s="1999"/>
      <c r="BN29" s="1999"/>
      <c r="BO29" s="1999"/>
      <c r="BP29" s="1999"/>
      <c r="BQ29" s="1999"/>
      <c r="BR29" s="1999"/>
      <c r="BS29" s="1999"/>
      <c r="BT29" s="1999"/>
      <c r="BU29" s="1999"/>
      <c r="BV29" s="1999"/>
      <c r="BW29" s="1999"/>
      <c r="BX29" s="1999"/>
      <c r="BY29" s="1999"/>
      <c r="BZ29" s="1999"/>
      <c r="CA29" s="1999"/>
      <c r="CB29" s="1999"/>
      <c r="CC29" s="1999"/>
      <c r="CD29" s="1999"/>
      <c r="CE29" s="1999"/>
      <c r="CF29" s="1999"/>
      <c r="CG29" s="1999"/>
      <c r="CH29" s="1999"/>
      <c r="CI29" s="1999"/>
      <c r="CJ29" s="1999"/>
      <c r="CK29" s="1999"/>
      <c r="CL29" s="1999"/>
      <c r="CM29" s="1999"/>
      <c r="CN29" s="1999"/>
      <c r="CO29" s="1999"/>
      <c r="CP29" s="1999"/>
      <c r="CQ29" s="1999"/>
      <c r="CR29" s="1999"/>
      <c r="CS29" s="1999"/>
      <c r="CT29" s="1999"/>
      <c r="CU29" s="1999"/>
      <c r="CV29" s="1999"/>
      <c r="CW29" s="1999"/>
      <c r="CX29" s="1999"/>
      <c r="CY29" s="1999"/>
      <c r="CZ29" s="1999"/>
      <c r="DA29" s="1999"/>
      <c r="DB29" s="1999"/>
      <c r="DC29" s="1999"/>
      <c r="DD29" s="1999"/>
      <c r="DE29" s="1999"/>
      <c r="DF29" s="1999"/>
      <c r="DG29" s="1999"/>
      <c r="DH29" s="1999"/>
      <c r="DI29" s="1999"/>
      <c r="DJ29" s="1999"/>
      <c r="DK29" s="1999"/>
      <c r="DL29" s="1999"/>
      <c r="DM29" s="1999"/>
      <c r="DN29" s="1999"/>
      <c r="DO29" s="1999"/>
      <c r="DP29" s="1999"/>
      <c r="DQ29" s="1999"/>
      <c r="DR29" s="1999"/>
      <c r="DS29" s="1999"/>
    </row>
    <row r="30" s="1998" customFormat="1" ht="13.5" customHeight="1" spans="1:123">
      <c r="A30" s="2052" t="s">
        <v>1254</v>
      </c>
      <c r="B30" s="2016" t="s">
        <v>1255</v>
      </c>
      <c r="C30" s="2042">
        <f>ROUND(F30/(1+'数据-取费表'!F30),4)</f>
        <v>0.0533</v>
      </c>
      <c r="D30" s="2043" t="s">
        <v>1237</v>
      </c>
      <c r="E30" s="2049"/>
      <c r="F30" s="2040">
        <f>'数据-取费表'!E29</f>
        <v>0.056</v>
      </c>
      <c r="G30" s="2041" t="s">
        <v>1256</v>
      </c>
      <c r="H30" s="1999"/>
      <c r="I30" s="1999"/>
      <c r="J30" s="1999"/>
      <c r="K30" s="1999"/>
      <c r="L30" s="1999"/>
      <c r="M30" s="1999"/>
      <c r="N30" s="1999"/>
      <c r="O30" s="1999"/>
      <c r="P30" s="1999"/>
      <c r="Q30" s="1999"/>
      <c r="R30" s="1999"/>
      <c r="S30" s="1999"/>
      <c r="T30" s="1999"/>
      <c r="U30" s="1999"/>
      <c r="V30" s="1999"/>
      <c r="W30" s="1999"/>
      <c r="X30" s="1999"/>
      <c r="Y30" s="1999"/>
      <c r="Z30" s="1999"/>
      <c r="AA30" s="1999"/>
      <c r="AB30" s="1999"/>
      <c r="AC30" s="1999"/>
      <c r="AD30" s="1999"/>
      <c r="AE30" s="1999"/>
      <c r="AF30" s="1999"/>
      <c r="AG30" s="1999"/>
      <c r="AH30" s="1999"/>
      <c r="AI30" s="1999"/>
      <c r="AJ30" s="1999"/>
      <c r="AK30" s="1999"/>
      <c r="AL30" s="1999"/>
      <c r="AM30" s="1999"/>
      <c r="AN30" s="1999"/>
      <c r="AO30" s="1999"/>
      <c r="AP30" s="1999"/>
      <c r="AQ30" s="1999"/>
      <c r="AR30" s="1999"/>
      <c r="AS30" s="1999"/>
      <c r="AT30" s="1999"/>
      <c r="AU30" s="1999"/>
      <c r="AV30" s="1999"/>
      <c r="AW30" s="1999"/>
      <c r="AX30" s="1999"/>
      <c r="AY30" s="1999"/>
      <c r="AZ30" s="1999"/>
      <c r="BA30" s="1999"/>
      <c r="BB30" s="1999"/>
      <c r="BC30" s="1999"/>
      <c r="BD30" s="1999"/>
      <c r="BE30" s="1999"/>
      <c r="BF30" s="1999"/>
      <c r="BG30" s="1999"/>
      <c r="BH30" s="1999"/>
      <c r="BI30" s="1999"/>
      <c r="BJ30" s="1999"/>
      <c r="BK30" s="1999"/>
      <c r="BL30" s="1999"/>
      <c r="BM30" s="1999"/>
      <c r="BN30" s="1999"/>
      <c r="BO30" s="1999"/>
      <c r="BP30" s="1999"/>
      <c r="BQ30" s="1999"/>
      <c r="BR30" s="1999"/>
      <c r="BS30" s="1999"/>
      <c r="BT30" s="1999"/>
      <c r="BU30" s="1999"/>
      <c r="BV30" s="1999"/>
      <c r="BW30" s="1999"/>
      <c r="BX30" s="1999"/>
      <c r="BY30" s="1999"/>
      <c r="BZ30" s="1999"/>
      <c r="CA30" s="1999"/>
      <c r="CB30" s="1999"/>
      <c r="CC30" s="1999"/>
      <c r="CD30" s="1999"/>
      <c r="CE30" s="1999"/>
      <c r="CF30" s="1999"/>
      <c r="CG30" s="1999"/>
      <c r="CH30" s="1999"/>
      <c r="CI30" s="1999"/>
      <c r="CJ30" s="1999"/>
      <c r="CK30" s="1999"/>
      <c r="CL30" s="1999"/>
      <c r="CM30" s="1999"/>
      <c r="CN30" s="1999"/>
      <c r="CO30" s="1999"/>
      <c r="CP30" s="1999"/>
      <c r="CQ30" s="1999"/>
      <c r="CR30" s="1999"/>
      <c r="CS30" s="1999"/>
      <c r="CT30" s="1999"/>
      <c r="CU30" s="1999"/>
      <c r="CV30" s="1999"/>
      <c r="CW30" s="1999"/>
      <c r="CX30" s="1999"/>
      <c r="CY30" s="1999"/>
      <c r="CZ30" s="1999"/>
      <c r="DA30" s="1999"/>
      <c r="DB30" s="1999"/>
      <c r="DC30" s="1999"/>
      <c r="DD30" s="1999"/>
      <c r="DE30" s="1999"/>
      <c r="DF30" s="1999"/>
      <c r="DG30" s="1999"/>
      <c r="DH30" s="1999"/>
      <c r="DI30" s="1999"/>
      <c r="DJ30" s="1999"/>
      <c r="DK30" s="1999"/>
      <c r="DL30" s="1999"/>
      <c r="DM30" s="1999"/>
      <c r="DN30" s="1999"/>
      <c r="DO30" s="1999"/>
      <c r="DP30" s="1999"/>
      <c r="DQ30" s="1999"/>
      <c r="DR30" s="1999"/>
      <c r="DS30" s="1999"/>
    </row>
    <row r="31" ht="16.5" customHeight="1" spans="1:7">
      <c r="A31" s="2015">
        <v>1</v>
      </c>
      <c r="B31" s="2016" t="s">
        <v>1257</v>
      </c>
      <c r="C31" s="2017">
        <f ca="1">ROUND((C5+C19+C20+C22+C27)/(1-C21-D22-D27-C30),0)</f>
        <v>489955</v>
      </c>
      <c r="D31" s="2037"/>
      <c r="E31" s="2017"/>
      <c r="F31" s="2056"/>
      <c r="G31" s="2041" t="s">
        <v>1258</v>
      </c>
    </row>
    <row r="32" s="1997" customFormat="1" ht="15.75" spans="1:123">
      <c r="A32" s="2057" t="s">
        <v>1259</v>
      </c>
      <c r="B32" s="2058"/>
      <c r="C32" s="2059"/>
      <c r="D32" s="2059"/>
      <c r="E32" s="2059"/>
      <c r="F32" s="2059"/>
      <c r="G32" s="2060"/>
      <c r="H32" s="2014"/>
      <c r="I32" s="2014"/>
      <c r="J32" s="2014"/>
      <c r="K32" s="2014"/>
      <c r="L32" s="2014"/>
      <c r="M32" s="2014"/>
      <c r="N32" s="2014"/>
      <c r="O32" s="2014"/>
      <c r="P32" s="2014"/>
      <c r="Q32" s="2014"/>
      <c r="R32" s="2014"/>
      <c r="S32" s="2014"/>
      <c r="T32" s="2014"/>
      <c r="U32" s="2014"/>
      <c r="V32" s="2014"/>
      <c r="W32" s="2014"/>
      <c r="X32" s="2014"/>
      <c r="Y32" s="2014"/>
      <c r="Z32" s="2014"/>
      <c r="AA32" s="2014"/>
      <c r="AB32" s="2014"/>
      <c r="AC32" s="2014"/>
      <c r="AD32" s="2014"/>
      <c r="AE32" s="2014"/>
      <c r="AF32" s="2014"/>
      <c r="AG32" s="2014"/>
      <c r="AH32" s="2014"/>
      <c r="AI32" s="2014"/>
      <c r="AJ32" s="2014"/>
      <c r="AK32" s="2014"/>
      <c r="AL32" s="2014"/>
      <c r="AM32" s="2014"/>
      <c r="AN32" s="2014"/>
      <c r="AO32" s="2014"/>
      <c r="AP32" s="2014"/>
      <c r="AQ32" s="2014"/>
      <c r="AR32" s="2014"/>
      <c r="AS32" s="2014"/>
      <c r="AT32" s="2014"/>
      <c r="AU32" s="2014"/>
      <c r="AV32" s="2014"/>
      <c r="AW32" s="2014"/>
      <c r="AX32" s="2014"/>
      <c r="AY32" s="2014"/>
      <c r="AZ32" s="2014"/>
      <c r="BA32" s="2014"/>
      <c r="BB32" s="2014"/>
      <c r="BC32" s="2014"/>
      <c r="BD32" s="2014"/>
      <c r="BE32" s="2014"/>
      <c r="BF32" s="2014"/>
      <c r="BG32" s="2014"/>
      <c r="BH32" s="2014"/>
      <c r="BI32" s="2014"/>
      <c r="BJ32" s="2014"/>
      <c r="BK32" s="2014"/>
      <c r="BL32" s="2014"/>
      <c r="BM32" s="2014"/>
      <c r="BN32" s="2014"/>
      <c r="BO32" s="2014"/>
      <c r="BP32" s="2014"/>
      <c r="BQ32" s="2014"/>
      <c r="BR32" s="2014"/>
      <c r="BS32" s="2014"/>
      <c r="BT32" s="2014"/>
      <c r="BU32" s="2014"/>
      <c r="BV32" s="2014"/>
      <c r="BW32" s="2014"/>
      <c r="BX32" s="2014"/>
      <c r="BY32" s="2014"/>
      <c r="BZ32" s="2014"/>
      <c r="CA32" s="2014"/>
      <c r="CB32" s="2014"/>
      <c r="CC32" s="2014"/>
      <c r="CD32" s="2014"/>
      <c r="CE32" s="2014"/>
      <c r="CF32" s="2014"/>
      <c r="CG32" s="2014"/>
      <c r="CH32" s="2014"/>
      <c r="CI32" s="2014"/>
      <c r="CJ32" s="2014"/>
      <c r="CK32" s="2014"/>
      <c r="CL32" s="2014"/>
      <c r="CM32" s="2014"/>
      <c r="CN32" s="2014"/>
      <c r="CO32" s="2014"/>
      <c r="CP32" s="2014"/>
      <c r="CQ32" s="2014"/>
      <c r="CR32" s="2014"/>
      <c r="CS32" s="2014"/>
      <c r="CT32" s="2014"/>
      <c r="CU32" s="2014"/>
      <c r="CV32" s="2014"/>
      <c r="CW32" s="2014"/>
      <c r="CX32" s="2014"/>
      <c r="CY32" s="2014"/>
      <c r="CZ32" s="2014"/>
      <c r="DA32" s="2014"/>
      <c r="DB32" s="2014"/>
      <c r="DC32" s="2014"/>
      <c r="DD32" s="2014"/>
      <c r="DE32" s="2014"/>
      <c r="DF32" s="2014"/>
      <c r="DG32" s="2014"/>
      <c r="DH32" s="2014"/>
      <c r="DI32" s="2014"/>
      <c r="DJ32" s="2014"/>
      <c r="DK32" s="2014"/>
      <c r="DL32" s="2014"/>
      <c r="DM32" s="2014"/>
      <c r="DN32" s="2014"/>
      <c r="DO32" s="2014"/>
      <c r="DP32" s="2014"/>
      <c r="DQ32" s="2014"/>
      <c r="DR32" s="2014"/>
      <c r="DS32" s="2014"/>
    </row>
    <row r="33" s="1998" customFormat="1" ht="13.5" customHeight="1" spans="1:123">
      <c r="A33" s="2015" t="s">
        <v>1198</v>
      </c>
      <c r="B33" s="2016" t="s">
        <v>1260</v>
      </c>
      <c r="C33" s="2044">
        <f>SUM(C34:C38)</f>
        <v>670120</v>
      </c>
      <c r="D33" s="2039"/>
      <c r="E33" s="2018"/>
      <c r="F33" s="2049"/>
      <c r="G33" s="2041"/>
      <c r="H33" s="1999"/>
      <c r="I33" s="1999"/>
      <c r="J33" s="1999"/>
      <c r="K33" s="1999"/>
      <c r="L33" s="1999"/>
      <c r="M33" s="1999"/>
      <c r="N33" s="1999"/>
      <c r="O33" s="1999"/>
      <c r="P33" s="1999"/>
      <c r="Q33" s="1999"/>
      <c r="R33" s="1999"/>
      <c r="S33" s="1999"/>
      <c r="T33" s="1999"/>
      <c r="U33" s="1999"/>
      <c r="V33" s="1999"/>
      <c r="W33" s="1999"/>
      <c r="X33" s="1999"/>
      <c r="Y33" s="1999"/>
      <c r="Z33" s="1999"/>
      <c r="AA33" s="1999"/>
      <c r="AB33" s="1999"/>
      <c r="AC33" s="1999"/>
      <c r="AD33" s="1999"/>
      <c r="AE33" s="1999"/>
      <c r="AF33" s="1999"/>
      <c r="AG33" s="1999"/>
      <c r="AH33" s="1999"/>
      <c r="AI33" s="1999"/>
      <c r="AJ33" s="1999"/>
      <c r="AK33" s="1999"/>
      <c r="AL33" s="1999"/>
      <c r="AM33" s="1999"/>
      <c r="AN33" s="1999"/>
      <c r="AO33" s="1999"/>
      <c r="AP33" s="1999"/>
      <c r="AQ33" s="1999"/>
      <c r="AR33" s="1999"/>
      <c r="AS33" s="1999"/>
      <c r="AT33" s="1999"/>
      <c r="AU33" s="1999"/>
      <c r="AV33" s="1999"/>
      <c r="AW33" s="1999"/>
      <c r="AX33" s="1999"/>
      <c r="AY33" s="1999"/>
      <c r="AZ33" s="1999"/>
      <c r="BA33" s="1999"/>
      <c r="BB33" s="1999"/>
      <c r="BC33" s="1999"/>
      <c r="BD33" s="1999"/>
      <c r="BE33" s="1999"/>
      <c r="BF33" s="1999"/>
      <c r="BG33" s="1999"/>
      <c r="BH33" s="1999"/>
      <c r="BI33" s="1999"/>
      <c r="BJ33" s="1999"/>
      <c r="BK33" s="1999"/>
      <c r="BL33" s="1999"/>
      <c r="BM33" s="1999"/>
      <c r="BN33" s="1999"/>
      <c r="BO33" s="1999"/>
      <c r="BP33" s="1999"/>
      <c r="BQ33" s="1999"/>
      <c r="BR33" s="1999"/>
      <c r="BS33" s="1999"/>
      <c r="BT33" s="1999"/>
      <c r="BU33" s="1999"/>
      <c r="BV33" s="1999"/>
      <c r="BW33" s="1999"/>
      <c r="BX33" s="1999"/>
      <c r="BY33" s="1999"/>
      <c r="BZ33" s="1999"/>
      <c r="CA33" s="1999"/>
      <c r="CB33" s="1999"/>
      <c r="CC33" s="1999"/>
      <c r="CD33" s="1999"/>
      <c r="CE33" s="1999"/>
      <c r="CF33" s="1999"/>
      <c r="CG33" s="1999"/>
      <c r="CH33" s="1999"/>
      <c r="CI33" s="1999"/>
      <c r="CJ33" s="1999"/>
      <c r="CK33" s="1999"/>
      <c r="CL33" s="1999"/>
      <c r="CM33" s="1999"/>
      <c r="CN33" s="1999"/>
      <c r="CO33" s="1999"/>
      <c r="CP33" s="1999"/>
      <c r="CQ33" s="1999"/>
      <c r="CR33" s="1999"/>
      <c r="CS33" s="1999"/>
      <c r="CT33" s="1999"/>
      <c r="CU33" s="1999"/>
      <c r="CV33" s="1999"/>
      <c r="CW33" s="1999"/>
      <c r="CX33" s="1999"/>
      <c r="CY33" s="1999"/>
      <c r="CZ33" s="1999"/>
      <c r="DA33" s="1999"/>
      <c r="DB33" s="1999"/>
      <c r="DC33" s="1999"/>
      <c r="DD33" s="1999"/>
      <c r="DE33" s="1999"/>
      <c r="DF33" s="1999"/>
      <c r="DG33" s="1999"/>
      <c r="DH33" s="1999"/>
      <c r="DI33" s="1999"/>
      <c r="DJ33" s="1999"/>
      <c r="DK33" s="1999"/>
      <c r="DL33" s="1999"/>
      <c r="DM33" s="1999"/>
      <c r="DN33" s="1999"/>
      <c r="DO33" s="1999"/>
      <c r="DP33" s="1999"/>
      <c r="DQ33" s="1999"/>
      <c r="DR33" s="1999"/>
      <c r="DS33" s="1999"/>
    </row>
    <row r="34" s="2000" customFormat="1" ht="13.5" customHeight="1" spans="1:7">
      <c r="A34" s="2020" t="s">
        <v>1202</v>
      </c>
      <c r="B34" s="2021" t="s">
        <v>1261</v>
      </c>
      <c r="C34" s="2026">
        <f>IF(B1="仅计算典型户型",'数据-取费表'!F18,'数据-取费表'!E18)</f>
        <v>576625</v>
      </c>
      <c r="D34" s="2023"/>
      <c r="E34" s="2026"/>
      <c r="F34" s="2061" t="str">
        <f>IF('数据-取费表'!B26=0,"",'数据-取费表'!E20)</f>
        <v/>
      </c>
      <c r="G34" s="2025"/>
    </row>
    <row r="35" ht="13.5" customHeight="1" spans="1:7">
      <c r="A35" s="2020" t="s">
        <v>1204</v>
      </c>
      <c r="B35" s="2021" t="s">
        <v>1262</v>
      </c>
      <c r="C35" s="2026">
        <f>ROUND(C34*F35,0)</f>
        <v>23065</v>
      </c>
      <c r="D35" s="2026"/>
      <c r="E35" s="2026"/>
      <c r="F35" s="2062">
        <f>'数据-取费表'!E21</f>
        <v>0.04</v>
      </c>
      <c r="G35" s="2025" t="s">
        <v>1263</v>
      </c>
    </row>
    <row r="36" ht="24" spans="1:7">
      <c r="A36" s="2020" t="s">
        <v>1206</v>
      </c>
      <c r="B36" s="2021" t="s">
        <v>1264</v>
      </c>
      <c r="C36" s="2026">
        <f>ROUND(IF('数据-取费表'!B10="住宅",C34*F36,0),0)</f>
        <v>28831</v>
      </c>
      <c r="D36" s="2026"/>
      <c r="E36" s="2026"/>
      <c r="F36" s="2062">
        <f>'数据-取费表'!E22</f>
        <v>0.05</v>
      </c>
      <c r="G36" s="2063" t="s">
        <v>1265</v>
      </c>
    </row>
    <row r="37" s="2000" customFormat="1" ht="13.5" customHeight="1" spans="1:7">
      <c r="A37" s="2020" t="s">
        <v>1247</v>
      </c>
      <c r="B37" s="2021" t="s">
        <v>1266</v>
      </c>
      <c r="C37" s="2026">
        <f>ROUND(E37*D37,0)</f>
        <v>32950</v>
      </c>
      <c r="D37" s="2023">
        <f>IF(B1="仅计算典型户型",'数据-取费表'!E5,'数据-取费表'!B5)</f>
        <v>164.75</v>
      </c>
      <c r="E37" s="2026">
        <f>'数据-取费表'!E23</f>
        <v>200</v>
      </c>
      <c r="F37" s="2062"/>
      <c r="G37" s="2064" t="s">
        <v>1267</v>
      </c>
    </row>
    <row r="38" ht="13.5" customHeight="1" spans="1:7">
      <c r="A38" s="2020" t="s">
        <v>1268</v>
      </c>
      <c r="B38" s="2021" t="s">
        <v>761</v>
      </c>
      <c r="C38" s="2026">
        <f>ROUND(C34*F38,0)</f>
        <v>8649</v>
      </c>
      <c r="D38" s="2026"/>
      <c r="E38" s="2026"/>
      <c r="F38" s="2062">
        <f>'数据-取费表'!E24</f>
        <v>0.015</v>
      </c>
      <c r="G38" s="2025" t="s">
        <v>1263</v>
      </c>
    </row>
    <row r="39" s="1998" customFormat="1" ht="13.5" customHeight="1" spans="1:123">
      <c r="A39" s="2015" t="s">
        <v>1229</v>
      </c>
      <c r="B39" s="2016" t="s">
        <v>1233</v>
      </c>
      <c r="C39" s="2039">
        <f>ROUND(C33*F20,0)</f>
        <v>6701</v>
      </c>
      <c r="D39" s="2039"/>
      <c r="E39" s="2039"/>
      <c r="F39" s="2065">
        <f>F20</f>
        <v>0.01</v>
      </c>
      <c r="G39" s="2041" t="s">
        <v>1269</v>
      </c>
      <c r="H39" s="1999"/>
      <c r="I39" s="1999"/>
      <c r="J39" s="1999"/>
      <c r="K39" s="1999"/>
      <c r="L39" s="1999"/>
      <c r="M39" s="1999"/>
      <c r="N39" s="1999"/>
      <c r="O39" s="1999"/>
      <c r="P39" s="1999"/>
      <c r="Q39" s="1999"/>
      <c r="R39" s="1999"/>
      <c r="S39" s="1999"/>
      <c r="T39" s="1999"/>
      <c r="U39" s="1999"/>
      <c r="V39" s="1999"/>
      <c r="W39" s="1999"/>
      <c r="X39" s="1999"/>
      <c r="Y39" s="1999"/>
      <c r="Z39" s="1999"/>
      <c r="AA39" s="1999"/>
      <c r="AB39" s="1999"/>
      <c r="AC39" s="1999"/>
      <c r="AD39" s="1999"/>
      <c r="AE39" s="1999"/>
      <c r="AF39" s="1999"/>
      <c r="AG39" s="1999"/>
      <c r="AH39" s="1999"/>
      <c r="AI39" s="1999"/>
      <c r="AJ39" s="1999"/>
      <c r="AK39" s="1999"/>
      <c r="AL39" s="1999"/>
      <c r="AM39" s="1999"/>
      <c r="AN39" s="1999"/>
      <c r="AO39" s="1999"/>
      <c r="AP39" s="1999"/>
      <c r="AQ39" s="1999"/>
      <c r="AR39" s="1999"/>
      <c r="AS39" s="1999"/>
      <c r="AT39" s="1999"/>
      <c r="AU39" s="1999"/>
      <c r="AV39" s="1999"/>
      <c r="AW39" s="1999"/>
      <c r="AX39" s="1999"/>
      <c r="AY39" s="1999"/>
      <c r="AZ39" s="1999"/>
      <c r="BA39" s="1999"/>
      <c r="BB39" s="1999"/>
      <c r="BC39" s="1999"/>
      <c r="BD39" s="1999"/>
      <c r="BE39" s="1999"/>
      <c r="BF39" s="1999"/>
      <c r="BG39" s="1999"/>
      <c r="BH39" s="1999"/>
      <c r="BI39" s="1999"/>
      <c r="BJ39" s="1999"/>
      <c r="BK39" s="1999"/>
      <c r="BL39" s="1999"/>
      <c r="BM39" s="1999"/>
      <c r="BN39" s="1999"/>
      <c r="BO39" s="1999"/>
      <c r="BP39" s="1999"/>
      <c r="BQ39" s="1999"/>
      <c r="BR39" s="1999"/>
      <c r="BS39" s="1999"/>
      <c r="BT39" s="1999"/>
      <c r="BU39" s="1999"/>
      <c r="BV39" s="1999"/>
      <c r="BW39" s="1999"/>
      <c r="BX39" s="1999"/>
      <c r="BY39" s="1999"/>
      <c r="BZ39" s="1999"/>
      <c r="CA39" s="1999"/>
      <c r="CB39" s="1999"/>
      <c r="CC39" s="1999"/>
      <c r="CD39" s="1999"/>
      <c r="CE39" s="1999"/>
      <c r="CF39" s="1999"/>
      <c r="CG39" s="1999"/>
      <c r="CH39" s="1999"/>
      <c r="CI39" s="1999"/>
      <c r="CJ39" s="1999"/>
      <c r="CK39" s="1999"/>
      <c r="CL39" s="1999"/>
      <c r="CM39" s="1999"/>
      <c r="CN39" s="1999"/>
      <c r="CO39" s="1999"/>
      <c r="CP39" s="1999"/>
      <c r="CQ39" s="1999"/>
      <c r="CR39" s="1999"/>
      <c r="CS39" s="1999"/>
      <c r="CT39" s="1999"/>
      <c r="CU39" s="1999"/>
      <c r="CV39" s="1999"/>
      <c r="CW39" s="1999"/>
      <c r="CX39" s="1999"/>
      <c r="CY39" s="1999"/>
      <c r="CZ39" s="1999"/>
      <c r="DA39" s="1999"/>
      <c r="DB39" s="1999"/>
      <c r="DC39" s="1999"/>
      <c r="DD39" s="1999"/>
      <c r="DE39" s="1999"/>
      <c r="DF39" s="1999"/>
      <c r="DG39" s="1999"/>
      <c r="DH39" s="1999"/>
      <c r="DI39" s="1999"/>
      <c r="DJ39" s="1999"/>
      <c r="DK39" s="1999"/>
      <c r="DL39" s="1999"/>
      <c r="DM39" s="1999"/>
      <c r="DN39" s="1999"/>
      <c r="DO39" s="1999"/>
      <c r="DP39" s="1999"/>
      <c r="DQ39" s="1999"/>
      <c r="DR39" s="1999"/>
      <c r="DS39" s="1999"/>
    </row>
    <row r="40" s="1998" customFormat="1" ht="13.5" customHeight="1" spans="1:123">
      <c r="A40" s="2015" t="s">
        <v>1232</v>
      </c>
      <c r="B40" s="2016" t="s">
        <v>1236</v>
      </c>
      <c r="C40" s="2066">
        <f>F21</f>
        <v>0.01</v>
      </c>
      <c r="D40" s="2043" t="s">
        <v>1270</v>
      </c>
      <c r="E40" s="2039"/>
      <c r="F40" s="2065">
        <f>F21</f>
        <v>0.01</v>
      </c>
      <c r="G40" s="2041" t="s">
        <v>1271</v>
      </c>
      <c r="H40" s="1999"/>
      <c r="I40" s="1999"/>
      <c r="J40" s="1999"/>
      <c r="K40" s="1999"/>
      <c r="L40" s="1999"/>
      <c r="M40" s="1999"/>
      <c r="N40" s="1999"/>
      <c r="O40" s="1999"/>
      <c r="P40" s="1999"/>
      <c r="Q40" s="1999"/>
      <c r="R40" s="1999"/>
      <c r="S40" s="1999"/>
      <c r="T40" s="1999"/>
      <c r="U40" s="1999"/>
      <c r="V40" s="1999"/>
      <c r="W40" s="1999"/>
      <c r="X40" s="1999"/>
      <c r="Y40" s="1999"/>
      <c r="Z40" s="1999"/>
      <c r="AA40" s="1999"/>
      <c r="AB40" s="1999"/>
      <c r="AC40" s="1999"/>
      <c r="AD40" s="1999"/>
      <c r="AE40" s="1999"/>
      <c r="AF40" s="1999"/>
      <c r="AG40" s="1999"/>
      <c r="AH40" s="1999"/>
      <c r="AI40" s="1999"/>
      <c r="AJ40" s="1999"/>
      <c r="AK40" s="1999"/>
      <c r="AL40" s="1999"/>
      <c r="AM40" s="1999"/>
      <c r="AN40" s="1999"/>
      <c r="AO40" s="1999"/>
      <c r="AP40" s="1999"/>
      <c r="AQ40" s="1999"/>
      <c r="AR40" s="1999"/>
      <c r="AS40" s="1999"/>
      <c r="AT40" s="1999"/>
      <c r="AU40" s="1999"/>
      <c r="AV40" s="1999"/>
      <c r="AW40" s="1999"/>
      <c r="AX40" s="1999"/>
      <c r="AY40" s="1999"/>
      <c r="AZ40" s="1999"/>
      <c r="BA40" s="1999"/>
      <c r="BB40" s="1999"/>
      <c r="BC40" s="1999"/>
      <c r="BD40" s="1999"/>
      <c r="BE40" s="1999"/>
      <c r="BF40" s="1999"/>
      <c r="BG40" s="1999"/>
      <c r="BH40" s="1999"/>
      <c r="BI40" s="1999"/>
      <c r="BJ40" s="1999"/>
      <c r="BK40" s="1999"/>
      <c r="BL40" s="1999"/>
      <c r="BM40" s="1999"/>
      <c r="BN40" s="1999"/>
      <c r="BO40" s="1999"/>
      <c r="BP40" s="1999"/>
      <c r="BQ40" s="1999"/>
      <c r="BR40" s="1999"/>
      <c r="BS40" s="1999"/>
      <c r="BT40" s="1999"/>
      <c r="BU40" s="1999"/>
      <c r="BV40" s="1999"/>
      <c r="BW40" s="1999"/>
      <c r="BX40" s="1999"/>
      <c r="BY40" s="1999"/>
      <c r="BZ40" s="1999"/>
      <c r="CA40" s="1999"/>
      <c r="CB40" s="1999"/>
      <c r="CC40" s="1999"/>
      <c r="CD40" s="1999"/>
      <c r="CE40" s="1999"/>
      <c r="CF40" s="1999"/>
      <c r="CG40" s="1999"/>
      <c r="CH40" s="1999"/>
      <c r="CI40" s="1999"/>
      <c r="CJ40" s="1999"/>
      <c r="CK40" s="1999"/>
      <c r="CL40" s="1999"/>
      <c r="CM40" s="1999"/>
      <c r="CN40" s="1999"/>
      <c r="CO40" s="1999"/>
      <c r="CP40" s="1999"/>
      <c r="CQ40" s="1999"/>
      <c r="CR40" s="1999"/>
      <c r="CS40" s="1999"/>
      <c r="CT40" s="1999"/>
      <c r="CU40" s="1999"/>
      <c r="CV40" s="1999"/>
      <c r="CW40" s="1999"/>
      <c r="CX40" s="1999"/>
      <c r="CY40" s="1999"/>
      <c r="CZ40" s="1999"/>
      <c r="DA40" s="1999"/>
      <c r="DB40" s="1999"/>
      <c r="DC40" s="1999"/>
      <c r="DD40" s="1999"/>
      <c r="DE40" s="1999"/>
      <c r="DF40" s="1999"/>
      <c r="DG40" s="1999"/>
      <c r="DH40" s="1999"/>
      <c r="DI40" s="1999"/>
      <c r="DJ40" s="1999"/>
      <c r="DK40" s="1999"/>
      <c r="DL40" s="1999"/>
      <c r="DM40" s="1999"/>
      <c r="DN40" s="1999"/>
      <c r="DO40" s="1999"/>
      <c r="DP40" s="1999"/>
      <c r="DQ40" s="1999"/>
      <c r="DR40" s="1999"/>
      <c r="DS40" s="1999"/>
    </row>
    <row r="41" s="1998" customFormat="1" ht="13.5" customHeight="1" spans="1:123">
      <c r="A41" s="2015" t="s">
        <v>1235</v>
      </c>
      <c r="B41" s="2016" t="s">
        <v>1240</v>
      </c>
      <c r="C41" s="2039">
        <f ca="1">ROUND(SUM(C42:C43),0)</f>
        <v>29441</v>
      </c>
      <c r="D41" s="2042">
        <f ca="1">C44</f>
        <v>0.0004</v>
      </c>
      <c r="E41" s="2043" t="s">
        <v>1270</v>
      </c>
      <c r="F41" s="2065">
        <f ca="1">F22</f>
        <v>0.0435</v>
      </c>
      <c r="G41" s="2041" t="str">
        <f>IF('数据-取费表'!B24&lt;=1,"单利计息。","复利计息。")</f>
        <v>复利计息。</v>
      </c>
      <c r="H41" s="1999"/>
      <c r="I41" s="1999"/>
      <c r="J41" s="1999"/>
      <c r="K41" s="1999"/>
      <c r="L41" s="1999"/>
      <c r="M41" s="1999"/>
      <c r="N41" s="1999"/>
      <c r="O41" s="1999"/>
      <c r="P41" s="1999"/>
      <c r="Q41" s="1999"/>
      <c r="R41" s="1999"/>
      <c r="S41" s="1999"/>
      <c r="T41" s="1999"/>
      <c r="U41" s="1999"/>
      <c r="V41" s="1999"/>
      <c r="W41" s="1999"/>
      <c r="X41" s="1999"/>
      <c r="Y41" s="1999"/>
      <c r="Z41" s="1999"/>
      <c r="AA41" s="1999"/>
      <c r="AB41" s="1999"/>
      <c r="AC41" s="1999"/>
      <c r="AD41" s="1999"/>
      <c r="AE41" s="1999"/>
      <c r="AF41" s="1999"/>
      <c r="AG41" s="1999"/>
      <c r="AH41" s="1999"/>
      <c r="AI41" s="1999"/>
      <c r="AJ41" s="1999"/>
      <c r="AK41" s="1999"/>
      <c r="AL41" s="1999"/>
      <c r="AM41" s="1999"/>
      <c r="AN41" s="1999"/>
      <c r="AO41" s="1999"/>
      <c r="AP41" s="1999"/>
      <c r="AQ41" s="1999"/>
      <c r="AR41" s="1999"/>
      <c r="AS41" s="1999"/>
      <c r="AT41" s="1999"/>
      <c r="AU41" s="1999"/>
      <c r="AV41" s="1999"/>
      <c r="AW41" s="1999"/>
      <c r="AX41" s="1999"/>
      <c r="AY41" s="1999"/>
      <c r="AZ41" s="1999"/>
      <c r="BA41" s="1999"/>
      <c r="BB41" s="1999"/>
      <c r="BC41" s="1999"/>
      <c r="BD41" s="1999"/>
      <c r="BE41" s="1999"/>
      <c r="BF41" s="1999"/>
      <c r="BG41" s="1999"/>
      <c r="BH41" s="1999"/>
      <c r="BI41" s="1999"/>
      <c r="BJ41" s="1999"/>
      <c r="BK41" s="1999"/>
      <c r="BL41" s="1999"/>
      <c r="BM41" s="1999"/>
      <c r="BN41" s="1999"/>
      <c r="BO41" s="1999"/>
      <c r="BP41" s="1999"/>
      <c r="BQ41" s="1999"/>
      <c r="BR41" s="1999"/>
      <c r="BS41" s="1999"/>
      <c r="BT41" s="1999"/>
      <c r="BU41" s="1999"/>
      <c r="BV41" s="1999"/>
      <c r="BW41" s="1999"/>
      <c r="BX41" s="1999"/>
      <c r="BY41" s="1999"/>
      <c r="BZ41" s="1999"/>
      <c r="CA41" s="1999"/>
      <c r="CB41" s="1999"/>
      <c r="CC41" s="1999"/>
      <c r="CD41" s="1999"/>
      <c r="CE41" s="1999"/>
      <c r="CF41" s="1999"/>
      <c r="CG41" s="1999"/>
      <c r="CH41" s="1999"/>
      <c r="CI41" s="1999"/>
      <c r="CJ41" s="1999"/>
      <c r="CK41" s="1999"/>
      <c r="CL41" s="1999"/>
      <c r="CM41" s="1999"/>
      <c r="CN41" s="1999"/>
      <c r="CO41" s="1999"/>
      <c r="CP41" s="1999"/>
      <c r="CQ41" s="1999"/>
      <c r="CR41" s="1999"/>
      <c r="CS41" s="1999"/>
      <c r="CT41" s="1999"/>
      <c r="CU41" s="1999"/>
      <c r="CV41" s="1999"/>
      <c r="CW41" s="1999"/>
      <c r="CX41" s="1999"/>
      <c r="CY41" s="1999"/>
      <c r="CZ41" s="1999"/>
      <c r="DA41" s="1999"/>
      <c r="DB41" s="1999"/>
      <c r="DC41" s="1999"/>
      <c r="DD41" s="1999"/>
      <c r="DE41" s="1999"/>
      <c r="DF41" s="1999"/>
      <c r="DG41" s="1999"/>
      <c r="DH41" s="1999"/>
      <c r="DI41" s="1999"/>
      <c r="DJ41" s="1999"/>
      <c r="DK41" s="1999"/>
      <c r="DL41" s="1999"/>
      <c r="DM41" s="1999"/>
      <c r="DN41" s="1999"/>
      <c r="DO41" s="1999"/>
      <c r="DP41" s="1999"/>
      <c r="DQ41" s="1999"/>
      <c r="DR41" s="1999"/>
      <c r="DS41" s="1999"/>
    </row>
    <row r="42" ht="13.5" customHeight="1" spans="1:7">
      <c r="A42" s="2020" t="s">
        <v>1202</v>
      </c>
      <c r="B42" s="2021" t="s">
        <v>1241</v>
      </c>
      <c r="C42" s="2046">
        <f ca="1">ROUND(IF('数据-取费表'!B24&lt;=1,C33*F22*'数据-取费表'!B23/2,C33*(POWER((1+F22),'数据-取费表'!B23/2)-1)),0)</f>
        <v>29150</v>
      </c>
      <c r="D42" s="2046"/>
      <c r="E42" s="2046"/>
      <c r="F42" s="2047"/>
      <c r="G42" s="2067" t="s">
        <v>1272</v>
      </c>
    </row>
    <row r="43" ht="13.5" customHeight="1" spans="1:7">
      <c r="A43" s="2020" t="s">
        <v>1204</v>
      </c>
      <c r="B43" s="2021" t="s">
        <v>1243</v>
      </c>
      <c r="C43" s="2046">
        <f ca="1">ROUND(IF('数据-取费表'!B24&lt;=1,C39*F22*'数据-取费表'!B23/2,C39*(POWER((1+F22),'数据-取费表'!B23/2)-1)),0)</f>
        <v>291</v>
      </c>
      <c r="D43" s="2046"/>
      <c r="E43" s="2046"/>
      <c r="F43" s="2047"/>
      <c r="G43" s="2068"/>
    </row>
    <row r="44" ht="13.5" customHeight="1" spans="1:7">
      <c r="A44" s="2020" t="s">
        <v>1206</v>
      </c>
      <c r="B44" s="2021" t="s">
        <v>1245</v>
      </c>
      <c r="C44" s="2046">
        <f ca="1">ROUND(IF('数据-取费表'!B24&lt;=1,C40*F22*'数据-取费表'!B23/2,C40*(POWER((1+F22),'数据-取费表'!B23/2)-1)),4)</f>
        <v>0.0004</v>
      </c>
      <c r="D44" s="2046"/>
      <c r="E44" s="2046"/>
      <c r="F44" s="2047"/>
      <c r="G44" s="635"/>
    </row>
    <row r="45" s="1998" customFormat="1" ht="13.5" customHeight="1" spans="1:123">
      <c r="A45" s="2015" t="s">
        <v>1239</v>
      </c>
      <c r="B45" s="2053" t="s">
        <v>1250</v>
      </c>
      <c r="C45" s="2017">
        <f>C46</f>
        <v>101523</v>
      </c>
      <c r="D45" s="2042">
        <f>C47</f>
        <v>0.0015</v>
      </c>
      <c r="E45" s="2043" t="s">
        <v>1270</v>
      </c>
      <c r="F45" s="2069">
        <f>F27</f>
        <v>0.15</v>
      </c>
      <c r="G45" s="2054" t="s">
        <v>1273</v>
      </c>
      <c r="H45" s="1999"/>
      <c r="I45" s="1999"/>
      <c r="J45" s="1999"/>
      <c r="K45" s="1999"/>
      <c r="L45" s="1999"/>
      <c r="M45" s="1999"/>
      <c r="N45" s="1999"/>
      <c r="O45" s="1999"/>
      <c r="P45" s="1999"/>
      <c r="Q45" s="1999"/>
      <c r="R45" s="1999"/>
      <c r="S45" s="1999"/>
      <c r="T45" s="1999"/>
      <c r="U45" s="1999"/>
      <c r="V45" s="1999"/>
      <c r="W45" s="1999"/>
      <c r="X45" s="1999"/>
      <c r="Y45" s="1999"/>
      <c r="Z45" s="1999"/>
      <c r="AA45" s="1999"/>
      <c r="AB45" s="1999"/>
      <c r="AC45" s="1999"/>
      <c r="AD45" s="1999"/>
      <c r="AE45" s="1999"/>
      <c r="AF45" s="1999"/>
      <c r="AG45" s="1999"/>
      <c r="AH45" s="1999"/>
      <c r="AI45" s="1999"/>
      <c r="AJ45" s="1999"/>
      <c r="AK45" s="1999"/>
      <c r="AL45" s="1999"/>
      <c r="AM45" s="1999"/>
      <c r="AN45" s="1999"/>
      <c r="AO45" s="1999"/>
      <c r="AP45" s="1999"/>
      <c r="AQ45" s="1999"/>
      <c r="AR45" s="1999"/>
      <c r="AS45" s="1999"/>
      <c r="AT45" s="1999"/>
      <c r="AU45" s="1999"/>
      <c r="AV45" s="1999"/>
      <c r="AW45" s="1999"/>
      <c r="AX45" s="1999"/>
      <c r="AY45" s="1999"/>
      <c r="AZ45" s="1999"/>
      <c r="BA45" s="1999"/>
      <c r="BB45" s="1999"/>
      <c r="BC45" s="1999"/>
      <c r="BD45" s="1999"/>
      <c r="BE45" s="1999"/>
      <c r="BF45" s="1999"/>
      <c r="BG45" s="1999"/>
      <c r="BH45" s="1999"/>
      <c r="BI45" s="1999"/>
      <c r="BJ45" s="1999"/>
      <c r="BK45" s="1999"/>
      <c r="BL45" s="1999"/>
      <c r="BM45" s="1999"/>
      <c r="BN45" s="1999"/>
      <c r="BO45" s="1999"/>
      <c r="BP45" s="1999"/>
      <c r="BQ45" s="1999"/>
      <c r="BR45" s="1999"/>
      <c r="BS45" s="1999"/>
      <c r="BT45" s="1999"/>
      <c r="BU45" s="1999"/>
      <c r="BV45" s="1999"/>
      <c r="BW45" s="1999"/>
      <c r="BX45" s="1999"/>
      <c r="BY45" s="1999"/>
      <c r="BZ45" s="1999"/>
      <c r="CA45" s="1999"/>
      <c r="CB45" s="1999"/>
      <c r="CC45" s="1999"/>
      <c r="CD45" s="1999"/>
      <c r="CE45" s="1999"/>
      <c r="CF45" s="1999"/>
      <c r="CG45" s="1999"/>
      <c r="CH45" s="1999"/>
      <c r="CI45" s="1999"/>
      <c r="CJ45" s="1999"/>
      <c r="CK45" s="1999"/>
      <c r="CL45" s="1999"/>
      <c r="CM45" s="1999"/>
      <c r="CN45" s="1999"/>
      <c r="CO45" s="1999"/>
      <c r="CP45" s="1999"/>
      <c r="CQ45" s="1999"/>
      <c r="CR45" s="1999"/>
      <c r="CS45" s="1999"/>
      <c r="CT45" s="1999"/>
      <c r="CU45" s="1999"/>
      <c r="CV45" s="1999"/>
      <c r="CW45" s="1999"/>
      <c r="CX45" s="1999"/>
      <c r="CY45" s="1999"/>
      <c r="CZ45" s="1999"/>
      <c r="DA45" s="1999"/>
      <c r="DB45" s="1999"/>
      <c r="DC45" s="1999"/>
      <c r="DD45" s="1999"/>
      <c r="DE45" s="1999"/>
      <c r="DF45" s="1999"/>
      <c r="DG45" s="1999"/>
      <c r="DH45" s="1999"/>
      <c r="DI45" s="1999"/>
      <c r="DJ45" s="1999"/>
      <c r="DK45" s="1999"/>
      <c r="DL45" s="1999"/>
      <c r="DM45" s="1999"/>
      <c r="DN45" s="1999"/>
      <c r="DO45" s="1999"/>
      <c r="DP45" s="1999"/>
      <c r="DQ45" s="1999"/>
      <c r="DR45" s="1999"/>
      <c r="DS45" s="1999"/>
    </row>
    <row r="46" s="1998" customFormat="1" ht="13.5" customHeight="1" spans="1:123">
      <c r="A46" s="2020" t="s">
        <v>1202</v>
      </c>
      <c r="B46" s="2055" t="s">
        <v>1274</v>
      </c>
      <c r="C46" s="2026">
        <f>ROUND((C33+C39)*F27,0)</f>
        <v>101523</v>
      </c>
      <c r="D46" s="2070"/>
      <c r="E46" s="2043"/>
      <c r="F46" s="2038"/>
      <c r="G46" s="2054"/>
      <c r="H46" s="1999"/>
      <c r="I46" s="1999"/>
      <c r="J46" s="1999"/>
      <c r="K46" s="1999"/>
      <c r="L46" s="1999"/>
      <c r="M46" s="1999"/>
      <c r="N46" s="1999"/>
      <c r="O46" s="1999"/>
      <c r="P46" s="1999"/>
      <c r="Q46" s="1999"/>
      <c r="R46" s="1999"/>
      <c r="S46" s="1999"/>
      <c r="T46" s="1999"/>
      <c r="U46" s="1999"/>
      <c r="V46" s="1999"/>
      <c r="W46" s="1999"/>
      <c r="X46" s="1999"/>
      <c r="Y46" s="1999"/>
      <c r="Z46" s="1999"/>
      <c r="AA46" s="1999"/>
      <c r="AB46" s="1999"/>
      <c r="AC46" s="1999"/>
      <c r="AD46" s="1999"/>
      <c r="AE46" s="1999"/>
      <c r="AF46" s="1999"/>
      <c r="AG46" s="1999"/>
      <c r="AH46" s="1999"/>
      <c r="AI46" s="1999"/>
      <c r="AJ46" s="1999"/>
      <c r="AK46" s="1999"/>
      <c r="AL46" s="1999"/>
      <c r="AM46" s="1999"/>
      <c r="AN46" s="1999"/>
      <c r="AO46" s="1999"/>
      <c r="AP46" s="1999"/>
      <c r="AQ46" s="1999"/>
      <c r="AR46" s="1999"/>
      <c r="AS46" s="1999"/>
      <c r="AT46" s="1999"/>
      <c r="AU46" s="1999"/>
      <c r="AV46" s="1999"/>
      <c r="AW46" s="1999"/>
      <c r="AX46" s="1999"/>
      <c r="AY46" s="1999"/>
      <c r="AZ46" s="1999"/>
      <c r="BA46" s="1999"/>
      <c r="BB46" s="1999"/>
      <c r="BC46" s="1999"/>
      <c r="BD46" s="1999"/>
      <c r="BE46" s="1999"/>
      <c r="BF46" s="1999"/>
      <c r="BG46" s="1999"/>
      <c r="BH46" s="1999"/>
      <c r="BI46" s="1999"/>
      <c r="BJ46" s="1999"/>
      <c r="BK46" s="1999"/>
      <c r="BL46" s="1999"/>
      <c r="BM46" s="1999"/>
      <c r="BN46" s="1999"/>
      <c r="BO46" s="1999"/>
      <c r="BP46" s="1999"/>
      <c r="BQ46" s="1999"/>
      <c r="BR46" s="1999"/>
      <c r="BS46" s="1999"/>
      <c r="BT46" s="1999"/>
      <c r="BU46" s="1999"/>
      <c r="BV46" s="1999"/>
      <c r="BW46" s="1999"/>
      <c r="BX46" s="1999"/>
      <c r="BY46" s="1999"/>
      <c r="BZ46" s="1999"/>
      <c r="CA46" s="1999"/>
      <c r="CB46" s="1999"/>
      <c r="CC46" s="1999"/>
      <c r="CD46" s="1999"/>
      <c r="CE46" s="1999"/>
      <c r="CF46" s="1999"/>
      <c r="CG46" s="1999"/>
      <c r="CH46" s="1999"/>
      <c r="CI46" s="1999"/>
      <c r="CJ46" s="1999"/>
      <c r="CK46" s="1999"/>
      <c r="CL46" s="1999"/>
      <c r="CM46" s="1999"/>
      <c r="CN46" s="1999"/>
      <c r="CO46" s="1999"/>
      <c r="CP46" s="1999"/>
      <c r="CQ46" s="1999"/>
      <c r="CR46" s="1999"/>
      <c r="CS46" s="1999"/>
      <c r="CT46" s="1999"/>
      <c r="CU46" s="1999"/>
      <c r="CV46" s="1999"/>
      <c r="CW46" s="1999"/>
      <c r="CX46" s="1999"/>
      <c r="CY46" s="1999"/>
      <c r="CZ46" s="1999"/>
      <c r="DA46" s="1999"/>
      <c r="DB46" s="1999"/>
      <c r="DC46" s="1999"/>
      <c r="DD46" s="1999"/>
      <c r="DE46" s="1999"/>
      <c r="DF46" s="1999"/>
      <c r="DG46" s="1999"/>
      <c r="DH46" s="1999"/>
      <c r="DI46" s="1999"/>
      <c r="DJ46" s="1999"/>
      <c r="DK46" s="1999"/>
      <c r="DL46" s="1999"/>
      <c r="DM46" s="1999"/>
      <c r="DN46" s="1999"/>
      <c r="DO46" s="1999"/>
      <c r="DP46" s="1999"/>
      <c r="DQ46" s="1999"/>
      <c r="DR46" s="1999"/>
      <c r="DS46" s="1999"/>
    </row>
    <row r="47" s="1998" customFormat="1" ht="13.5" customHeight="1" spans="1:123">
      <c r="A47" s="2020" t="s">
        <v>1204</v>
      </c>
      <c r="B47" s="2055" t="s">
        <v>1275</v>
      </c>
      <c r="C47" s="2046">
        <f>ROUND(C40*F27,4)</f>
        <v>0.0015</v>
      </c>
      <c r="D47" s="2070"/>
      <c r="E47" s="2043"/>
      <c r="F47" s="2038"/>
      <c r="G47" s="2054"/>
      <c r="H47" s="1999"/>
      <c r="I47" s="1999"/>
      <c r="J47" s="1999"/>
      <c r="K47" s="1999"/>
      <c r="L47" s="1999"/>
      <c r="M47" s="1999"/>
      <c r="N47" s="1999"/>
      <c r="O47" s="1999"/>
      <c r="P47" s="1999"/>
      <c r="Q47" s="1999"/>
      <c r="R47" s="1999"/>
      <c r="S47" s="1999"/>
      <c r="T47" s="1999"/>
      <c r="U47" s="1999"/>
      <c r="V47" s="1999"/>
      <c r="W47" s="1999"/>
      <c r="X47" s="1999"/>
      <c r="Y47" s="1999"/>
      <c r="Z47" s="1999"/>
      <c r="AA47" s="1999"/>
      <c r="AB47" s="1999"/>
      <c r="AC47" s="1999"/>
      <c r="AD47" s="1999"/>
      <c r="AE47" s="1999"/>
      <c r="AF47" s="1999"/>
      <c r="AG47" s="1999"/>
      <c r="AH47" s="1999"/>
      <c r="AI47" s="1999"/>
      <c r="AJ47" s="1999"/>
      <c r="AK47" s="1999"/>
      <c r="AL47" s="1999"/>
      <c r="AM47" s="1999"/>
      <c r="AN47" s="1999"/>
      <c r="AO47" s="1999"/>
      <c r="AP47" s="1999"/>
      <c r="AQ47" s="1999"/>
      <c r="AR47" s="1999"/>
      <c r="AS47" s="1999"/>
      <c r="AT47" s="1999"/>
      <c r="AU47" s="1999"/>
      <c r="AV47" s="1999"/>
      <c r="AW47" s="1999"/>
      <c r="AX47" s="1999"/>
      <c r="AY47" s="1999"/>
      <c r="AZ47" s="1999"/>
      <c r="BA47" s="1999"/>
      <c r="BB47" s="1999"/>
      <c r="BC47" s="1999"/>
      <c r="BD47" s="1999"/>
      <c r="BE47" s="1999"/>
      <c r="BF47" s="1999"/>
      <c r="BG47" s="1999"/>
      <c r="BH47" s="1999"/>
      <c r="BI47" s="1999"/>
      <c r="BJ47" s="1999"/>
      <c r="BK47" s="1999"/>
      <c r="BL47" s="1999"/>
      <c r="BM47" s="1999"/>
      <c r="BN47" s="1999"/>
      <c r="BO47" s="1999"/>
      <c r="BP47" s="1999"/>
      <c r="BQ47" s="1999"/>
      <c r="BR47" s="1999"/>
      <c r="BS47" s="1999"/>
      <c r="BT47" s="1999"/>
      <c r="BU47" s="1999"/>
      <c r="BV47" s="1999"/>
      <c r="BW47" s="1999"/>
      <c r="BX47" s="1999"/>
      <c r="BY47" s="1999"/>
      <c r="BZ47" s="1999"/>
      <c r="CA47" s="1999"/>
      <c r="CB47" s="1999"/>
      <c r="CC47" s="1999"/>
      <c r="CD47" s="1999"/>
      <c r="CE47" s="1999"/>
      <c r="CF47" s="1999"/>
      <c r="CG47" s="1999"/>
      <c r="CH47" s="1999"/>
      <c r="CI47" s="1999"/>
      <c r="CJ47" s="1999"/>
      <c r="CK47" s="1999"/>
      <c r="CL47" s="1999"/>
      <c r="CM47" s="1999"/>
      <c r="CN47" s="1999"/>
      <c r="CO47" s="1999"/>
      <c r="CP47" s="1999"/>
      <c r="CQ47" s="1999"/>
      <c r="CR47" s="1999"/>
      <c r="CS47" s="1999"/>
      <c r="CT47" s="1999"/>
      <c r="CU47" s="1999"/>
      <c r="CV47" s="1999"/>
      <c r="CW47" s="1999"/>
      <c r="CX47" s="1999"/>
      <c r="CY47" s="1999"/>
      <c r="CZ47" s="1999"/>
      <c r="DA47" s="1999"/>
      <c r="DB47" s="1999"/>
      <c r="DC47" s="1999"/>
      <c r="DD47" s="1999"/>
      <c r="DE47" s="1999"/>
      <c r="DF47" s="1999"/>
      <c r="DG47" s="1999"/>
      <c r="DH47" s="1999"/>
      <c r="DI47" s="1999"/>
      <c r="DJ47" s="1999"/>
      <c r="DK47" s="1999"/>
      <c r="DL47" s="1999"/>
      <c r="DM47" s="1999"/>
      <c r="DN47" s="1999"/>
      <c r="DO47" s="1999"/>
      <c r="DP47" s="1999"/>
      <c r="DQ47" s="1999"/>
      <c r="DR47" s="1999"/>
      <c r="DS47" s="1999"/>
    </row>
    <row r="48" s="1998" customFormat="1" ht="13.5" customHeight="1" spans="1:123">
      <c r="A48" s="2052" t="s">
        <v>1249</v>
      </c>
      <c r="B48" s="2016" t="s">
        <v>1255</v>
      </c>
      <c r="C48" s="2066">
        <f>ROUND(F30/(1+'数据-取费表'!F30),4)</f>
        <v>0.0533</v>
      </c>
      <c r="D48" s="2043" t="s">
        <v>1270</v>
      </c>
      <c r="E48" s="2039"/>
      <c r="F48" s="2065">
        <f>F30</f>
        <v>0.056</v>
      </c>
      <c r="G48" s="2041" t="s">
        <v>1276</v>
      </c>
      <c r="H48" s="1999"/>
      <c r="I48" s="1999"/>
      <c r="J48" s="1999"/>
      <c r="K48" s="1999"/>
      <c r="L48" s="1999"/>
      <c r="M48" s="1999"/>
      <c r="N48" s="1999"/>
      <c r="O48" s="1999"/>
      <c r="P48" s="1999"/>
      <c r="Q48" s="1999"/>
      <c r="R48" s="1999"/>
      <c r="S48" s="1999"/>
      <c r="T48" s="1999"/>
      <c r="U48" s="1999"/>
      <c r="V48" s="1999"/>
      <c r="W48" s="1999"/>
      <c r="X48" s="1999"/>
      <c r="Y48" s="1999"/>
      <c r="Z48" s="1999"/>
      <c r="AA48" s="1999"/>
      <c r="AB48" s="1999"/>
      <c r="AC48" s="1999"/>
      <c r="AD48" s="1999"/>
      <c r="AE48" s="1999"/>
      <c r="AF48" s="1999"/>
      <c r="AG48" s="1999"/>
      <c r="AH48" s="1999"/>
      <c r="AI48" s="1999"/>
      <c r="AJ48" s="1999"/>
      <c r="AK48" s="1999"/>
      <c r="AL48" s="1999"/>
      <c r="AM48" s="1999"/>
      <c r="AN48" s="1999"/>
      <c r="AO48" s="1999"/>
      <c r="AP48" s="1999"/>
      <c r="AQ48" s="1999"/>
      <c r="AR48" s="1999"/>
      <c r="AS48" s="1999"/>
      <c r="AT48" s="1999"/>
      <c r="AU48" s="1999"/>
      <c r="AV48" s="1999"/>
      <c r="AW48" s="1999"/>
      <c r="AX48" s="1999"/>
      <c r="AY48" s="1999"/>
      <c r="AZ48" s="1999"/>
      <c r="BA48" s="1999"/>
      <c r="BB48" s="1999"/>
      <c r="BC48" s="1999"/>
      <c r="BD48" s="1999"/>
      <c r="BE48" s="1999"/>
      <c r="BF48" s="1999"/>
      <c r="BG48" s="1999"/>
      <c r="BH48" s="1999"/>
      <c r="BI48" s="1999"/>
      <c r="BJ48" s="1999"/>
      <c r="BK48" s="1999"/>
      <c r="BL48" s="1999"/>
      <c r="BM48" s="1999"/>
      <c r="BN48" s="1999"/>
      <c r="BO48" s="1999"/>
      <c r="BP48" s="1999"/>
      <c r="BQ48" s="1999"/>
      <c r="BR48" s="1999"/>
      <c r="BS48" s="1999"/>
      <c r="BT48" s="1999"/>
      <c r="BU48" s="1999"/>
      <c r="BV48" s="1999"/>
      <c r="BW48" s="1999"/>
      <c r="BX48" s="1999"/>
      <c r="BY48" s="1999"/>
      <c r="BZ48" s="1999"/>
      <c r="CA48" s="1999"/>
      <c r="CB48" s="1999"/>
      <c r="CC48" s="1999"/>
      <c r="CD48" s="1999"/>
      <c r="CE48" s="1999"/>
      <c r="CF48" s="1999"/>
      <c r="CG48" s="1999"/>
      <c r="CH48" s="1999"/>
      <c r="CI48" s="1999"/>
      <c r="CJ48" s="1999"/>
      <c r="CK48" s="1999"/>
      <c r="CL48" s="1999"/>
      <c r="CM48" s="1999"/>
      <c r="CN48" s="1999"/>
      <c r="CO48" s="1999"/>
      <c r="CP48" s="1999"/>
      <c r="CQ48" s="1999"/>
      <c r="CR48" s="1999"/>
      <c r="CS48" s="1999"/>
      <c r="CT48" s="1999"/>
      <c r="CU48" s="1999"/>
      <c r="CV48" s="1999"/>
      <c r="CW48" s="1999"/>
      <c r="CX48" s="1999"/>
      <c r="CY48" s="1999"/>
      <c r="CZ48" s="1999"/>
      <c r="DA48" s="1999"/>
      <c r="DB48" s="1999"/>
      <c r="DC48" s="1999"/>
      <c r="DD48" s="1999"/>
      <c r="DE48" s="1999"/>
      <c r="DF48" s="1999"/>
      <c r="DG48" s="1999"/>
      <c r="DH48" s="1999"/>
      <c r="DI48" s="1999"/>
      <c r="DJ48" s="1999"/>
      <c r="DK48" s="1999"/>
      <c r="DL48" s="1999"/>
      <c r="DM48" s="1999"/>
      <c r="DN48" s="1999"/>
      <c r="DO48" s="1999"/>
      <c r="DP48" s="1999"/>
      <c r="DQ48" s="1999"/>
      <c r="DR48" s="1999"/>
      <c r="DS48" s="1999"/>
    </row>
    <row r="49" ht="16.5" customHeight="1" spans="1:7">
      <c r="A49" s="2052" t="s">
        <v>1254</v>
      </c>
      <c r="B49" s="2016" t="s">
        <v>1277</v>
      </c>
      <c r="C49" s="2039">
        <f ca="1">ROUND((C33+C39+C41+C45)/(1-C40-D41-D45-C48),0)</f>
        <v>864126</v>
      </c>
      <c r="D49" s="2039"/>
      <c r="E49" s="2039"/>
      <c r="F49" s="2071"/>
      <c r="G49" s="2041" t="s">
        <v>1278</v>
      </c>
    </row>
    <row r="50" s="2000" customFormat="1" ht="24" spans="1:7">
      <c r="A50" s="2052" t="s">
        <v>1279</v>
      </c>
      <c r="B50" s="2016" t="s">
        <v>1280</v>
      </c>
      <c r="C50" s="2039"/>
      <c r="D50" s="2039"/>
      <c r="E50" s="2039"/>
      <c r="F50" s="2071">
        <f>IF('数据-取费表'!B26=0,'数据-取费表'!E20,1)</f>
        <v>0.7</v>
      </c>
      <c r="G50" s="2054" t="s">
        <v>1281</v>
      </c>
    </row>
    <row r="51" ht="16.5" customHeight="1" spans="1:7">
      <c r="A51" s="2052" t="s">
        <v>1282</v>
      </c>
      <c r="B51" s="2016" t="s">
        <v>1283</v>
      </c>
      <c r="C51" s="2039">
        <f ca="1">ROUND(C49*F50,0)</f>
        <v>604888</v>
      </c>
      <c r="D51" s="2039"/>
      <c r="E51" s="2039"/>
      <c r="F51" s="2071"/>
      <c r="G51" s="2041" t="s">
        <v>1284</v>
      </c>
    </row>
    <row r="52" s="1997" customFormat="1" ht="16.5" spans="1:123">
      <c r="A52" s="2072" t="s">
        <v>1285</v>
      </c>
      <c r="B52" s="2073"/>
      <c r="C52" s="2074">
        <f ca="1">C31+C51</f>
        <v>1094843</v>
      </c>
      <c r="D52" s="2073"/>
      <c r="E52" s="2073"/>
      <c r="F52" s="2073"/>
      <c r="G52" s="2075"/>
      <c r="H52" s="2014"/>
      <c r="I52" s="2014"/>
      <c r="J52" s="2014"/>
      <c r="K52" s="2014"/>
      <c r="L52" s="2014"/>
      <c r="M52" s="2014"/>
      <c r="N52" s="2014"/>
      <c r="O52" s="2014"/>
      <c r="P52" s="2014"/>
      <c r="Q52" s="2014"/>
      <c r="R52" s="2014"/>
      <c r="S52" s="2014"/>
      <c r="T52" s="2014"/>
      <c r="U52" s="2014"/>
      <c r="V52" s="2014"/>
      <c r="W52" s="2014"/>
      <c r="X52" s="2014"/>
      <c r="Y52" s="2014"/>
      <c r="Z52" s="2014"/>
      <c r="AA52" s="2014"/>
      <c r="AB52" s="2014"/>
      <c r="AC52" s="2014"/>
      <c r="AD52" s="2014"/>
      <c r="AE52" s="2014"/>
      <c r="AF52" s="2014"/>
      <c r="AG52" s="2014"/>
      <c r="AH52" s="2014"/>
      <c r="AI52" s="2014"/>
      <c r="AJ52" s="2014"/>
      <c r="AK52" s="2014"/>
      <c r="AL52" s="2014"/>
      <c r="AM52" s="2014"/>
      <c r="AN52" s="2014"/>
      <c r="AO52" s="2014"/>
      <c r="AP52" s="2014"/>
      <c r="AQ52" s="2014"/>
      <c r="AR52" s="2014"/>
      <c r="AS52" s="2014"/>
      <c r="AT52" s="2014"/>
      <c r="AU52" s="2014"/>
      <c r="AV52" s="2014"/>
      <c r="AW52" s="2014"/>
      <c r="AX52" s="2014"/>
      <c r="AY52" s="2014"/>
      <c r="AZ52" s="2014"/>
      <c r="BA52" s="2014"/>
      <c r="BB52" s="2014"/>
      <c r="BC52" s="2014"/>
      <c r="BD52" s="2014"/>
      <c r="BE52" s="2014"/>
      <c r="BF52" s="2014"/>
      <c r="BG52" s="2014"/>
      <c r="BH52" s="2014"/>
      <c r="BI52" s="2014"/>
      <c r="BJ52" s="2014"/>
      <c r="BK52" s="2014"/>
      <c r="BL52" s="2014"/>
      <c r="BM52" s="2014"/>
      <c r="BN52" s="2014"/>
      <c r="BO52" s="2014"/>
      <c r="BP52" s="2014"/>
      <c r="BQ52" s="2014"/>
      <c r="BR52" s="2014"/>
      <c r="BS52" s="2014"/>
      <c r="BT52" s="2014"/>
      <c r="BU52" s="2014"/>
      <c r="BV52" s="2014"/>
      <c r="BW52" s="2014"/>
      <c r="BX52" s="2014"/>
      <c r="BY52" s="2014"/>
      <c r="BZ52" s="2014"/>
      <c r="CA52" s="2014"/>
      <c r="CB52" s="2014"/>
      <c r="CC52" s="2014"/>
      <c r="CD52" s="2014"/>
      <c r="CE52" s="2014"/>
      <c r="CF52" s="2014"/>
      <c r="CG52" s="2014"/>
      <c r="CH52" s="2014"/>
      <c r="CI52" s="2014"/>
      <c r="CJ52" s="2014"/>
      <c r="CK52" s="2014"/>
      <c r="CL52" s="2014"/>
      <c r="CM52" s="2014"/>
      <c r="CN52" s="2014"/>
      <c r="CO52" s="2014"/>
      <c r="CP52" s="2014"/>
      <c r="CQ52" s="2014"/>
      <c r="CR52" s="2014"/>
      <c r="CS52" s="2014"/>
      <c r="CT52" s="2014"/>
      <c r="CU52" s="2014"/>
      <c r="CV52" s="2014"/>
      <c r="CW52" s="2014"/>
      <c r="CX52" s="2014"/>
      <c r="CY52" s="2014"/>
      <c r="CZ52" s="2014"/>
      <c r="DA52" s="2014"/>
      <c r="DB52" s="2014"/>
      <c r="DC52" s="2014"/>
      <c r="DD52" s="2014"/>
      <c r="DE52" s="2014"/>
      <c r="DF52" s="2014"/>
      <c r="DG52" s="2014"/>
      <c r="DH52" s="2014"/>
      <c r="DI52" s="2014"/>
      <c r="DJ52" s="2014"/>
      <c r="DK52" s="2014"/>
      <c r="DL52" s="2014"/>
      <c r="DM52" s="2014"/>
      <c r="DN52" s="2014"/>
      <c r="DO52" s="2014"/>
      <c r="DP52" s="2014"/>
      <c r="DQ52" s="2014"/>
      <c r="DR52" s="2014"/>
      <c r="DS52" s="2014"/>
    </row>
    <row r="55" ht="15" spans="2:3">
      <c r="B55" s="2076" t="s">
        <v>1286</v>
      </c>
      <c r="C55" s="2077"/>
    </row>
    <row r="56" spans="2:3">
      <c r="B56" s="2078" t="s">
        <v>1100</v>
      </c>
      <c r="C56" s="2079">
        <f ca="1">ROUND(C51/C52,3)</f>
        <v>0.552</v>
      </c>
    </row>
    <row r="57" spans="2:3">
      <c r="B57" s="2078" t="s">
        <v>1101</v>
      </c>
      <c r="C57" s="2080">
        <f ca="1">1-C56</f>
        <v>0.448</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1905" customWidth="1"/>
    <col min="2" max="2" width="25.75" style="1906" customWidth="1"/>
    <col min="3" max="3" width="10.375" style="1907" customWidth="1"/>
    <col min="4" max="4" width="9.875" style="1906" customWidth="1"/>
    <col min="5" max="5" width="9.5" style="1905" customWidth="1"/>
    <col min="6" max="6" width="10.125" style="1906" customWidth="1"/>
    <col min="7" max="7" width="9.5" style="1906" customWidth="1"/>
    <col min="8" max="8" width="10" style="1906" customWidth="1"/>
    <col min="9" max="11" width="9.5" style="1906" customWidth="1"/>
    <col min="12" max="12" width="9" style="1906" customWidth="1"/>
    <col min="13" max="13" width="10.5" style="1906" customWidth="1"/>
    <col min="14" max="254" width="9" style="1906" customWidth="1"/>
    <col min="255" max="16384" width="6.625" style="1906"/>
  </cols>
  <sheetData>
    <row r="1" s="1894" customFormat="1" ht="20.25" spans="1:11">
      <c r="A1" s="1908" t="s">
        <v>1287</v>
      </c>
      <c r="B1" s="1909"/>
      <c r="C1" s="1910" t="s">
        <v>1288</v>
      </c>
      <c r="D1" s="1911"/>
      <c r="E1" s="1912"/>
      <c r="F1" s="1912"/>
      <c r="G1" s="1912"/>
      <c r="H1" s="1912"/>
      <c r="I1" s="1912"/>
      <c r="J1" s="1912"/>
      <c r="K1" s="1912"/>
    </row>
    <row r="2" s="1894" customFormat="1" ht="18" customHeight="1" spans="1:11">
      <c r="A2" s="721" t="s">
        <v>870</v>
      </c>
      <c r="B2" s="1913">
        <f ca="1">IF(C2="元",C32,ROUND(C32/10000,0))</f>
        <v>0</v>
      </c>
      <c r="C2" s="1914" t="str">
        <f>'数据-取费表'!B3</f>
        <v>元</v>
      </c>
      <c r="D2" s="1912"/>
      <c r="E2" s="1912"/>
      <c r="F2" s="1912"/>
      <c r="G2" s="1912"/>
      <c r="H2" s="1912"/>
      <c r="I2" s="1912"/>
      <c r="J2" s="1912"/>
      <c r="K2" s="1912"/>
    </row>
    <row r="3" s="1894" customFormat="1" ht="18" customHeight="1" spans="1:11">
      <c r="A3" s="726" t="s">
        <v>871</v>
      </c>
      <c r="B3" s="1913" t="e">
        <f ca="1">ROUND(C32/IF(C1="仅计算典型户型",'数据-取费表'!E5,'数据-取费表'!B5),0)</f>
        <v>#DIV/0!</v>
      </c>
      <c r="C3" s="1914" t="s">
        <v>1289</v>
      </c>
      <c r="D3" s="1912"/>
      <c r="E3" s="1912"/>
      <c r="F3" s="1912"/>
      <c r="G3" s="1912"/>
      <c r="H3" s="1912"/>
      <c r="I3" s="1912"/>
      <c r="J3" s="1912"/>
      <c r="K3" s="1912"/>
    </row>
    <row r="4" s="1895" customFormat="1" ht="16.5" customHeight="1" spans="1:33">
      <c r="A4" s="1915" t="s">
        <v>1290</v>
      </c>
      <c r="B4" s="1916"/>
      <c r="C4" s="1917">
        <f>SUM(C8:K8)</f>
        <v>0</v>
      </c>
      <c r="D4" s="1916"/>
      <c r="E4" s="1916"/>
      <c r="F4" s="1916"/>
      <c r="G4" s="1916"/>
      <c r="H4" s="1916"/>
      <c r="I4" s="1916"/>
      <c r="J4" s="1916"/>
      <c r="K4" s="1981"/>
      <c r="L4" s="1982"/>
      <c r="M4" s="1982"/>
      <c r="N4" s="1982"/>
      <c r="O4" s="1982"/>
      <c r="P4" s="1982"/>
      <c r="Q4" s="1982"/>
      <c r="R4" s="1982"/>
      <c r="S4" s="1982"/>
      <c r="T4" s="1982"/>
      <c r="U4" s="1982"/>
      <c r="V4" s="1982"/>
      <c r="W4" s="1982"/>
      <c r="X4" s="1982"/>
      <c r="Y4" s="1982"/>
      <c r="Z4" s="1982"/>
      <c r="AA4" s="1982"/>
      <c r="AB4" s="1982"/>
      <c r="AC4" s="1982"/>
      <c r="AD4" s="1982"/>
      <c r="AE4" s="1982"/>
      <c r="AF4" s="1982"/>
      <c r="AG4" s="1982"/>
    </row>
    <row r="5" s="1896" customFormat="1" ht="15.75" spans="1:33">
      <c r="A5" s="1918" t="s">
        <v>1291</v>
      </c>
      <c r="B5" s="1919" t="s">
        <v>1292</v>
      </c>
      <c r="C5" s="1920"/>
      <c r="D5" s="1920"/>
      <c r="E5" s="1920"/>
      <c r="F5" s="1920"/>
      <c r="G5" s="1920"/>
      <c r="H5" s="1920"/>
      <c r="I5" s="1920"/>
      <c r="J5" s="1920"/>
      <c r="K5" s="1983"/>
      <c r="L5" s="1984"/>
      <c r="M5" s="1984"/>
      <c r="N5" s="1984"/>
      <c r="O5" s="1984"/>
      <c r="P5" s="1984"/>
      <c r="Q5" s="1984"/>
      <c r="R5" s="1984"/>
      <c r="S5" s="1984"/>
      <c r="T5" s="1984"/>
      <c r="U5" s="1984"/>
      <c r="V5" s="1984"/>
      <c r="W5" s="1984"/>
      <c r="X5" s="1984"/>
      <c r="Y5" s="1984"/>
      <c r="Z5" s="1984"/>
      <c r="AA5" s="1984"/>
      <c r="AB5" s="1984"/>
      <c r="AC5" s="1984"/>
      <c r="AD5" s="1984"/>
      <c r="AE5" s="1984"/>
      <c r="AF5" s="1984"/>
      <c r="AG5" s="1984"/>
    </row>
    <row r="6" s="1897" customFormat="1" ht="13.5" customHeight="1" spans="1:33">
      <c r="A6" s="1921" t="s">
        <v>996</v>
      </c>
      <c r="B6" s="1922" t="s">
        <v>814</v>
      </c>
      <c r="C6" s="1923">
        <v>35000</v>
      </c>
      <c r="D6" s="1924"/>
      <c r="E6" s="1924"/>
      <c r="F6" s="1924"/>
      <c r="G6" s="1924"/>
      <c r="H6" s="1924"/>
      <c r="I6" s="1924"/>
      <c r="J6" s="1924"/>
      <c r="K6" s="1985"/>
      <c r="L6" s="1986"/>
      <c r="M6" s="1986"/>
      <c r="N6" s="1986"/>
      <c r="O6" s="1986"/>
      <c r="P6" s="1986"/>
      <c r="Q6" s="1986"/>
      <c r="R6" s="1986"/>
      <c r="S6" s="1986"/>
      <c r="T6" s="1986"/>
      <c r="U6" s="1986"/>
      <c r="V6" s="1986"/>
      <c r="W6" s="1986"/>
      <c r="X6" s="1986"/>
      <c r="Y6" s="1986"/>
      <c r="Z6" s="1986"/>
      <c r="AA6" s="1986"/>
      <c r="AB6" s="1986"/>
      <c r="AC6" s="1986"/>
      <c r="AD6" s="1986"/>
      <c r="AE6" s="1986"/>
      <c r="AF6" s="1986"/>
      <c r="AG6" s="1986"/>
    </row>
    <row r="7" s="1897" customFormat="1" ht="13.5" customHeight="1" spans="1:33">
      <c r="A7" s="1921" t="s">
        <v>1004</v>
      </c>
      <c r="B7" s="1922" t="s">
        <v>356</v>
      </c>
      <c r="C7" s="1925">
        <f>IF(C1="仅计算典型户型",'数据-取费表'!E5,'数据-取费表'!B5)</f>
        <v>0</v>
      </c>
      <c r="D7" s="1925"/>
      <c r="E7" s="1925"/>
      <c r="F7" s="1925"/>
      <c r="G7" s="1925"/>
      <c r="H7" s="1925"/>
      <c r="I7" s="1925"/>
      <c r="J7" s="1925"/>
      <c r="K7" s="1987"/>
      <c r="L7" s="1986"/>
      <c r="M7" s="1986"/>
      <c r="N7" s="1986"/>
      <c r="O7" s="1986"/>
      <c r="P7" s="1986"/>
      <c r="Q7" s="1986"/>
      <c r="R7" s="1986"/>
      <c r="S7" s="1986"/>
      <c r="T7" s="1986"/>
      <c r="U7" s="1986"/>
      <c r="V7" s="1986"/>
      <c r="W7" s="1986"/>
      <c r="X7" s="1986"/>
      <c r="Y7" s="1986"/>
      <c r="Z7" s="1986"/>
      <c r="AA7" s="1986"/>
      <c r="AB7" s="1986"/>
      <c r="AC7" s="1986"/>
      <c r="AD7" s="1986"/>
      <c r="AE7" s="1986"/>
      <c r="AF7" s="1986"/>
      <c r="AG7" s="1986"/>
    </row>
    <row r="8" s="1897" customFormat="1" ht="13.5" customHeight="1" spans="1:33">
      <c r="A8" s="1926" t="s">
        <v>1012</v>
      </c>
      <c r="B8" s="1922" t="s">
        <v>1293</v>
      </c>
      <c r="C8" s="1927">
        <f>C6*C7</f>
        <v>0</v>
      </c>
      <c r="D8" s="1928"/>
      <c r="E8" s="1928"/>
      <c r="F8" s="1924"/>
      <c r="G8" s="1924"/>
      <c r="H8" s="1924"/>
      <c r="I8" s="1924"/>
      <c r="J8" s="1924"/>
      <c r="K8" s="1985"/>
      <c r="L8" s="1986"/>
      <c r="M8" s="1986"/>
      <c r="N8" s="1986"/>
      <c r="O8" s="1986"/>
      <c r="P8" s="1986"/>
      <c r="Q8" s="1986"/>
      <c r="R8" s="1986"/>
      <c r="S8" s="1986"/>
      <c r="T8" s="1986"/>
      <c r="U8" s="1986"/>
      <c r="V8" s="1986"/>
      <c r="W8" s="1986"/>
      <c r="X8" s="1986"/>
      <c r="Y8" s="1986"/>
      <c r="Z8" s="1986"/>
      <c r="AA8" s="1986"/>
      <c r="AB8" s="1986"/>
      <c r="AC8" s="1986"/>
      <c r="AD8" s="1986"/>
      <c r="AE8" s="1986"/>
      <c r="AF8" s="1986"/>
      <c r="AG8" s="1986"/>
    </row>
    <row r="9" s="1895" customFormat="1" ht="16.5" customHeight="1" spans="1:33">
      <c r="A9" s="1929" t="s">
        <v>1294</v>
      </c>
      <c r="B9" s="1920"/>
      <c r="C9" s="1920"/>
      <c r="D9" s="1920"/>
      <c r="E9" s="1920"/>
      <c r="F9" s="1920"/>
      <c r="G9" s="1920"/>
      <c r="H9" s="1920"/>
      <c r="I9" s="1920"/>
      <c r="J9" s="1920"/>
      <c r="K9" s="1983"/>
      <c r="L9" s="1982"/>
      <c r="M9" s="1982"/>
      <c r="N9" s="1982"/>
      <c r="O9" s="1982"/>
      <c r="P9" s="1982"/>
      <c r="Q9" s="1982"/>
      <c r="R9" s="1982"/>
      <c r="S9" s="1982"/>
      <c r="T9" s="1982"/>
      <c r="U9" s="1982"/>
      <c r="V9" s="1982"/>
      <c r="W9" s="1982"/>
      <c r="X9" s="1982"/>
      <c r="Y9" s="1982"/>
      <c r="Z9" s="1982"/>
      <c r="AA9" s="1982"/>
      <c r="AB9" s="1982"/>
      <c r="AC9" s="1982"/>
      <c r="AD9" s="1982"/>
      <c r="AE9" s="1982"/>
      <c r="AF9" s="1982"/>
      <c r="AG9" s="1982"/>
    </row>
    <row r="10" s="1898" customFormat="1" ht="13.5" customHeight="1" spans="1:33">
      <c r="A10" s="1918" t="s">
        <v>1291</v>
      </c>
      <c r="B10" s="1930" t="s">
        <v>1292</v>
      </c>
      <c r="C10" s="1931" t="s">
        <v>1295</v>
      </c>
      <c r="D10" s="1932" t="s">
        <v>1296</v>
      </c>
      <c r="E10" s="1932" t="s">
        <v>1297</v>
      </c>
      <c r="F10" s="1932" t="s">
        <v>1298</v>
      </c>
      <c r="G10" s="1930"/>
      <c r="H10" s="1933"/>
      <c r="I10" s="1933"/>
      <c r="J10" s="1933"/>
      <c r="K10" s="1988"/>
      <c r="L10" s="1989"/>
      <c r="M10" s="1989"/>
      <c r="N10" s="1989"/>
      <c r="O10" s="1989"/>
      <c r="P10" s="1989"/>
      <c r="Q10" s="1989"/>
      <c r="R10" s="1989"/>
      <c r="S10" s="1989"/>
      <c r="T10" s="1989"/>
      <c r="U10" s="1989"/>
      <c r="V10" s="1989"/>
      <c r="W10" s="1989"/>
      <c r="X10" s="1989"/>
      <c r="Y10" s="1989"/>
      <c r="Z10" s="1989"/>
      <c r="AA10" s="1989"/>
      <c r="AB10" s="1989"/>
      <c r="AC10" s="1989"/>
      <c r="AD10" s="1989"/>
      <c r="AE10" s="1989"/>
      <c r="AF10" s="1989"/>
      <c r="AG10" s="1989"/>
    </row>
    <row r="11" s="1899" customFormat="1" ht="13.5" customHeight="1" spans="1:33">
      <c r="A11" s="1934" t="s">
        <v>1110</v>
      </c>
      <c r="B11" s="1935" t="s">
        <v>1299</v>
      </c>
      <c r="C11" s="1936">
        <f>IF(C1="仅计算典型户型",'数据-取费表'!F18,'数据-取费表'!E18)</f>
        <v>0</v>
      </c>
      <c r="D11" s="1937"/>
      <c r="E11" s="1718"/>
      <c r="F11" s="1938">
        <f>1-'数据-取费表'!E20</f>
        <v>0.3</v>
      </c>
      <c r="G11" s="1930"/>
      <c r="H11" s="1933"/>
      <c r="I11" s="1933"/>
      <c r="J11" s="1933"/>
      <c r="K11" s="1988"/>
      <c r="L11" s="1990"/>
      <c r="M11" s="1990"/>
      <c r="N11" s="1990"/>
      <c r="O11" s="1990"/>
      <c r="P11" s="1990"/>
      <c r="Q11" s="1990"/>
      <c r="R11" s="1990"/>
      <c r="S11" s="1990"/>
      <c r="T11" s="1990"/>
      <c r="U11" s="1990"/>
      <c r="V11" s="1990"/>
      <c r="W11" s="1990"/>
      <c r="X11" s="1990"/>
      <c r="Y11" s="1990"/>
      <c r="Z11" s="1990"/>
      <c r="AA11" s="1990"/>
      <c r="AB11" s="1990"/>
      <c r="AC11" s="1990"/>
      <c r="AD11" s="1990"/>
      <c r="AE11" s="1990"/>
      <c r="AF11" s="1990"/>
      <c r="AG11" s="1990"/>
    </row>
    <row r="12" s="1899" customFormat="1" ht="13.5" customHeight="1" spans="1:33">
      <c r="A12" s="1934" t="s">
        <v>1113</v>
      </c>
      <c r="B12" s="1935" t="s">
        <v>1022</v>
      </c>
      <c r="C12" s="1763">
        <f>ROUND(C11*F12,0)</f>
        <v>0</v>
      </c>
      <c r="D12" s="1937"/>
      <c r="E12" s="1718"/>
      <c r="F12" s="1939">
        <f>'数据-取费表'!E21</f>
        <v>0.04</v>
      </c>
      <c r="G12" s="1930" t="s">
        <v>1300</v>
      </c>
      <c r="H12" s="1933"/>
      <c r="I12" s="1933"/>
      <c r="J12" s="1933"/>
      <c r="K12" s="1988"/>
      <c r="L12" s="1990"/>
      <c r="M12" s="1990"/>
      <c r="N12" s="1990"/>
      <c r="O12" s="1990"/>
      <c r="P12" s="1990"/>
      <c r="Q12" s="1990"/>
      <c r="R12" s="1990"/>
      <c r="S12" s="1990"/>
      <c r="T12" s="1990"/>
      <c r="U12" s="1990"/>
      <c r="V12" s="1990"/>
      <c r="W12" s="1990"/>
      <c r="X12" s="1990"/>
      <c r="Y12" s="1990"/>
      <c r="Z12" s="1990"/>
      <c r="AA12" s="1990"/>
      <c r="AB12" s="1990"/>
      <c r="AC12" s="1990"/>
      <c r="AD12" s="1990"/>
      <c r="AE12" s="1990"/>
      <c r="AF12" s="1990"/>
      <c r="AG12" s="1990"/>
    </row>
    <row r="13" s="1899" customFormat="1" ht="13.5" customHeight="1" spans="1:33">
      <c r="A13" s="1934" t="s">
        <v>1140</v>
      </c>
      <c r="B13" s="1935" t="s">
        <v>1026</v>
      </c>
      <c r="C13" s="1763">
        <f>ROUND(IF('数据-取费表'!B10="住宅",C11*F13,0),0)</f>
        <v>0</v>
      </c>
      <c r="D13" s="1937"/>
      <c r="E13" s="1718"/>
      <c r="F13" s="1939">
        <f>'数据-取费表'!E22</f>
        <v>0.05</v>
      </c>
      <c r="G13" s="1930" t="s">
        <v>1301</v>
      </c>
      <c r="H13" s="1933"/>
      <c r="I13" s="1933"/>
      <c r="J13" s="1933"/>
      <c r="K13" s="1988"/>
      <c r="L13" s="1990"/>
      <c r="M13" s="1990"/>
      <c r="N13" s="1990"/>
      <c r="O13" s="1990"/>
      <c r="P13" s="1990"/>
      <c r="Q13" s="1990"/>
      <c r="R13" s="1990"/>
      <c r="S13" s="1990"/>
      <c r="T13" s="1990"/>
      <c r="U13" s="1990"/>
      <c r="V13" s="1990"/>
      <c r="W13" s="1990"/>
      <c r="X13" s="1990"/>
      <c r="Y13" s="1990"/>
      <c r="Z13" s="1990"/>
      <c r="AA13" s="1990"/>
      <c r="AB13" s="1990"/>
      <c r="AC13" s="1990"/>
      <c r="AD13" s="1990"/>
      <c r="AE13" s="1990"/>
      <c r="AF13" s="1990"/>
      <c r="AG13" s="1990"/>
    </row>
    <row r="14" s="1900" customFormat="1" ht="13.5" customHeight="1" spans="1:33">
      <c r="A14" s="1934" t="s">
        <v>1302</v>
      </c>
      <c r="B14" s="1935" t="s">
        <v>1303</v>
      </c>
      <c r="C14" s="1763">
        <f>ROUND(D14*E14*F11,0)</f>
        <v>0</v>
      </c>
      <c r="D14" s="1937">
        <f>IF(C1="仅计算典型户型",'数据-取费表'!E5,'数据-取费表'!B5)</f>
        <v>0</v>
      </c>
      <c r="E14" s="1763">
        <f>'数据-取费表'!E23</f>
        <v>200</v>
      </c>
      <c r="F14" s="1939"/>
      <c r="G14" s="1930" t="s">
        <v>1304</v>
      </c>
      <c r="H14" s="1933"/>
      <c r="I14" s="1933"/>
      <c r="J14" s="1933"/>
      <c r="K14" s="1988"/>
      <c r="L14" s="1990"/>
      <c r="M14" s="1990"/>
      <c r="N14" s="1990"/>
      <c r="O14" s="1990"/>
      <c r="P14" s="1990"/>
      <c r="Q14" s="1990"/>
      <c r="R14" s="1990"/>
      <c r="S14" s="1990"/>
      <c r="T14" s="1990"/>
      <c r="U14" s="1990"/>
      <c r="V14" s="1990"/>
      <c r="W14" s="1990"/>
      <c r="X14" s="1990"/>
      <c r="Y14" s="1990"/>
      <c r="Z14" s="1990"/>
      <c r="AA14" s="1990"/>
      <c r="AB14" s="1990"/>
      <c r="AC14" s="1990"/>
      <c r="AD14" s="1990"/>
      <c r="AE14" s="1990"/>
      <c r="AF14" s="1990"/>
      <c r="AG14" s="1990"/>
    </row>
    <row r="15" s="1900" customFormat="1" ht="13.5" customHeight="1" spans="1:33">
      <c r="A15" s="1934" t="s">
        <v>1305</v>
      </c>
      <c r="B15" s="1935" t="s">
        <v>1037</v>
      </c>
      <c r="C15" s="1940">
        <f>ROUND(C11*F15,0)</f>
        <v>0</v>
      </c>
      <c r="D15" s="1941"/>
      <c r="E15" s="1940"/>
      <c r="F15" s="1942">
        <f>'数据-取费表'!E24</f>
        <v>0.015</v>
      </c>
      <c r="G15" s="1922" t="s">
        <v>1306</v>
      </c>
      <c r="H15" s="1943"/>
      <c r="I15" s="1943"/>
      <c r="J15" s="1943"/>
      <c r="K15" s="1991"/>
      <c r="L15" s="1990"/>
      <c r="M15" s="1990"/>
      <c r="N15" s="1990"/>
      <c r="O15" s="1990"/>
      <c r="P15" s="1990"/>
      <c r="Q15" s="1990"/>
      <c r="R15" s="1990"/>
      <c r="S15" s="1990"/>
      <c r="T15" s="1990"/>
      <c r="U15" s="1990"/>
      <c r="V15" s="1990"/>
      <c r="W15" s="1990"/>
      <c r="X15" s="1990"/>
      <c r="Y15" s="1990"/>
      <c r="Z15" s="1990"/>
      <c r="AA15" s="1990"/>
      <c r="AB15" s="1990"/>
      <c r="AC15" s="1990"/>
      <c r="AD15" s="1990"/>
      <c r="AE15" s="1990"/>
      <c r="AF15" s="1990"/>
      <c r="AG15" s="1990"/>
    </row>
    <row r="16" s="1900" customFormat="1" ht="13.5" customHeight="1" spans="1:33">
      <c r="A16" s="1934" t="s">
        <v>1017</v>
      </c>
      <c r="B16" s="1935" t="s">
        <v>1307</v>
      </c>
      <c r="C16" s="1936">
        <f>SUM(C11:C15)</f>
        <v>0</v>
      </c>
      <c r="D16" s="1937"/>
      <c r="E16" s="1763"/>
      <c r="F16" s="1939"/>
      <c r="G16" s="1930"/>
      <c r="H16" s="1933"/>
      <c r="I16" s="1933"/>
      <c r="J16" s="1933"/>
      <c r="K16" s="1988"/>
      <c r="L16" s="1990"/>
      <c r="M16" s="1990"/>
      <c r="N16" s="1990"/>
      <c r="O16" s="1990"/>
      <c r="P16" s="1990"/>
      <c r="Q16" s="1990"/>
      <c r="R16" s="1990"/>
      <c r="S16" s="1990"/>
      <c r="T16" s="1990"/>
      <c r="U16" s="1990"/>
      <c r="V16" s="1990"/>
      <c r="W16" s="1990"/>
      <c r="X16" s="1990"/>
      <c r="Y16" s="1990"/>
      <c r="Z16" s="1990"/>
      <c r="AA16" s="1990"/>
      <c r="AB16" s="1990"/>
      <c r="AC16" s="1990"/>
      <c r="AD16" s="1990"/>
      <c r="AE16" s="1990"/>
      <c r="AF16" s="1990"/>
      <c r="AG16" s="1990"/>
    </row>
    <row r="17" s="1900" customFormat="1" ht="13.5" customHeight="1" spans="1:33">
      <c r="A17" s="1934" t="s">
        <v>1021</v>
      </c>
      <c r="B17" s="1935" t="s">
        <v>1308</v>
      </c>
      <c r="C17" s="1763">
        <f>ROUND(D17*E17,0)</f>
        <v>0</v>
      </c>
      <c r="D17" s="1937">
        <f>IF(C1="仅计算典型户型",'数据-取费表'!E5,'数据-取费表'!B5)</f>
        <v>0</v>
      </c>
      <c r="E17" s="1763">
        <f>'数据-取费表'!E16</f>
        <v>0</v>
      </c>
      <c r="F17" s="1941"/>
      <c r="G17" s="1922" t="s">
        <v>1309</v>
      </c>
      <c r="H17" s="1943"/>
      <c r="I17" s="1943"/>
      <c r="J17" s="1943"/>
      <c r="K17" s="1991"/>
      <c r="L17" s="1990"/>
      <c r="M17" s="1990"/>
      <c r="N17" s="1990"/>
      <c r="O17" s="1990"/>
      <c r="P17" s="1990"/>
      <c r="Q17" s="1990"/>
      <c r="R17" s="1990"/>
      <c r="S17" s="1990"/>
      <c r="T17" s="1990"/>
      <c r="U17" s="1990"/>
      <c r="V17" s="1990"/>
      <c r="W17" s="1990"/>
      <c r="X17" s="1990"/>
      <c r="Y17" s="1990"/>
      <c r="Z17" s="1990"/>
      <c r="AA17" s="1990"/>
      <c r="AB17" s="1990"/>
      <c r="AC17" s="1990"/>
      <c r="AD17" s="1990"/>
      <c r="AE17" s="1990"/>
      <c r="AF17" s="1990"/>
      <c r="AG17" s="1990"/>
    </row>
    <row r="18" s="1899" customFormat="1" ht="13.5" customHeight="1" spans="1:33">
      <c r="A18" s="1934" t="s">
        <v>1025</v>
      </c>
      <c r="B18" s="1935" t="s">
        <v>1310</v>
      </c>
      <c r="C18" s="1763">
        <f>C19+C20-'数据-取费表'!E13</f>
        <v>0</v>
      </c>
      <c r="D18" s="1937"/>
      <c r="E18" s="1763"/>
      <c r="F18" s="1939"/>
      <c r="G18" s="1922" t="s">
        <v>1311</v>
      </c>
      <c r="H18" s="1943"/>
      <c r="I18" s="1943"/>
      <c r="J18" s="1943"/>
      <c r="K18" s="1991"/>
      <c r="L18" s="1990"/>
      <c r="M18" s="1990"/>
      <c r="N18" s="1990"/>
      <c r="O18" s="1990"/>
      <c r="P18" s="1990"/>
      <c r="Q18" s="1990"/>
      <c r="R18" s="1990"/>
      <c r="S18" s="1990"/>
      <c r="T18" s="1990"/>
      <c r="U18" s="1990"/>
      <c r="V18" s="1990"/>
      <c r="W18" s="1990"/>
      <c r="X18" s="1990"/>
      <c r="Y18" s="1990"/>
      <c r="Z18" s="1990"/>
      <c r="AA18" s="1990"/>
      <c r="AB18" s="1990"/>
      <c r="AC18" s="1990"/>
      <c r="AD18" s="1990"/>
      <c r="AE18" s="1990"/>
      <c r="AF18" s="1990"/>
      <c r="AG18" s="1990"/>
    </row>
    <row r="19" s="1899" customFormat="1" ht="13.5" customHeight="1" spans="1:33">
      <c r="A19" s="1934" t="s">
        <v>1110</v>
      </c>
      <c r="B19" s="1935" t="s">
        <v>1312</v>
      </c>
      <c r="C19" s="1763">
        <f>ROUND(D19*E19,0)</f>
        <v>0</v>
      </c>
      <c r="D19" s="1937">
        <f>IF('数据-取费表'!B10="住宅",IF(C1="仅计算典型户型",'数据-取费表'!E5,'数据-取费表'!B5),0)</f>
        <v>0</v>
      </c>
      <c r="E19" s="1763">
        <f>'数据-取费表'!E11</f>
        <v>0</v>
      </c>
      <c r="F19" s="1939"/>
      <c r="G19" s="1944"/>
      <c r="H19" s="1945"/>
      <c r="I19" s="1945"/>
      <c r="J19" s="1945"/>
      <c r="K19" s="1992"/>
      <c r="L19" s="1990"/>
      <c r="M19" s="1990"/>
      <c r="N19" s="1990"/>
      <c r="O19" s="1990"/>
      <c r="P19" s="1990"/>
      <c r="Q19" s="1990"/>
      <c r="R19" s="1990"/>
      <c r="S19" s="1990"/>
      <c r="T19" s="1990"/>
      <c r="U19" s="1990"/>
      <c r="V19" s="1990"/>
      <c r="W19" s="1990"/>
      <c r="X19" s="1990"/>
      <c r="Y19" s="1990"/>
      <c r="Z19" s="1990"/>
      <c r="AA19" s="1990"/>
      <c r="AB19" s="1990"/>
      <c r="AC19" s="1990"/>
      <c r="AD19" s="1990"/>
      <c r="AE19" s="1990"/>
      <c r="AF19" s="1990"/>
      <c r="AG19" s="1990"/>
    </row>
    <row r="20" s="1899" customFormat="1" ht="13.5" customHeight="1" spans="1:33">
      <c r="A20" s="1934" t="s">
        <v>1113</v>
      </c>
      <c r="B20" s="1935" t="s">
        <v>1313</v>
      </c>
      <c r="C20" s="1763">
        <f>ROUND(D20*E20,0)</f>
        <v>0</v>
      </c>
      <c r="D20" s="1937">
        <f>IF('数据-取费表'!B10&lt;&gt;"住宅",IF(C1="仅计算典型户型",'数据-取费表'!E5,'数据-取费表'!B5),0)</f>
        <v>0</v>
      </c>
      <c r="E20" s="1763">
        <f>'数据-取费表'!E12</f>
        <v>0</v>
      </c>
      <c r="F20" s="1939"/>
      <c r="G20" s="1944"/>
      <c r="H20" s="1945"/>
      <c r="I20" s="1945"/>
      <c r="J20" s="1945"/>
      <c r="K20" s="1992"/>
      <c r="L20" s="1990"/>
      <c r="M20" s="1990"/>
      <c r="N20" s="1990"/>
      <c r="O20" s="1990"/>
      <c r="P20" s="1990"/>
      <c r="Q20" s="1990"/>
      <c r="R20" s="1990"/>
      <c r="S20" s="1990"/>
      <c r="T20" s="1990"/>
      <c r="U20" s="1990"/>
      <c r="V20" s="1990"/>
      <c r="W20" s="1990"/>
      <c r="X20" s="1990"/>
      <c r="Y20" s="1990"/>
      <c r="Z20" s="1990"/>
      <c r="AA20" s="1990"/>
      <c r="AB20" s="1990"/>
      <c r="AC20" s="1990"/>
      <c r="AD20" s="1990"/>
      <c r="AE20" s="1990"/>
      <c r="AF20" s="1990"/>
      <c r="AG20" s="1990"/>
    </row>
    <row r="21" s="1899" customFormat="1" ht="13.5" customHeight="1" spans="1:33">
      <c r="A21" s="1921" t="s">
        <v>996</v>
      </c>
      <c r="B21" s="1946" t="s">
        <v>1314</v>
      </c>
      <c r="C21" s="1947">
        <f>C16+C17+C18</f>
        <v>0</v>
      </c>
      <c r="D21" s="1948"/>
      <c r="E21" s="1949"/>
      <c r="F21" s="1949"/>
      <c r="G21" s="1922" t="s">
        <v>1315</v>
      </c>
      <c r="H21" s="1943"/>
      <c r="I21" s="1943"/>
      <c r="J21" s="1943"/>
      <c r="K21" s="1991"/>
      <c r="L21" s="1990"/>
      <c r="M21" s="1990"/>
      <c r="N21" s="1990"/>
      <c r="O21" s="1990"/>
      <c r="P21" s="1990"/>
      <c r="Q21" s="1990"/>
      <c r="R21" s="1990"/>
      <c r="S21" s="1990"/>
      <c r="T21" s="1990"/>
      <c r="U21" s="1990"/>
      <c r="V21" s="1990"/>
      <c r="W21" s="1990"/>
      <c r="X21" s="1990"/>
      <c r="Y21" s="1990"/>
      <c r="Z21" s="1990"/>
      <c r="AA21" s="1990"/>
      <c r="AB21" s="1990"/>
      <c r="AC21" s="1990"/>
      <c r="AD21" s="1990"/>
      <c r="AE21" s="1990"/>
      <c r="AF21" s="1990"/>
      <c r="AG21" s="1990"/>
    </row>
    <row r="22" s="1899" customFormat="1" ht="13.5" customHeight="1" spans="1:14">
      <c r="A22" s="1921" t="s">
        <v>1004</v>
      </c>
      <c r="B22" s="1946" t="s">
        <v>1316</v>
      </c>
      <c r="C22" s="1947">
        <f>ROUND(C21*F22,0)</f>
        <v>0</v>
      </c>
      <c r="D22" s="1949"/>
      <c r="E22" s="1949"/>
      <c r="F22" s="1950">
        <f>'数据-取费表'!E25</f>
        <v>0.01</v>
      </c>
      <c r="G22" s="1930" t="s">
        <v>1317</v>
      </c>
      <c r="H22" s="1933"/>
      <c r="I22" s="1933"/>
      <c r="J22" s="1933"/>
      <c r="K22" s="1988"/>
      <c r="L22" s="1901"/>
      <c r="M22" s="1901"/>
      <c r="N22" s="1901"/>
    </row>
    <row r="23" s="1899" customFormat="1" ht="13.5" customHeight="1" spans="1:11">
      <c r="A23" s="1921" t="s">
        <v>1012</v>
      </c>
      <c r="B23" s="1946" t="s">
        <v>1318</v>
      </c>
      <c r="C23" s="1947">
        <f>ROUND(C4*F23*F11,0)</f>
        <v>0</v>
      </c>
      <c r="D23" s="1949"/>
      <c r="E23" s="1949"/>
      <c r="F23" s="1950">
        <f>'数据-取费表'!E26</f>
        <v>0.01</v>
      </c>
      <c r="G23" s="1930" t="s">
        <v>1319</v>
      </c>
      <c r="H23" s="1933"/>
      <c r="I23" s="1933"/>
      <c r="J23" s="1933"/>
      <c r="K23" s="1988"/>
    </row>
    <row r="24" s="1899" customFormat="1" ht="13.5" customHeight="1" spans="1:11">
      <c r="A24" s="1921" t="s">
        <v>1052</v>
      </c>
      <c r="B24" s="1946" t="s">
        <v>1320</v>
      </c>
      <c r="C24" s="1951">
        <f>ROUND(F24/(1+'数据-取费表'!F30),4)</f>
        <v>0.029</v>
      </c>
      <c r="D24" s="1952" t="s">
        <v>1321</v>
      </c>
      <c r="E24" s="1952"/>
      <c r="F24" s="1950">
        <f>'数据-取费表'!E36+'数据-取费表'!E37</f>
        <v>0.0305</v>
      </c>
      <c r="G24" s="1930" t="s">
        <v>1322</v>
      </c>
      <c r="H24" s="1953"/>
      <c r="I24" s="1953"/>
      <c r="J24" s="1953"/>
      <c r="K24" s="1993"/>
    </row>
    <row r="25" s="1901" customFormat="1" ht="13.5" customHeight="1" spans="1:11">
      <c r="A25" s="1921" t="s">
        <v>1063</v>
      </c>
      <c r="B25" s="1948" t="s">
        <v>1323</v>
      </c>
      <c r="C25" s="1954">
        <f ca="1">C27</f>
        <v>0</v>
      </c>
      <c r="D25" s="1951">
        <f ca="1">C26</f>
        <v>0</v>
      </c>
      <c r="E25" s="1955" t="s">
        <v>1321</v>
      </c>
      <c r="F25" s="1956">
        <f ca="1">'数据-取费表'!E27</f>
        <v>0.0435</v>
      </c>
      <c r="G25" s="1922" t="s">
        <v>1324</v>
      </c>
      <c r="H25" s="1953"/>
      <c r="I25" s="1953"/>
      <c r="J25" s="1953"/>
      <c r="K25" s="1993"/>
    </row>
    <row r="26" s="1902" customFormat="1" ht="13.5" customHeight="1" spans="1:11">
      <c r="A26" s="1934" t="s">
        <v>1017</v>
      </c>
      <c r="B26" s="1957" t="s">
        <v>1325</v>
      </c>
      <c r="C26" s="1958">
        <f ca="1">ROUND(IF('数据-取费表'!B24&lt;=1,(1+C24)*F25*'数据-取费表'!B26,(1+C24)*(POWER((1+F25),'数据-取费表'!B26)-1)),4)</f>
        <v>0</v>
      </c>
      <c r="D26" s="1959"/>
      <c r="E26" s="1960"/>
      <c r="F26" s="1961"/>
      <c r="G26" s="1922"/>
      <c r="H26" s="1943"/>
      <c r="I26" s="1943"/>
      <c r="J26" s="1943"/>
      <c r="K26" s="1991"/>
    </row>
    <row r="27" s="1902" customFormat="1" ht="13.5" customHeight="1" spans="1:11">
      <c r="A27" s="1934" t="s">
        <v>1021</v>
      </c>
      <c r="B27" s="1957" t="s">
        <v>1326</v>
      </c>
      <c r="C27" s="1962">
        <f ca="1">ROUND(IF('数据-取费表'!B24&lt;=1,(C21+C22+C23)*F25*'数据-取费表'!B26/2,(C21+C22+C23)*(POWER((1+F25),'数据-取费表'!B26/2)-1)),0)</f>
        <v>0</v>
      </c>
      <c r="D27" s="1959"/>
      <c r="E27" s="1960"/>
      <c r="F27" s="1961"/>
      <c r="G27" s="1922" t="s">
        <v>1327</v>
      </c>
      <c r="H27" s="1943"/>
      <c r="I27" s="1943"/>
      <c r="J27" s="1943"/>
      <c r="K27" s="1991"/>
    </row>
    <row r="28" s="1903" customFormat="1" ht="13.5" customHeight="1" spans="1:11">
      <c r="A28" s="1921" t="s">
        <v>1078</v>
      </c>
      <c r="B28" s="1963" t="s">
        <v>1328</v>
      </c>
      <c r="C28" s="1964">
        <f>C30</f>
        <v>0</v>
      </c>
      <c r="D28" s="1951">
        <f>C29</f>
        <v>0.1544</v>
      </c>
      <c r="E28" s="1955" t="s">
        <v>1321</v>
      </c>
      <c r="F28" s="970">
        <f>'数据-取费表'!E28</f>
        <v>0.15</v>
      </c>
      <c r="G28" s="1965"/>
      <c r="H28" s="1953"/>
      <c r="I28" s="1953"/>
      <c r="J28" s="1953"/>
      <c r="K28" s="1993"/>
    </row>
    <row r="29" s="1904" customFormat="1" ht="13.5" customHeight="1" spans="1:11">
      <c r="A29" s="1934" t="s">
        <v>1017</v>
      </c>
      <c r="B29" s="1966" t="s">
        <v>1329</v>
      </c>
      <c r="C29" s="1959">
        <f>ROUND((1+C24)*F28,4)</f>
        <v>0.1544</v>
      </c>
      <c r="D29" s="1959"/>
      <c r="E29" s="1960"/>
      <c r="F29" s="1967"/>
      <c r="G29" s="1922" t="s">
        <v>1330</v>
      </c>
      <c r="H29" s="1943"/>
      <c r="I29" s="1943"/>
      <c r="J29" s="1943"/>
      <c r="K29" s="1991"/>
    </row>
    <row r="30" s="1904" customFormat="1" ht="13.5" customHeight="1" spans="1:11">
      <c r="A30" s="1934" t="s">
        <v>1021</v>
      </c>
      <c r="B30" s="1966" t="s">
        <v>1331</v>
      </c>
      <c r="C30" s="1968">
        <f>ROUND((C21+C22+C23)*F28,0)</f>
        <v>0</v>
      </c>
      <c r="D30" s="1959"/>
      <c r="E30" s="1969"/>
      <c r="F30" s="1967"/>
      <c r="G30" s="1922"/>
      <c r="H30" s="1943"/>
      <c r="I30" s="1943"/>
      <c r="J30" s="1943"/>
      <c r="K30" s="1991"/>
    </row>
    <row r="31" s="1901" customFormat="1" ht="13.5" customHeight="1" spans="1:11">
      <c r="A31" s="1970" t="s">
        <v>1082</v>
      </c>
      <c r="B31" s="1946" t="s">
        <v>1332</v>
      </c>
      <c r="C31" s="1971">
        <f>ROUND(C4*F31/(1+'数据-取费表'!F30),0)</f>
        <v>0</v>
      </c>
      <c r="D31" s="1972"/>
      <c r="E31" s="1973"/>
      <c r="F31" s="1974">
        <f>'数据-取费表'!E29</f>
        <v>0.056</v>
      </c>
      <c r="G31" s="1975" t="s">
        <v>1333</v>
      </c>
      <c r="H31" s="1976"/>
      <c r="I31" s="1976"/>
      <c r="J31" s="1976"/>
      <c r="K31" s="1994"/>
    </row>
    <row r="32" s="1898" customFormat="1" ht="13.5" customHeight="1" spans="1:11">
      <c r="A32" s="1977" t="s">
        <v>1334</v>
      </c>
      <c r="B32" s="1978"/>
      <c r="C32" s="1979">
        <f ca="1">ROUND((C4-C21-C22-C23-C25-C28-C31)/(1+C24+D25+D28),0)</f>
        <v>0</v>
      </c>
      <c r="D32" s="1978"/>
      <c r="E32" s="1978"/>
      <c r="F32" s="1978"/>
      <c r="G32" s="1980" t="s">
        <v>1335</v>
      </c>
      <c r="H32" s="1978"/>
      <c r="I32" s="1978"/>
      <c r="J32" s="1978"/>
      <c r="K32" s="1995"/>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ht="14.25" spans="1:9">
      <c r="A1" s="1846" t="s">
        <v>1336</v>
      </c>
      <c r="B1" s="1847"/>
      <c r="C1" s="1848"/>
      <c r="D1" s="1849">
        <f>SUM(I10,I15,I20,I21,I23)</f>
        <v>0</v>
      </c>
      <c r="E1" s="1849"/>
      <c r="F1" s="1849"/>
      <c r="G1" s="1849"/>
      <c r="H1" s="1849"/>
      <c r="I1" s="1887"/>
    </row>
    <row r="2" spans="1:9">
      <c r="A2" s="1850" t="s">
        <v>1337</v>
      </c>
      <c r="B2" s="1851" t="s">
        <v>1338</v>
      </c>
      <c r="C2" s="1851"/>
      <c r="D2" s="1851" t="s">
        <v>1339</v>
      </c>
      <c r="E2" s="1851" t="s">
        <v>1340</v>
      </c>
      <c r="F2" s="1851" t="s">
        <v>1341</v>
      </c>
      <c r="G2" s="1851" t="s">
        <v>1342</v>
      </c>
      <c r="H2" s="1851" t="s">
        <v>1343</v>
      </c>
      <c r="I2" s="1888" t="s">
        <v>1344</v>
      </c>
    </row>
    <row r="3" spans="1:9">
      <c r="A3" s="1850"/>
      <c r="B3" s="1851" t="s">
        <v>1345</v>
      </c>
      <c r="C3" s="1851"/>
      <c r="D3" s="1852"/>
      <c r="E3" s="1851"/>
      <c r="F3" s="1853"/>
      <c r="G3" s="1853"/>
      <c r="H3" s="1854"/>
      <c r="I3" s="1889">
        <f>ROUND(D3*E3*F3*G3*H3/10000,0)</f>
        <v>0</v>
      </c>
    </row>
    <row r="4" spans="1:9">
      <c r="A4" s="1850"/>
      <c r="B4" s="1851" t="s">
        <v>1346</v>
      </c>
      <c r="C4" s="1851"/>
      <c r="D4" s="1852"/>
      <c r="E4" s="1851"/>
      <c r="F4" s="1853"/>
      <c r="G4" s="1853"/>
      <c r="H4" s="1854"/>
      <c r="I4" s="1889">
        <f t="shared" ref="I4:I9" si="0">ROUND(D4*E4*F4*G4*H4/10000,0)</f>
        <v>0</v>
      </c>
    </row>
    <row r="5" spans="1:9">
      <c r="A5" s="1850"/>
      <c r="B5" s="1851" t="s">
        <v>1347</v>
      </c>
      <c r="C5" s="1851"/>
      <c r="D5" s="1852"/>
      <c r="E5" s="1851"/>
      <c r="F5" s="1853"/>
      <c r="G5" s="1853"/>
      <c r="H5" s="1854"/>
      <c r="I5" s="1889">
        <f t="shared" si="0"/>
        <v>0</v>
      </c>
    </row>
    <row r="6" spans="1:9">
      <c r="A6" s="1850"/>
      <c r="B6" s="1851" t="s">
        <v>1348</v>
      </c>
      <c r="C6" s="1851"/>
      <c r="D6" s="1852"/>
      <c r="E6" s="1851"/>
      <c r="F6" s="1853"/>
      <c r="G6" s="1853"/>
      <c r="H6" s="1854"/>
      <c r="I6" s="1889">
        <f t="shared" si="0"/>
        <v>0</v>
      </c>
    </row>
    <row r="7" spans="1:9">
      <c r="A7" s="1850"/>
      <c r="B7" s="1851" t="s">
        <v>1349</v>
      </c>
      <c r="C7" s="1851"/>
      <c r="D7" s="1852"/>
      <c r="E7" s="1851"/>
      <c r="F7" s="1853"/>
      <c r="G7" s="1853"/>
      <c r="H7" s="1854"/>
      <c r="I7" s="1889">
        <f t="shared" si="0"/>
        <v>0</v>
      </c>
    </row>
    <row r="8" spans="1:9">
      <c r="A8" s="1850"/>
      <c r="B8" s="1851" t="s">
        <v>1350</v>
      </c>
      <c r="C8" s="1851"/>
      <c r="D8" s="1852"/>
      <c r="E8" s="1851"/>
      <c r="F8" s="1853"/>
      <c r="G8" s="1853"/>
      <c r="H8" s="1854"/>
      <c r="I8" s="1889">
        <f t="shared" si="0"/>
        <v>0</v>
      </c>
    </row>
    <row r="9" spans="1:9">
      <c r="A9" s="1850"/>
      <c r="B9" s="1851" t="s">
        <v>1351</v>
      </c>
      <c r="C9" s="1851"/>
      <c r="D9" s="1852"/>
      <c r="E9" s="1851"/>
      <c r="F9" s="1853"/>
      <c r="G9" s="1853"/>
      <c r="H9" s="1854"/>
      <c r="I9" s="1889">
        <f t="shared" si="0"/>
        <v>0</v>
      </c>
    </row>
    <row r="10" spans="1:9">
      <c r="A10" s="1850"/>
      <c r="B10" s="1855" t="s">
        <v>434</v>
      </c>
      <c r="C10" s="1855"/>
      <c r="D10" s="1856">
        <v>527</v>
      </c>
      <c r="E10" s="1856" t="e">
        <f>ROUND(D1*10000/D10/H9,0)</f>
        <v>#DIV/0!</v>
      </c>
      <c r="F10" s="1857"/>
      <c r="G10" s="1857"/>
      <c r="H10" s="1858"/>
      <c r="I10" s="1890">
        <f>SUM(I3:I9)</f>
        <v>0</v>
      </c>
    </row>
    <row r="11" ht="14.25" spans="1:9">
      <c r="A11" s="1850" t="s">
        <v>1352</v>
      </c>
      <c r="B11" s="1851" t="s">
        <v>1353</v>
      </c>
      <c r="C11" s="1851"/>
      <c r="D11" s="1852" t="s">
        <v>1354</v>
      </c>
      <c r="E11" s="1852" t="s">
        <v>1355</v>
      </c>
      <c r="F11" s="1853" t="s">
        <v>1356</v>
      </c>
      <c r="G11" s="1853" t="s">
        <v>1343</v>
      </c>
      <c r="H11" s="1859" t="s">
        <v>121</v>
      </c>
      <c r="I11" s="1888" t="s">
        <v>1344</v>
      </c>
    </row>
    <row r="12" spans="1:9">
      <c r="A12" s="1850"/>
      <c r="B12" s="1851" t="s">
        <v>1357</v>
      </c>
      <c r="C12" s="1851"/>
      <c r="D12" s="1852"/>
      <c r="E12" s="1852"/>
      <c r="F12" s="1853"/>
      <c r="G12" s="1854"/>
      <c r="H12" s="1860"/>
      <c r="I12" s="1888">
        <f>ROUND(D12*E12*F12*G12/10000,0)</f>
        <v>0</v>
      </c>
    </row>
    <row r="13" spans="1:9">
      <c r="A13" s="1850"/>
      <c r="B13" s="1851" t="s">
        <v>1358</v>
      </c>
      <c r="C13" s="1851"/>
      <c r="D13" s="1852"/>
      <c r="E13" s="1852"/>
      <c r="F13" s="1853"/>
      <c r="G13" s="1854"/>
      <c r="H13" s="1860"/>
      <c r="I13" s="1888">
        <f>ROUND(D13*E13*F13*G13/10000,0)</f>
        <v>0</v>
      </c>
    </row>
    <row r="14" spans="1:9">
      <c r="A14" s="1850"/>
      <c r="B14" s="1851" t="s">
        <v>1359</v>
      </c>
      <c r="C14" s="1851"/>
      <c r="D14" s="1852"/>
      <c r="E14" s="1852"/>
      <c r="F14" s="1853"/>
      <c r="G14" s="1854"/>
      <c r="H14" s="1860"/>
      <c r="I14" s="1888">
        <f>ROUND(D14*E14*F14*G14/10000,0)</f>
        <v>0</v>
      </c>
    </row>
    <row r="15" spans="1:9">
      <c r="A15" s="1850"/>
      <c r="B15" s="1855" t="s">
        <v>434</v>
      </c>
      <c r="C15" s="1855"/>
      <c r="D15" s="1856"/>
      <c r="E15" s="1856">
        <f>SUM(E12:E14)</f>
        <v>0</v>
      </c>
      <c r="F15" s="1857"/>
      <c r="G15" s="1854"/>
      <c r="H15" s="1860"/>
      <c r="I15" s="1891">
        <f>SUM(I12:I14)</f>
        <v>0</v>
      </c>
    </row>
    <row r="16" ht="24" spans="1:9">
      <c r="A16" s="1850" t="s">
        <v>1360</v>
      </c>
      <c r="B16" s="1851" t="s">
        <v>1361</v>
      </c>
      <c r="C16" s="1851"/>
      <c r="D16" s="1852" t="s">
        <v>1339</v>
      </c>
      <c r="E16" s="1861" t="s">
        <v>1362</v>
      </c>
      <c r="F16" s="1853" t="s">
        <v>1363</v>
      </c>
      <c r="G16" s="1854" t="s">
        <v>1343</v>
      </c>
      <c r="H16" s="1859" t="s">
        <v>121</v>
      </c>
      <c r="I16" s="1888" t="s">
        <v>1344</v>
      </c>
    </row>
    <row r="17" ht="14.25" spans="1:9">
      <c r="A17" s="1850"/>
      <c r="B17" s="1851" t="s">
        <v>1364</v>
      </c>
      <c r="C17" s="1851"/>
      <c r="D17" s="1852"/>
      <c r="E17" s="1852"/>
      <c r="F17" s="1853"/>
      <c r="G17" s="1854"/>
      <c r="H17" s="1862"/>
      <c r="I17" s="1892">
        <f>ROUND(D17*E17*F17*G17/10000,0)</f>
        <v>0</v>
      </c>
    </row>
    <row r="18" ht="14.25" spans="1:9">
      <c r="A18" s="1850"/>
      <c r="B18" s="1851" t="s">
        <v>1365</v>
      </c>
      <c r="C18" s="1851"/>
      <c r="D18" s="1852"/>
      <c r="E18" s="1852"/>
      <c r="F18" s="1853"/>
      <c r="G18" s="1854"/>
      <c r="H18" s="1862"/>
      <c r="I18" s="1892">
        <f>ROUND(D18*E18*F18*G18/10000,0)</f>
        <v>0</v>
      </c>
    </row>
    <row r="19" ht="14.25" spans="1:9">
      <c r="A19" s="1850"/>
      <c r="B19" s="1851" t="s">
        <v>1366</v>
      </c>
      <c r="C19" s="1851"/>
      <c r="D19" s="1852"/>
      <c r="E19" s="1852"/>
      <c r="F19" s="1853"/>
      <c r="G19" s="1854"/>
      <c r="H19" s="1862"/>
      <c r="I19" s="1892">
        <f>ROUND(D19*E19*F19*G19/10000,0)</f>
        <v>0</v>
      </c>
    </row>
    <row r="20" spans="1:9">
      <c r="A20" s="1850"/>
      <c r="B20" s="1855" t="s">
        <v>434</v>
      </c>
      <c r="C20" s="1855"/>
      <c r="D20" s="1856">
        <f>SUM(D17:D19)</f>
        <v>0</v>
      </c>
      <c r="E20" s="1856"/>
      <c r="F20" s="1857"/>
      <c r="G20" s="1854"/>
      <c r="H20" s="1860"/>
      <c r="I20" s="1891">
        <f>SUM(I17:I19)</f>
        <v>0</v>
      </c>
    </row>
    <row r="21" spans="1:9">
      <c r="A21" s="1850" t="s">
        <v>1367</v>
      </c>
      <c r="B21" s="1863"/>
      <c r="C21" s="1863"/>
      <c r="D21" s="1863"/>
      <c r="E21" s="1863"/>
      <c r="F21" s="1863"/>
      <c r="G21" s="1863"/>
      <c r="H21" s="1864">
        <v>0.1</v>
      </c>
      <c r="I21" s="1890">
        <f>ROUND(I10*H21,0)</f>
        <v>0</v>
      </c>
    </row>
    <row r="22" ht="14.25" spans="1:9">
      <c r="A22" s="1865" t="s">
        <v>1368</v>
      </c>
      <c r="B22" s="1866"/>
      <c r="C22" s="1867"/>
      <c r="D22" s="1868" t="s">
        <v>430</v>
      </c>
      <c r="E22" s="1868" t="s">
        <v>1369</v>
      </c>
      <c r="F22" s="1869" t="s">
        <v>1343</v>
      </c>
      <c r="G22" s="1869" t="s">
        <v>1370</v>
      </c>
      <c r="H22" s="1859" t="s">
        <v>121</v>
      </c>
      <c r="I22" s="1888" t="s">
        <v>1344</v>
      </c>
    </row>
    <row r="23" ht="14.25" spans="1:9">
      <c r="A23" s="1870"/>
      <c r="B23" s="1871"/>
      <c r="C23" s="1872"/>
      <c r="D23" s="1873"/>
      <c r="E23" s="1873"/>
      <c r="F23" s="1873"/>
      <c r="G23" s="1874"/>
      <c r="H23" s="1875"/>
      <c r="I23" s="1893">
        <f>ROUND(E23*D23*F23*(1-G23)/10000,0)</f>
        <v>0</v>
      </c>
    </row>
    <row r="26" spans="1:8">
      <c r="A26" s="1876" t="s">
        <v>1371</v>
      </c>
      <c r="B26" s="1876"/>
      <c r="C26" s="1876"/>
      <c r="D26" s="1876"/>
      <c r="E26" s="1877">
        <f>C27-C30-C31-C32</f>
        <v>0</v>
      </c>
      <c r="F26" s="1877"/>
      <c r="G26" s="1877"/>
      <c r="H26" s="1878" t="s">
        <v>1372</v>
      </c>
    </row>
    <row r="27" spans="1:7">
      <c r="A27" s="1879">
        <v>1</v>
      </c>
      <c r="B27" s="1880" t="s">
        <v>1373</v>
      </c>
      <c r="C27" s="1880">
        <f>C28+C29</f>
        <v>0</v>
      </c>
      <c r="D27" s="1880"/>
      <c r="E27" s="1879"/>
      <c r="F27" s="1879"/>
      <c r="G27" s="1879"/>
    </row>
    <row r="28" spans="1:7">
      <c r="A28" s="1881" t="s">
        <v>1374</v>
      </c>
      <c r="B28" s="1880" t="s">
        <v>1375</v>
      </c>
      <c r="C28" s="1880"/>
      <c r="D28" s="1880"/>
      <c r="E28" s="1879"/>
      <c r="F28" s="1879"/>
      <c r="G28" s="1879"/>
    </row>
    <row r="29" spans="1:7">
      <c r="A29" s="1881" t="s">
        <v>1376</v>
      </c>
      <c r="B29" s="1880" t="s">
        <v>1377</v>
      </c>
      <c r="C29" s="1880"/>
      <c r="D29" s="1880"/>
      <c r="E29" s="1880" t="s">
        <v>1378</v>
      </c>
      <c r="F29" s="1880"/>
      <c r="G29" s="1880"/>
    </row>
    <row r="30" spans="1:7">
      <c r="A30" s="1879">
        <v>2</v>
      </c>
      <c r="B30" s="1880" t="s">
        <v>1379</v>
      </c>
      <c r="C30" s="1880">
        <f>C27*D30</f>
        <v>0</v>
      </c>
      <c r="D30" s="1882">
        <v>0.2</v>
      </c>
      <c r="E30" s="1880" t="s">
        <v>1380</v>
      </c>
      <c r="F30" s="1880"/>
      <c r="G30" s="1880"/>
    </row>
    <row r="31" spans="1:7">
      <c r="A31" s="1879">
        <v>3</v>
      </c>
      <c r="B31" s="1880" t="s">
        <v>1381</v>
      </c>
      <c r="C31" s="1880">
        <f>C27*D31</f>
        <v>0</v>
      </c>
      <c r="D31" s="1882">
        <v>0.15</v>
      </c>
      <c r="E31" s="1880" t="s">
        <v>1382</v>
      </c>
      <c r="F31" s="1880"/>
      <c r="G31" s="1880"/>
    </row>
    <row r="32" spans="1:7">
      <c r="A32" s="1879">
        <v>4</v>
      </c>
      <c r="B32" s="1880" t="s">
        <v>1383</v>
      </c>
      <c r="C32" s="1880">
        <f>C27*D32</f>
        <v>0</v>
      </c>
      <c r="D32" s="1882">
        <v>0.05</v>
      </c>
      <c r="E32" s="1880"/>
      <c r="F32" s="1880"/>
      <c r="G32" s="1880"/>
    </row>
    <row r="33" hidden="1" spans="1:7">
      <c r="A33" s="1883" t="s">
        <v>1384</v>
      </c>
      <c r="B33" s="1884"/>
      <c r="C33" s="1884"/>
      <c r="D33" s="1885"/>
      <c r="E33" s="1877"/>
      <c r="F33" s="1877"/>
      <c r="G33" s="1877"/>
    </row>
    <row r="34" hidden="1" spans="1:7">
      <c r="A34" s="1886">
        <v>1</v>
      </c>
      <c r="B34" s="1880" t="s">
        <v>1385</v>
      </c>
      <c r="C34" s="1880"/>
      <c r="D34" s="1880"/>
      <c r="E34" s="1879"/>
      <c r="F34" s="1879"/>
      <c r="G34" s="1879"/>
    </row>
    <row r="35" hidden="1" spans="1:7">
      <c r="A35" s="1886">
        <v>2</v>
      </c>
      <c r="B35" s="1880" t="s">
        <v>1386</v>
      </c>
      <c r="C35" s="1880"/>
      <c r="D35" s="1880"/>
      <c r="E35" s="1879"/>
      <c r="F35" s="1879"/>
      <c r="G35" s="1879"/>
    </row>
    <row r="36" hidden="1" spans="1:7">
      <c r="A36" s="1886">
        <v>3</v>
      </c>
      <c r="B36" s="1880" t="s">
        <v>1387</v>
      </c>
      <c r="C36" s="1880"/>
      <c r="D36" s="1880"/>
      <c r="E36" s="1879"/>
      <c r="F36" s="1879"/>
      <c r="G36" s="1879"/>
    </row>
    <row r="37" hidden="1" spans="1:7">
      <c r="A37" s="1886">
        <v>4</v>
      </c>
      <c r="B37" s="1880" t="s">
        <v>1388</v>
      </c>
      <c r="C37" s="1880"/>
      <c r="D37" s="1880"/>
      <c r="E37" s="1879"/>
      <c r="F37" s="1879"/>
      <c r="G37" s="1879"/>
    </row>
    <row r="38" hidden="1" spans="1:7">
      <c r="A38" s="1883" t="s">
        <v>1389</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1390</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1391</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1392</v>
      </c>
      <c r="C4" s="1720" t="s">
        <v>1393</v>
      </c>
      <c r="D4" s="1721"/>
      <c r="E4" s="1721"/>
      <c r="F4" s="1721"/>
      <c r="G4" s="1721"/>
      <c r="H4" s="1721"/>
      <c r="I4" s="1721"/>
      <c r="J4" s="1721"/>
      <c r="K4" s="1721"/>
      <c r="L4" s="1721"/>
      <c r="M4" s="1721"/>
      <c r="N4" s="1721"/>
      <c r="O4" s="1721"/>
      <c r="P4" s="1721"/>
      <c r="Q4" s="1721"/>
      <c r="R4" s="1721"/>
      <c r="S4" s="1802"/>
      <c r="T4" s="1719" t="s">
        <v>1394</v>
      </c>
      <c r="U4" s="1801"/>
      <c r="V4" s="1801"/>
      <c r="X4" s="1801"/>
      <c r="Y4" s="1801"/>
    </row>
    <row r="5" s="1704" customFormat="1" spans="1:44">
      <c r="A5" s="1722"/>
      <c r="B5" s="1723" t="s">
        <v>356</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1395</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1396</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1397</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1398</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1399</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1400</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1401</v>
      </c>
      <c r="B20" s="1749" t="s">
        <v>1402</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1403</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1404</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1405</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1406</v>
      </c>
      <c r="T24" s="1764" t="s">
        <v>1407</v>
      </c>
      <c r="U24" s="519" t="s">
        <v>1408</v>
      </c>
      <c r="V24" s="1831"/>
      <c r="W24" s="1832" t="s">
        <v>1409</v>
      </c>
      <c r="X24" s="519" t="s">
        <v>1410</v>
      </c>
      <c r="Y24" s="1831"/>
      <c r="Z24" s="1842" t="s">
        <v>1409</v>
      </c>
    </row>
    <row r="25" spans="1:26">
      <c r="A25" s="1716" t="s">
        <v>1411</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1412</v>
      </c>
      <c r="B26" s="1766" t="s">
        <v>356</v>
      </c>
      <c r="C26" s="1766" t="s">
        <v>1394</v>
      </c>
      <c r="D26" s="1766" t="str">
        <f>B8</f>
        <v>修正项2</v>
      </c>
      <c r="E26" s="1766" t="s">
        <v>1394</v>
      </c>
      <c r="F26" s="1766" t="str">
        <f>B10</f>
        <v>修正项3</v>
      </c>
      <c r="G26" s="1766" t="s">
        <v>1394</v>
      </c>
      <c r="H26" s="1766" t="str">
        <f>B12</f>
        <v>修正项4</v>
      </c>
      <c r="I26" s="1766" t="s">
        <v>1394</v>
      </c>
      <c r="J26" s="1766" t="str">
        <f>B14</f>
        <v>修正项5</v>
      </c>
      <c r="K26" s="1766" t="s">
        <v>1394</v>
      </c>
      <c r="L26" s="1766" t="str">
        <f>B16</f>
        <v>修正项6</v>
      </c>
      <c r="M26" s="1766" t="s">
        <v>1394</v>
      </c>
      <c r="N26" s="1766" t="str">
        <f>B18</f>
        <v>修正项7</v>
      </c>
      <c r="O26" s="1766" t="s">
        <v>1394</v>
      </c>
      <c r="P26" s="1766" t="str">
        <f>B20</f>
        <v>楼层</v>
      </c>
      <c r="Q26" s="1766" t="s">
        <v>1394</v>
      </c>
      <c r="R26" s="1837" t="s">
        <v>1413</v>
      </c>
      <c r="S26" s="1766" t="s">
        <v>1414</v>
      </c>
      <c r="T26" s="1766" t="s">
        <v>1414</v>
      </c>
      <c r="U26" s="337" t="s">
        <v>1415</v>
      </c>
      <c r="V26" s="337" t="s">
        <v>1416</v>
      </c>
      <c r="W26" s="1766" t="s">
        <v>1417</v>
      </c>
      <c r="X26" s="337" t="s">
        <v>1415</v>
      </c>
      <c r="Y26" s="337" t="s">
        <v>1416</v>
      </c>
      <c r="Z26" s="1766" t="s">
        <v>1417</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1418</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32" sqref="P32:P46"/>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1419</v>
      </c>
      <c r="C1" s="1578"/>
      <c r="D1" s="1663"/>
      <c r="E1" s="1579"/>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872</v>
      </c>
      <c r="D3" s="1588">
        <f>IF(C1="仅计算典型户型",'数据-取费表'!E5,'数据-取费表'!B5)</f>
        <v>164.75</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1" t="s">
        <v>876</v>
      </c>
      <c r="AC4" s="1308" t="s">
        <v>877</v>
      </c>
    </row>
    <row r="5" ht="15" spans="1:29">
      <c r="A5" s="1102"/>
      <c r="B5" s="1103"/>
      <c r="C5" s="1104" t="s">
        <v>1420</v>
      </c>
      <c r="D5" s="1105"/>
      <c r="E5" s="1106" t="s">
        <v>1421</v>
      </c>
      <c r="F5" s="1107"/>
      <c r="G5" s="1104" t="s">
        <v>1422</v>
      </c>
      <c r="H5" s="1105"/>
      <c r="I5" s="1104" t="s">
        <v>1423</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883</v>
      </c>
      <c r="B7" s="1115"/>
      <c r="C7" s="1116">
        <f>'数据-取费表'!B2</f>
        <v>44490</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6" si="3">D8/F8</f>
        <v>#DIV/0!</v>
      </c>
      <c r="AB8" s="1310" t="e">
        <f t="shared" ref="AB8:AB46" si="4">D8/H8</f>
        <v>#DIV/0!</v>
      </c>
      <c r="AC8" s="1310" t="e">
        <f t="shared" ref="AC8:AC46" si="5">D8/J8</f>
        <v>#DIV/0!</v>
      </c>
    </row>
    <row r="9" s="1080" customFormat="1" spans="1:29">
      <c r="A9" s="1122" t="s">
        <v>890</v>
      </c>
      <c r="B9" s="1123" t="s">
        <v>891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898</v>
      </c>
      <c r="Q15" s="491" t="str">
        <f t="shared" si="6"/>
        <v>商业繁华度</v>
      </c>
      <c r="R15" s="1295" t="s">
        <v>885</v>
      </c>
      <c r="S15" s="1296">
        <f t="shared" si="0"/>
        <v>100</v>
      </c>
      <c r="T15" s="1295" t="s">
        <v>885</v>
      </c>
      <c r="U15" s="1296">
        <f t="shared" si="1"/>
        <v>100</v>
      </c>
      <c r="V15" s="1295" t="s">
        <v>885</v>
      </c>
      <c r="W15" s="1296">
        <f t="shared" si="2"/>
        <v>100</v>
      </c>
      <c r="X15" s="1282"/>
      <c r="Y15" s="1253" t="s">
        <v>898</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902</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885</v>
      </c>
      <c r="S25" s="1296">
        <f>F25</f>
        <v>100</v>
      </c>
      <c r="T25" s="1295" t="s">
        <v>885</v>
      </c>
      <c r="U25" s="1296">
        <f>H25</f>
        <v>100</v>
      </c>
      <c r="V25" s="1295" t="s">
        <v>885</v>
      </c>
      <c r="W25" s="1296">
        <f>J25</f>
        <v>100</v>
      </c>
      <c r="X25" s="1282"/>
      <c r="Y25" s="1254"/>
      <c r="Z25" s="1281" t="str">
        <f>Q25</f>
        <v>临街状况</v>
      </c>
      <c r="AA25" s="1312">
        <f t="shared" si="3"/>
        <v>1</v>
      </c>
      <c r="AB25" s="1312">
        <f t="shared" si="4"/>
        <v>1</v>
      </c>
      <c r="AC25" s="1312">
        <f t="shared" si="5"/>
        <v>1</v>
      </c>
    </row>
    <row r="26" ht="15" spans="1:29">
      <c r="A26" s="504"/>
      <c r="B26" s="1614" t="s">
        <v>1424</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885</v>
      </c>
      <c r="S26" s="1296">
        <f>F26</f>
        <v>100</v>
      </c>
      <c r="T26" s="1295" t="s">
        <v>885</v>
      </c>
      <c r="U26" s="1296">
        <f>H26</f>
        <v>100</v>
      </c>
      <c r="V26" s="1295" t="s">
        <v>885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1425</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885</v>
      </c>
      <c r="S27" s="1291">
        <f>F27</f>
        <v>100</v>
      </c>
      <c r="T27" s="1290" t="s">
        <v>885</v>
      </c>
      <c r="U27" s="1291">
        <f>H27</f>
        <v>100</v>
      </c>
      <c r="V27" s="1290" t="s">
        <v>885</v>
      </c>
      <c r="W27" s="1291">
        <f>J27</f>
        <v>100</v>
      </c>
      <c r="X27" s="1292"/>
      <c r="Y27" s="1254"/>
      <c r="Z27" s="1311" t="str">
        <f>Q27</f>
        <v>人流量</v>
      </c>
      <c r="AA27" s="1312">
        <f t="shared" si="3"/>
        <v>1</v>
      </c>
      <c r="AB27" s="1312">
        <f t="shared" si="4"/>
        <v>1</v>
      </c>
      <c r="AC27" s="1312">
        <f t="shared" si="5"/>
        <v>1</v>
      </c>
    </row>
    <row r="28" ht="15" spans="1:29">
      <c r="A28" s="504"/>
      <c r="B28" s="1127" t="s">
        <v>1426</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885</v>
      </c>
      <c r="S28" s="1296">
        <f t="shared" ref="S28:S46" si="12">F28</f>
        <v>100</v>
      </c>
      <c r="T28" s="1295" t="s">
        <v>885</v>
      </c>
      <c r="U28" s="1296">
        <f t="shared" ref="U28:U46" si="13">H28</f>
        <v>100</v>
      </c>
      <c r="V28" s="1295" t="s">
        <v>885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914</v>
      </c>
      <c r="B32" s="1123" t="s">
        <v>1427</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917</v>
      </c>
      <c r="Q32" s="491" t="str">
        <f t="shared" si="11"/>
        <v>商业类型</v>
      </c>
      <c r="R32" s="1295" t="s">
        <v>885</v>
      </c>
      <c r="S32" s="1296">
        <f t="shared" si="12"/>
        <v>100</v>
      </c>
      <c r="T32" s="1295" t="s">
        <v>885</v>
      </c>
      <c r="U32" s="1296">
        <f t="shared" si="13"/>
        <v>100</v>
      </c>
      <c r="V32" s="1295" t="s">
        <v>885</v>
      </c>
      <c r="W32" s="1296">
        <f t="shared" si="14"/>
        <v>100</v>
      </c>
      <c r="X32" s="1282"/>
      <c r="Y32" s="1267" t="s">
        <v>917</v>
      </c>
      <c r="Z32" s="1281" t="str">
        <f t="shared" si="15"/>
        <v>商业类型</v>
      </c>
      <c r="AA32" s="1312">
        <f t="shared" si="3"/>
        <v>1</v>
      </c>
      <c r="AB32" s="1312">
        <f t="shared" si="4"/>
        <v>1</v>
      </c>
      <c r="AC32" s="1312">
        <f t="shared" si="5"/>
        <v>1</v>
      </c>
    </row>
    <row r="33" s="1082" customFormat="1" ht="15" spans="1:29">
      <c r="A33" s="1190"/>
      <c r="B33" s="1127" t="s">
        <v>918</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885</v>
      </c>
      <c r="S33" s="1298" t="e">
        <f t="shared" si="12"/>
        <v>#N/A</v>
      </c>
      <c r="T33" s="1297" t="s">
        <v>885</v>
      </c>
      <c r="U33" s="1298" t="e">
        <f t="shared" si="13"/>
        <v>#N/A</v>
      </c>
      <c r="V33" s="1297" t="s">
        <v>885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919</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922</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885</v>
      </c>
      <c r="S35" s="1296">
        <f t="shared" si="12"/>
        <v>100</v>
      </c>
      <c r="T35" s="1295" t="s">
        <v>885</v>
      </c>
      <c r="U35" s="1296">
        <f t="shared" si="13"/>
        <v>100</v>
      </c>
      <c r="V35" s="1295" t="s">
        <v>885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924</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885</v>
      </c>
      <c r="S36" s="1296" t="e">
        <f t="shared" si="12"/>
        <v>#N/A</v>
      </c>
      <c r="T36" s="1295" t="s">
        <v>885</v>
      </c>
      <c r="U36" s="1296" t="e">
        <f t="shared" si="13"/>
        <v>#N/A</v>
      </c>
      <c r="V36" s="1295" t="s">
        <v>885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927</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885</v>
      </c>
      <c r="S37" s="1291">
        <f t="shared" si="12"/>
        <v>100</v>
      </c>
      <c r="T37" s="1290" t="s">
        <v>885</v>
      </c>
      <c r="U37" s="1291">
        <f t="shared" si="13"/>
        <v>100</v>
      </c>
      <c r="V37" s="1290" t="s">
        <v>885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1428</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917</v>
      </c>
      <c r="Q38" s="491" t="str">
        <f t="shared" si="11"/>
        <v>业态</v>
      </c>
      <c r="R38" s="1295" t="s">
        <v>885</v>
      </c>
      <c r="S38" s="1296">
        <f t="shared" si="12"/>
        <v>100</v>
      </c>
      <c r="T38" s="1295" t="s">
        <v>885</v>
      </c>
      <c r="U38" s="1296">
        <f t="shared" si="13"/>
        <v>100</v>
      </c>
      <c r="V38" s="1295" t="s">
        <v>885</v>
      </c>
      <c r="W38" s="1296">
        <f t="shared" si="14"/>
        <v>100</v>
      </c>
      <c r="X38" s="1282"/>
      <c r="Y38" s="1267" t="s">
        <v>917</v>
      </c>
      <c r="Z38" s="1281" t="str">
        <f t="shared" si="15"/>
        <v>业态</v>
      </c>
      <c r="AA38" s="1312">
        <f t="shared" si="3"/>
        <v>1</v>
      </c>
      <c r="AB38" s="1312">
        <f t="shared" si="4"/>
        <v>1</v>
      </c>
      <c r="AC38" s="1312">
        <f t="shared" si="5"/>
        <v>1</v>
      </c>
    </row>
    <row r="39" ht="15" spans="1:29">
      <c r="A39" s="1185"/>
      <c r="B39" s="1127" t="s">
        <v>1429</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885</v>
      </c>
      <c r="S39" s="1296">
        <f t="shared" si="12"/>
        <v>100</v>
      </c>
      <c r="T39" s="1295" t="s">
        <v>885</v>
      </c>
      <c r="U39" s="1296">
        <f t="shared" si="13"/>
        <v>100</v>
      </c>
      <c r="V39" s="1295" t="s">
        <v>885</v>
      </c>
      <c r="W39" s="1296">
        <f t="shared" si="14"/>
        <v>100</v>
      </c>
      <c r="X39" s="1282"/>
      <c r="Y39" s="1267"/>
      <c r="Z39" s="1281" t="str">
        <f t="shared" si="15"/>
        <v>层高</v>
      </c>
      <c r="AA39" s="1312">
        <f t="shared" si="3"/>
        <v>1</v>
      </c>
      <c r="AB39" s="1312">
        <f t="shared" si="4"/>
        <v>1</v>
      </c>
      <c r="AC39" s="1312">
        <f t="shared" si="5"/>
        <v>1</v>
      </c>
    </row>
    <row r="40" ht="15" spans="1:29">
      <c r="A40" s="1185"/>
      <c r="B40" s="1127" t="s">
        <v>1430</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885</v>
      </c>
      <c r="S40" s="1296">
        <f t="shared" si="12"/>
        <v>100</v>
      </c>
      <c r="T40" s="1295" t="s">
        <v>885</v>
      </c>
      <c r="U40" s="1296">
        <f t="shared" si="13"/>
        <v>100</v>
      </c>
      <c r="V40" s="1295" t="s">
        <v>885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1431</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885</v>
      </c>
      <c r="S41" s="1298">
        <f t="shared" si="12"/>
        <v>100</v>
      </c>
      <c r="T41" s="1297" t="s">
        <v>885</v>
      </c>
      <c r="U41" s="1298">
        <f t="shared" si="13"/>
        <v>100</v>
      </c>
      <c r="V41" s="1297" t="s">
        <v>885</v>
      </c>
      <c r="W41" s="1298">
        <f t="shared" si="14"/>
        <v>100</v>
      </c>
      <c r="X41" s="1299"/>
      <c r="Y41" s="1267"/>
      <c r="Z41" s="1313" t="str">
        <f t="shared" si="15"/>
        <v>进深比</v>
      </c>
      <c r="AA41" s="1312">
        <f t="shared" si="3"/>
        <v>1</v>
      </c>
      <c r="AB41" s="1312">
        <f t="shared" si="4"/>
        <v>1</v>
      </c>
      <c r="AC41" s="1312">
        <f t="shared" si="5"/>
        <v>1</v>
      </c>
    </row>
    <row r="42" ht="15" spans="1:29">
      <c r="A42" s="1185"/>
      <c r="B42" s="1127" t="s">
        <v>930</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932</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933</v>
      </c>
      <c r="B48" s="1624"/>
      <c r="C48" s="1625" t="e">
        <f>R49</f>
        <v>#DIV/0!</v>
      </c>
      <c r="D48" s="831" t="s">
        <v>934</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1432</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936</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937</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938</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939</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940</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941</v>
      </c>
      <c r="B63" s="1341" t="s">
        <v>891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894</v>
      </c>
      <c r="C65" s="1346" t="s">
        <v>942</v>
      </c>
      <c r="D65" s="1346" t="s">
        <v>943</v>
      </c>
      <c r="E65" s="1346" t="s">
        <v>944</v>
      </c>
      <c r="F65" s="1346" t="s">
        <v>945</v>
      </c>
      <c r="G65" s="1346" t="s">
        <v>946</v>
      </c>
      <c r="H65" s="1346" t="s">
        <v>947</v>
      </c>
      <c r="I65" s="1346" t="s">
        <v>948</v>
      </c>
      <c r="J65" s="1346"/>
      <c r="K65" s="1039"/>
      <c r="L65" s="1039"/>
      <c r="M65" s="1394"/>
      <c r="N65" s="1390"/>
      <c r="O65" s="1390"/>
      <c r="P65" s="1697"/>
      <c r="Q65" s="1382"/>
    </row>
    <row r="66" ht="15.75" spans="1:17">
      <c r="A66" s="1342"/>
      <c r="B66" s="1347"/>
      <c r="C66" s="1348" t="s">
        <v>1433</v>
      </c>
      <c r="D66" s="1348" t="s">
        <v>1433</v>
      </c>
      <c r="E66" s="1348" t="s">
        <v>1433</v>
      </c>
      <c r="F66" s="1348">
        <v>100</v>
      </c>
      <c r="G66" s="1348">
        <f>F66-$K10</f>
        <v>100</v>
      </c>
      <c r="H66" s="1348">
        <f>G66-$K10</f>
        <v>100</v>
      </c>
      <c r="I66" s="1348">
        <f>H66-$K10</f>
        <v>100</v>
      </c>
      <c r="J66" s="1348"/>
      <c r="K66" s="1348"/>
      <c r="L66" s="1348"/>
      <c r="M66" s="1395"/>
      <c r="N66" s="1393"/>
      <c r="O66" s="1393"/>
      <c r="P66" s="1697"/>
      <c r="Q66" s="1382"/>
    </row>
    <row r="67" ht="15.75" spans="1:17">
      <c r="A67" s="1342"/>
      <c r="B67" s="1349" t="s">
        <v>895</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949</v>
      </c>
      <c r="D82" s="1346" t="s">
        <v>950</v>
      </c>
      <c r="E82" s="1346" t="s">
        <v>951</v>
      </c>
      <c r="F82" s="1346" t="s">
        <v>952</v>
      </c>
      <c r="G82" s="1346" t="s">
        <v>953</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902</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914</v>
      </c>
      <c r="B100" s="1341" t="s">
        <v>1427</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918</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919</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922</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924</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927</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1428</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1429</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1430</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1434</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930</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27 E27 G27 I27">
      <formula1>商业人流量</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P33" sqref="P33:P47"/>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1435</v>
      </c>
      <c r="C1" s="1578"/>
      <c r="D1" s="1577"/>
      <c r="E1" s="1579"/>
      <c r="F1" s="1580" t="s">
        <v>869</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872</v>
      </c>
      <c r="D3" s="1588">
        <f>IF(C1="仅计算典型户型",'数据-取费表'!E5,'数据-取费表'!B5)</f>
        <v>164.75</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1420</v>
      </c>
      <c r="D5" s="1105"/>
      <c r="E5" s="1106" t="s">
        <v>1421</v>
      </c>
      <c r="F5" s="1107"/>
      <c r="G5" s="1104" t="s">
        <v>1422</v>
      </c>
      <c r="H5" s="1105"/>
      <c r="I5" s="1104" t="s">
        <v>1423</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44490</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7" si="3">D8/F8</f>
        <v>#DIV/0!</v>
      </c>
      <c r="AB8" s="1310" t="e">
        <f t="shared" ref="AB8:AB47" si="4">D8/H8</f>
        <v>#DIV/0!</v>
      </c>
      <c r="AC8" s="1310" t="e">
        <f t="shared" ref="AC8:AC47" si="5">D8/J8</f>
        <v>#DIV/0!</v>
      </c>
    </row>
    <row r="9" s="1080" customFormat="1" spans="1:29">
      <c r="A9" s="1122" t="s">
        <v>890</v>
      </c>
      <c r="B9" s="1123" t="s">
        <v>891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898</v>
      </c>
      <c r="Q15" s="491" t="str">
        <f t="shared" si="6"/>
        <v>办公集聚程度</v>
      </c>
      <c r="R15" s="1295" t="s">
        <v>885</v>
      </c>
      <c r="S15" s="1296">
        <f t="shared" si="0"/>
        <v>100</v>
      </c>
      <c r="T15" s="1295" t="s">
        <v>885</v>
      </c>
      <c r="U15" s="1296">
        <f t="shared" si="1"/>
        <v>100</v>
      </c>
      <c r="V15" s="1295" t="s">
        <v>885</v>
      </c>
      <c r="W15" s="1296">
        <f t="shared" si="2"/>
        <v>100</v>
      </c>
      <c r="X15" s="1282"/>
      <c r="Y15" s="1253" t="s">
        <v>898</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885</v>
      </c>
      <c r="S23" s="1296">
        <f>F23</f>
        <v>100</v>
      </c>
      <c r="T23" s="1295" t="s">
        <v>885</v>
      </c>
      <c r="U23" s="1296">
        <f>H23</f>
        <v>100</v>
      </c>
      <c r="V23" s="1295" t="s">
        <v>885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1436</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885</v>
      </c>
      <c r="S25" s="1296">
        <f>F25</f>
        <v>100</v>
      </c>
      <c r="T25" s="1295" t="s">
        <v>885</v>
      </c>
      <c r="U25" s="1296">
        <f>H25</f>
        <v>100</v>
      </c>
      <c r="V25" s="1295" t="s">
        <v>885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1426</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885</v>
      </c>
      <c r="S27" s="1296">
        <f>F27</f>
        <v>100</v>
      </c>
      <c r="T27" s="1295" t="s">
        <v>885</v>
      </c>
      <c r="U27" s="1296">
        <f>H27</f>
        <v>100</v>
      </c>
      <c r="V27" s="1295" t="s">
        <v>885</v>
      </c>
      <c r="W27" s="1296">
        <f>J27</f>
        <v>100</v>
      </c>
      <c r="X27" s="1282"/>
      <c r="Y27" s="1254"/>
      <c r="Z27" s="1281" t="str">
        <f>Q27</f>
        <v>楼层</v>
      </c>
      <c r="AA27" s="1312">
        <f t="shared" si="3"/>
        <v>1</v>
      </c>
      <c r="AB27" s="1312">
        <f t="shared" si="4"/>
        <v>1</v>
      </c>
      <c r="AC27" s="1312">
        <f t="shared" si="5"/>
        <v>1</v>
      </c>
    </row>
    <row r="28" s="1080" customFormat="1" ht="15" spans="1:29">
      <c r="A28" s="1134"/>
      <c r="B28" s="1598" t="s">
        <v>904</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885</v>
      </c>
      <c r="S28" s="1291">
        <f>F28</f>
        <v>100</v>
      </c>
      <c r="T28" s="1290" t="s">
        <v>885</v>
      </c>
      <c r="U28" s="1291">
        <f>H28</f>
        <v>100</v>
      </c>
      <c r="V28" s="1290" t="s">
        <v>885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885</v>
      </c>
      <c r="S29" s="1296">
        <f t="shared" ref="S29:S47" si="12">F29</f>
        <v>100</v>
      </c>
      <c r="T29" s="1295" t="s">
        <v>885</v>
      </c>
      <c r="U29" s="1296">
        <f t="shared" ref="U29:U47" si="13">H29</f>
        <v>100</v>
      </c>
      <c r="V29" s="1295" t="s">
        <v>885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885</v>
      </c>
      <c r="S32" s="1296">
        <f t="shared" si="12"/>
        <v>100</v>
      </c>
      <c r="T32" s="1295" t="s">
        <v>885</v>
      </c>
      <c r="U32" s="1296">
        <f t="shared" si="13"/>
        <v>100</v>
      </c>
      <c r="V32" s="1295" t="s">
        <v>885</v>
      </c>
      <c r="W32" s="1296">
        <f t="shared" si="14"/>
        <v>100</v>
      </c>
      <c r="X32" s="1282"/>
      <c r="Y32" s="1254"/>
      <c r="Z32" s="1281">
        <f t="shared" si="15"/>
        <v>111</v>
      </c>
      <c r="AA32" s="1312">
        <f t="shared" si="3"/>
        <v>1</v>
      </c>
      <c r="AB32" s="1312">
        <f t="shared" si="4"/>
        <v>1</v>
      </c>
      <c r="AC32" s="1312">
        <f t="shared" si="5"/>
        <v>1</v>
      </c>
    </row>
    <row r="33" ht="15" spans="1:29">
      <c r="A33" s="480" t="s">
        <v>914</v>
      </c>
      <c r="B33" s="1123" t="s">
        <v>915</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917</v>
      </c>
      <c r="Q33" s="491" t="str">
        <f t="shared" si="11"/>
        <v>建筑类型</v>
      </c>
      <c r="R33" s="1295" t="s">
        <v>885</v>
      </c>
      <c r="S33" s="1296">
        <f t="shared" si="12"/>
        <v>100</v>
      </c>
      <c r="T33" s="1295" t="s">
        <v>885</v>
      </c>
      <c r="U33" s="1296">
        <f t="shared" si="13"/>
        <v>100</v>
      </c>
      <c r="V33" s="1295" t="s">
        <v>885</v>
      </c>
      <c r="W33" s="1296">
        <f t="shared" si="14"/>
        <v>100</v>
      </c>
      <c r="X33" s="1282"/>
      <c r="Y33" s="1267" t="s">
        <v>917</v>
      </c>
      <c r="Z33" s="1281" t="str">
        <f t="shared" si="15"/>
        <v>建筑类型</v>
      </c>
      <c r="AA33" s="1312">
        <f t="shared" si="3"/>
        <v>1</v>
      </c>
      <c r="AB33" s="1312">
        <f t="shared" si="4"/>
        <v>1</v>
      </c>
      <c r="AC33" s="1312">
        <f t="shared" si="5"/>
        <v>1</v>
      </c>
    </row>
    <row r="34" s="1082" customFormat="1" ht="15" spans="1:29">
      <c r="A34" s="1190"/>
      <c r="B34" s="1127" t="s">
        <v>918</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885</v>
      </c>
      <c r="S34" s="1298" t="e">
        <f t="shared" si="12"/>
        <v>#N/A</v>
      </c>
      <c r="T34" s="1297" t="s">
        <v>885</v>
      </c>
      <c r="U34" s="1298" t="e">
        <f t="shared" si="13"/>
        <v>#N/A</v>
      </c>
      <c r="V34" s="1297" t="s">
        <v>885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919</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885</v>
      </c>
      <c r="S35" s="1296">
        <f t="shared" si="12"/>
        <v>100</v>
      </c>
      <c r="T35" s="1295" t="s">
        <v>885</v>
      </c>
      <c r="U35" s="1296">
        <f t="shared" si="13"/>
        <v>100</v>
      </c>
      <c r="V35" s="1295" t="s">
        <v>885</v>
      </c>
      <c r="W35" s="1296">
        <f t="shared" si="14"/>
        <v>100</v>
      </c>
      <c r="X35" s="1282"/>
      <c r="Y35" s="1267"/>
      <c r="Z35" s="1281" t="str">
        <f t="shared" si="15"/>
        <v>建筑结构</v>
      </c>
      <c r="AA35" s="1312">
        <f t="shared" si="3"/>
        <v>1</v>
      </c>
      <c r="AB35" s="1312">
        <f t="shared" si="4"/>
        <v>1</v>
      </c>
      <c r="AC35" s="1312">
        <f t="shared" si="5"/>
        <v>1</v>
      </c>
    </row>
    <row r="36" ht="15" spans="1:29">
      <c r="A36" s="1185"/>
      <c r="B36" s="1127" t="s">
        <v>922</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924</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885</v>
      </c>
      <c r="S37" s="1296" t="e">
        <f t="shared" si="12"/>
        <v>#N/A</v>
      </c>
      <c r="T37" s="1295" t="s">
        <v>885</v>
      </c>
      <c r="U37" s="1296" t="e">
        <f t="shared" si="13"/>
        <v>#N/A</v>
      </c>
      <c r="V37" s="1295" t="s">
        <v>885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1437</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885</v>
      </c>
      <c r="S38" s="1291">
        <f t="shared" si="12"/>
        <v>100</v>
      </c>
      <c r="T38" s="1290" t="s">
        <v>885</v>
      </c>
      <c r="U38" s="1291">
        <f t="shared" si="13"/>
        <v>100</v>
      </c>
      <c r="V38" s="1290" t="s">
        <v>885</v>
      </c>
      <c r="W38" s="1291">
        <f t="shared" si="14"/>
        <v>100</v>
      </c>
      <c r="X38" s="1292"/>
      <c r="Y38" s="1267"/>
      <c r="Z38" s="1311" t="str">
        <f t="shared" si="15"/>
        <v>写字楼等级</v>
      </c>
      <c r="AA38" s="1310">
        <f t="shared" si="3"/>
        <v>1</v>
      </c>
      <c r="AB38" s="1310">
        <f t="shared" si="4"/>
        <v>1</v>
      </c>
      <c r="AC38" s="1310">
        <f t="shared" si="5"/>
        <v>1</v>
      </c>
    </row>
    <row r="39" ht="15" spans="1:29">
      <c r="A39" s="1185"/>
      <c r="B39" s="1127" t="s">
        <v>925</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917</v>
      </c>
      <c r="Q39" s="491" t="str">
        <f t="shared" si="11"/>
        <v>物业管理</v>
      </c>
      <c r="R39" s="1295" t="s">
        <v>885</v>
      </c>
      <c r="S39" s="1296">
        <f t="shared" si="12"/>
        <v>100</v>
      </c>
      <c r="T39" s="1295" t="s">
        <v>885</v>
      </c>
      <c r="U39" s="1296">
        <f t="shared" si="13"/>
        <v>100</v>
      </c>
      <c r="V39" s="1295" t="s">
        <v>885</v>
      </c>
      <c r="W39" s="1296">
        <f t="shared" si="14"/>
        <v>100</v>
      </c>
      <c r="X39" s="1282"/>
      <c r="Y39" s="1267" t="s">
        <v>917</v>
      </c>
      <c r="Z39" s="1281" t="str">
        <f t="shared" si="15"/>
        <v>物业管理</v>
      </c>
      <c r="AA39" s="1312">
        <f t="shared" si="3"/>
        <v>1</v>
      </c>
      <c r="AB39" s="1312">
        <f t="shared" si="4"/>
        <v>1</v>
      </c>
      <c r="AC39" s="1312">
        <f t="shared" si="5"/>
        <v>1</v>
      </c>
    </row>
    <row r="40" ht="15" spans="1:29">
      <c r="A40" s="1185"/>
      <c r="B40" s="1127" t="s">
        <v>927</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885</v>
      </c>
      <c r="S40" s="1296">
        <f t="shared" si="12"/>
        <v>100</v>
      </c>
      <c r="T40" s="1295" t="s">
        <v>885</v>
      </c>
      <c r="U40" s="1296">
        <f t="shared" si="13"/>
        <v>100</v>
      </c>
      <c r="V40" s="1295" t="s">
        <v>885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1429</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885</v>
      </c>
      <c r="S41" s="1296">
        <f t="shared" si="12"/>
        <v>100</v>
      </c>
      <c r="T41" s="1295" t="s">
        <v>885</v>
      </c>
      <c r="U41" s="1296">
        <f t="shared" si="13"/>
        <v>100</v>
      </c>
      <c r="V41" s="1295" t="s">
        <v>885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1438</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885</v>
      </c>
      <c r="S42" s="1298">
        <f t="shared" si="12"/>
        <v>100</v>
      </c>
      <c r="T42" s="1297" t="s">
        <v>885</v>
      </c>
      <c r="U42" s="1298">
        <f t="shared" si="13"/>
        <v>100</v>
      </c>
      <c r="V42" s="1297" t="s">
        <v>885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930</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885</v>
      </c>
      <c r="S43" s="1296">
        <f t="shared" si="12"/>
        <v>100</v>
      </c>
      <c r="T43" s="1295" t="s">
        <v>885</v>
      </c>
      <c r="U43" s="1296">
        <f t="shared" si="13"/>
        <v>100</v>
      </c>
      <c r="V43" s="1295" t="s">
        <v>885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885</v>
      </c>
      <c r="S44" s="1296">
        <f t="shared" si="12"/>
        <v>100</v>
      </c>
      <c r="T44" s="1295" t="s">
        <v>885</v>
      </c>
      <c r="U44" s="1296">
        <f t="shared" si="13"/>
        <v>100</v>
      </c>
      <c r="V44" s="1295" t="s">
        <v>885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885</v>
      </c>
      <c r="S45" s="1291">
        <f t="shared" si="12"/>
        <v>100</v>
      </c>
      <c r="T45" s="1290" t="s">
        <v>885</v>
      </c>
      <c r="U45" s="1291">
        <f t="shared" si="13"/>
        <v>100</v>
      </c>
      <c r="V45" s="1290" t="s">
        <v>885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885</v>
      </c>
      <c r="S46" s="1296">
        <f t="shared" si="12"/>
        <v>100</v>
      </c>
      <c r="T46" s="1295" t="s">
        <v>885</v>
      </c>
      <c r="U46" s="1296">
        <f t="shared" si="13"/>
        <v>100</v>
      </c>
      <c r="V46" s="1295" t="s">
        <v>885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885</v>
      </c>
      <c r="S47" s="1296">
        <f t="shared" si="12"/>
        <v>100</v>
      </c>
      <c r="T47" s="1295" t="s">
        <v>885</v>
      </c>
      <c r="U47" s="1296">
        <f t="shared" si="13"/>
        <v>100</v>
      </c>
      <c r="V47" s="1295" t="s">
        <v>885</v>
      </c>
      <c r="W47" s="1296">
        <f t="shared" si="14"/>
        <v>100</v>
      </c>
      <c r="X47" s="1282"/>
      <c r="Y47" s="1314"/>
      <c r="Z47" s="1281">
        <f t="shared" si="15"/>
        <v>111</v>
      </c>
      <c r="AA47" s="1312">
        <f t="shared" si="3"/>
        <v>1</v>
      </c>
      <c r="AB47" s="1312">
        <f t="shared" si="4"/>
        <v>1</v>
      </c>
      <c r="AC47" s="1312">
        <f t="shared" si="5"/>
        <v>1</v>
      </c>
    </row>
    <row r="48" ht="15" spans="1:29">
      <c r="A48" s="1193" t="s">
        <v>932</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933</v>
      </c>
      <c r="B49" s="1624"/>
      <c r="C49" s="1625" t="e">
        <f>R50</f>
        <v>#DIV/0!</v>
      </c>
      <c r="D49" s="831" t="s">
        <v>934</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935</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936</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937</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938</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939</v>
      </c>
      <c r="B58" s="1300"/>
      <c r="C58" s="1324"/>
      <c r="D58" s="1324"/>
      <c r="E58" s="1324"/>
      <c r="F58" s="1324"/>
      <c r="G58" s="1324"/>
      <c r="H58" s="1324"/>
      <c r="I58" s="1324"/>
      <c r="J58" s="1324"/>
      <c r="K58" s="1640"/>
      <c r="L58" s="1641"/>
      <c r="M58" s="1324"/>
      <c r="N58" s="1642"/>
      <c r="O58" s="1642"/>
      <c r="P58" s="1378"/>
      <c r="Q58" s="1382"/>
    </row>
    <row r="59" s="1575" customFormat="1" ht="15" spans="1:16">
      <c r="A59" s="1628" t="s">
        <v>883</v>
      </c>
      <c r="B59" s="1629"/>
      <c r="C59" s="1630" t="str">
        <f>YEAR(C7)&amp;"-"&amp;MONTH(C7)</f>
        <v>2021-10</v>
      </c>
      <c r="D59" s="1631">
        <f>EDATE(C59,-1)</f>
        <v>44440</v>
      </c>
      <c r="E59" s="1631">
        <f t="shared" ref="E59:O59" si="16">EDATE(D59,-1)</f>
        <v>44409</v>
      </c>
      <c r="F59" s="1631">
        <f t="shared" si="16"/>
        <v>44378</v>
      </c>
      <c r="G59" s="1631">
        <f t="shared" si="16"/>
        <v>44348</v>
      </c>
      <c r="H59" s="1631">
        <f t="shared" si="16"/>
        <v>44317</v>
      </c>
      <c r="I59" s="1631">
        <f t="shared" si="16"/>
        <v>44287</v>
      </c>
      <c r="J59" s="1631">
        <f t="shared" si="16"/>
        <v>44256</v>
      </c>
      <c r="K59" s="1631">
        <f t="shared" si="16"/>
        <v>44228</v>
      </c>
      <c r="L59" s="1631">
        <f t="shared" si="16"/>
        <v>44197</v>
      </c>
      <c r="M59" s="1631">
        <f t="shared" si="16"/>
        <v>44166</v>
      </c>
      <c r="N59" s="1631">
        <f t="shared" si="16"/>
        <v>44136</v>
      </c>
      <c r="O59" s="1631">
        <f t="shared" si="16"/>
        <v>44105</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940</v>
      </c>
      <c r="B61" s="1332"/>
      <c r="C61" s="1333"/>
      <c r="D61" s="1334"/>
      <c r="E61" s="1334"/>
      <c r="F61" s="1334"/>
      <c r="G61" s="1334"/>
      <c r="H61" s="1334"/>
      <c r="I61" s="1334"/>
      <c r="J61" s="1334"/>
      <c r="K61" s="1334"/>
      <c r="L61" s="1334"/>
      <c r="M61" s="1383"/>
      <c r="N61" s="1334"/>
      <c r="O61" s="1645"/>
      <c r="P61" s="1382"/>
      <c r="Q61" s="1382"/>
    </row>
    <row r="62" s="1080" customFormat="1" ht="15" spans="1:17">
      <c r="A62" s="1335" t="s">
        <v>886</v>
      </c>
      <c r="B62" s="1336"/>
      <c r="C62" s="1337" t="s">
        <v>887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941</v>
      </c>
      <c r="B64" s="1341" t="s">
        <v>891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894</v>
      </c>
      <c r="C66" s="1346" t="s">
        <v>942</v>
      </c>
      <c r="D66" s="1346" t="s">
        <v>943</v>
      </c>
      <c r="E66" s="1346" t="s">
        <v>944</v>
      </c>
      <c r="F66" s="1346" t="s">
        <v>945</v>
      </c>
      <c r="G66" s="1346" t="s">
        <v>946</v>
      </c>
      <c r="H66" s="1346" t="s">
        <v>947</v>
      </c>
      <c r="I66" s="1346" t="s">
        <v>948</v>
      </c>
      <c r="J66" s="1346"/>
      <c r="K66" s="1039"/>
      <c r="L66" s="1039"/>
      <c r="M66" s="1394"/>
      <c r="N66" s="1390"/>
      <c r="O66" s="1390"/>
      <c r="P66" s="1391"/>
      <c r="Q66" s="1382"/>
    </row>
    <row r="67" ht="15.75" spans="1:17">
      <c r="A67" s="1342"/>
      <c r="B67" s="1347"/>
      <c r="C67" s="1348" t="s">
        <v>1433</v>
      </c>
      <c r="D67" s="1348" t="s">
        <v>1433</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895</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896</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949</v>
      </c>
      <c r="D83" s="1346" t="s">
        <v>950</v>
      </c>
      <c r="E83" s="1346" t="s">
        <v>951</v>
      </c>
      <c r="F83" s="1346" t="s">
        <v>952</v>
      </c>
      <c r="G83" s="1346" t="s">
        <v>953</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1436</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914</v>
      </c>
      <c r="B101" s="1341" t="s">
        <v>915</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918</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919</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922</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924</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1437</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925</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927</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1439</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1430</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930</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P29" sqref="P29:P40"/>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866</v>
      </c>
      <c r="B1" s="1483" t="s">
        <v>1440</v>
      </c>
      <c r="C1" s="1562"/>
      <c r="D1" s="1421"/>
      <c r="E1" s="1422"/>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872</v>
      </c>
      <c r="D3" s="1432">
        <f>IF(C1="仅计算典型户型",'数据-取费表'!E5,'数据-取费表'!B5)</f>
        <v>164.75</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1420</v>
      </c>
      <c r="D5" s="737"/>
      <c r="E5" s="738" t="s">
        <v>1421</v>
      </c>
      <c r="F5" s="739"/>
      <c r="G5" s="736" t="s">
        <v>1422</v>
      </c>
      <c r="H5" s="737"/>
      <c r="I5" s="736" t="s">
        <v>1423</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44490</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59" t="s">
        <v>895</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898</v>
      </c>
      <c r="Q15" s="893" t="str">
        <f t="shared" si="6"/>
        <v>产业集聚程度</v>
      </c>
      <c r="R15" s="947" t="s">
        <v>885</v>
      </c>
      <c r="S15" s="948">
        <f t="shared" si="0"/>
        <v>100</v>
      </c>
      <c r="T15" s="947" t="s">
        <v>885</v>
      </c>
      <c r="U15" s="948">
        <f t="shared" si="1"/>
        <v>100</v>
      </c>
      <c r="V15" s="947" t="s">
        <v>885</v>
      </c>
      <c r="W15" s="948">
        <f t="shared" si="2"/>
        <v>100</v>
      </c>
      <c r="X15" s="934"/>
      <c r="Y15" s="903" t="s">
        <v>898</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885</v>
      </c>
      <c r="S19" s="948">
        <f>F19</f>
        <v>100</v>
      </c>
      <c r="T19" s="947" t="s">
        <v>885</v>
      </c>
      <c r="U19" s="948">
        <f>H19</f>
        <v>100</v>
      </c>
      <c r="V19" s="947" t="s">
        <v>885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885</v>
      </c>
      <c r="S21" s="948">
        <f>F21</f>
        <v>100</v>
      </c>
      <c r="T21" s="947" t="s">
        <v>885</v>
      </c>
      <c r="U21" s="948">
        <f>H21</f>
        <v>100</v>
      </c>
      <c r="V21" s="947" t="s">
        <v>885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885</v>
      </c>
      <c r="S23" s="948">
        <f>F23</f>
        <v>100</v>
      </c>
      <c r="T23" s="947" t="s">
        <v>885</v>
      </c>
      <c r="U23" s="948">
        <f>H23</f>
        <v>100</v>
      </c>
      <c r="V23" s="947" t="s">
        <v>885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885</v>
      </c>
      <c r="S25" s="948">
        <f>F25</f>
        <v>100</v>
      </c>
      <c r="T25" s="947" t="s">
        <v>885</v>
      </c>
      <c r="U25" s="948">
        <f>H25</f>
        <v>100</v>
      </c>
      <c r="V25" s="947" t="s">
        <v>885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885</v>
      </c>
      <c r="S26" s="948">
        <f>F26</f>
        <v>100</v>
      </c>
      <c r="T26" s="947" t="s">
        <v>885</v>
      </c>
      <c r="U26" s="948">
        <f>H26</f>
        <v>100</v>
      </c>
      <c r="V26" s="947" t="s">
        <v>885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885</v>
      </c>
      <c r="S27" s="943">
        <f>F27</f>
        <v>100</v>
      </c>
      <c r="T27" s="942" t="s">
        <v>885</v>
      </c>
      <c r="U27" s="943">
        <f>H27</f>
        <v>100</v>
      </c>
      <c r="V27" s="942" t="s">
        <v>885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885</v>
      </c>
      <c r="S28" s="948">
        <f t="shared" ref="S28:S40" si="12">F28</f>
        <v>100</v>
      </c>
      <c r="T28" s="947" t="s">
        <v>885</v>
      </c>
      <c r="U28" s="948">
        <f t="shared" ref="U28:U40" si="13">H28</f>
        <v>100</v>
      </c>
      <c r="V28" s="947" t="s">
        <v>885</v>
      </c>
      <c r="W28" s="948">
        <f t="shared" ref="W28:W40" si="14">J28</f>
        <v>100</v>
      </c>
      <c r="X28" s="934"/>
      <c r="Y28" s="904"/>
      <c r="Z28" s="851">
        <f t="shared" ref="Z28:Z40" si="15">Q28</f>
        <v>111</v>
      </c>
      <c r="AA28" s="963">
        <f t="shared" si="3"/>
        <v>1</v>
      </c>
      <c r="AB28" s="963">
        <f t="shared" si="4"/>
        <v>1</v>
      </c>
      <c r="AC28" s="963">
        <f t="shared" si="5"/>
        <v>1</v>
      </c>
    </row>
    <row r="29" ht="28.5" spans="1:29">
      <c r="A29" s="1452" t="s">
        <v>914</v>
      </c>
      <c r="B29" s="755" t="s">
        <v>915</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917</v>
      </c>
      <c r="Q29" s="893" t="str">
        <f t="shared" si="11"/>
        <v>建筑类型</v>
      </c>
      <c r="R29" s="947" t="s">
        <v>885</v>
      </c>
      <c r="S29" s="948">
        <f t="shared" si="12"/>
        <v>100</v>
      </c>
      <c r="T29" s="947" t="s">
        <v>885</v>
      </c>
      <c r="U29" s="948">
        <f t="shared" si="13"/>
        <v>100</v>
      </c>
      <c r="V29" s="947" t="s">
        <v>885</v>
      </c>
      <c r="W29" s="948">
        <f t="shared" si="14"/>
        <v>100</v>
      </c>
      <c r="X29" s="934"/>
      <c r="Y29" s="913" t="s">
        <v>917</v>
      </c>
      <c r="Z29" s="851" t="str">
        <f t="shared" si="15"/>
        <v>建筑类型</v>
      </c>
      <c r="AA29" s="963">
        <f t="shared" si="3"/>
        <v>1</v>
      </c>
      <c r="AB29" s="963">
        <f t="shared" si="4"/>
        <v>1</v>
      </c>
      <c r="AC29" s="963">
        <f t="shared" si="5"/>
        <v>1</v>
      </c>
    </row>
    <row r="30" s="709" customFormat="1" ht="15" spans="1:29">
      <c r="A30" s="818"/>
      <c r="B30" s="759" t="s">
        <v>918</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885</v>
      </c>
      <c r="S30" s="950" t="e">
        <f t="shared" si="12"/>
        <v>#N/A</v>
      </c>
      <c r="T30" s="949" t="s">
        <v>885</v>
      </c>
      <c r="U30" s="950" t="e">
        <f t="shared" si="13"/>
        <v>#N/A</v>
      </c>
      <c r="V30" s="949" t="s">
        <v>885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919</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885</v>
      </c>
      <c r="S31" s="948">
        <f t="shared" si="12"/>
        <v>100</v>
      </c>
      <c r="T31" s="947" t="s">
        <v>885</v>
      </c>
      <c r="U31" s="948">
        <f t="shared" si="13"/>
        <v>100</v>
      </c>
      <c r="V31" s="947" t="s">
        <v>885</v>
      </c>
      <c r="W31" s="948">
        <f t="shared" si="14"/>
        <v>100</v>
      </c>
      <c r="X31" s="934"/>
      <c r="Y31" s="913"/>
      <c r="Z31" s="851" t="str">
        <f t="shared" si="15"/>
        <v>建筑结构</v>
      </c>
      <c r="AA31" s="963">
        <f t="shared" si="3"/>
        <v>1</v>
      </c>
      <c r="AB31" s="963">
        <f t="shared" si="4"/>
        <v>1</v>
      </c>
      <c r="AC31" s="963">
        <f t="shared" si="5"/>
        <v>1</v>
      </c>
    </row>
    <row r="32" ht="15" spans="1:29">
      <c r="A32" s="810"/>
      <c r="B32" s="759" t="s">
        <v>922</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885</v>
      </c>
      <c r="S32" s="948">
        <f t="shared" si="12"/>
        <v>100</v>
      </c>
      <c r="T32" s="947" t="s">
        <v>885</v>
      </c>
      <c r="U32" s="948">
        <f t="shared" si="13"/>
        <v>100</v>
      </c>
      <c r="V32" s="947" t="s">
        <v>885</v>
      </c>
      <c r="W32" s="948">
        <f t="shared" si="14"/>
        <v>100</v>
      </c>
      <c r="X32" s="934"/>
      <c r="Y32" s="913"/>
      <c r="Z32" s="851" t="str">
        <f t="shared" si="15"/>
        <v>公共部分装修</v>
      </c>
      <c r="AA32" s="963">
        <f t="shared" si="3"/>
        <v>1</v>
      </c>
      <c r="AB32" s="963">
        <f t="shared" si="4"/>
        <v>1</v>
      </c>
      <c r="AC32" s="963">
        <f t="shared" si="5"/>
        <v>1</v>
      </c>
    </row>
    <row r="33" ht="15" spans="1:29">
      <c r="A33" s="810"/>
      <c r="B33" s="759" t="s">
        <v>924</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885</v>
      </c>
      <c r="S33" s="948" t="e">
        <f t="shared" si="12"/>
        <v>#N/A</v>
      </c>
      <c r="T33" s="947" t="s">
        <v>885</v>
      </c>
      <c r="U33" s="948" t="e">
        <f t="shared" si="13"/>
        <v>#N/A</v>
      </c>
      <c r="V33" s="947" t="s">
        <v>885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925</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885</v>
      </c>
      <c r="S34" s="943">
        <f t="shared" si="12"/>
        <v>100</v>
      </c>
      <c r="T34" s="942" t="s">
        <v>885</v>
      </c>
      <c r="U34" s="943">
        <f t="shared" si="13"/>
        <v>100</v>
      </c>
      <c r="V34" s="942" t="s">
        <v>885</v>
      </c>
      <c r="W34" s="943">
        <f t="shared" si="14"/>
        <v>100</v>
      </c>
      <c r="X34" s="944"/>
      <c r="Y34" s="913"/>
      <c r="Z34" s="962" t="str">
        <f t="shared" si="15"/>
        <v>物业管理</v>
      </c>
      <c r="AA34" s="961">
        <f t="shared" si="3"/>
        <v>1</v>
      </c>
      <c r="AB34" s="961">
        <f t="shared" si="4"/>
        <v>1</v>
      </c>
      <c r="AC34" s="961">
        <f t="shared" si="5"/>
        <v>1</v>
      </c>
    </row>
    <row r="35" ht="15" spans="1:29">
      <c r="A35" s="810"/>
      <c r="B35" s="759" t="s">
        <v>927</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917</v>
      </c>
      <c r="Q35" s="893" t="str">
        <f t="shared" si="11"/>
        <v>市政基础设施</v>
      </c>
      <c r="R35" s="947" t="s">
        <v>885</v>
      </c>
      <c r="S35" s="948">
        <f t="shared" si="12"/>
        <v>100</v>
      </c>
      <c r="T35" s="947" t="s">
        <v>885</v>
      </c>
      <c r="U35" s="948">
        <f t="shared" si="13"/>
        <v>100</v>
      </c>
      <c r="V35" s="947" t="s">
        <v>885</v>
      </c>
      <c r="W35" s="948">
        <f t="shared" si="14"/>
        <v>100</v>
      </c>
      <c r="X35" s="934"/>
      <c r="Y35" s="913" t="s">
        <v>917</v>
      </c>
      <c r="Z35" s="851" t="str">
        <f t="shared" si="15"/>
        <v>市政基础设施</v>
      </c>
      <c r="AA35" s="963">
        <f t="shared" si="3"/>
        <v>1</v>
      </c>
      <c r="AB35" s="963">
        <f t="shared" si="4"/>
        <v>1</v>
      </c>
      <c r="AC35" s="963">
        <f t="shared" si="5"/>
        <v>1</v>
      </c>
    </row>
    <row r="36" ht="15" spans="1:29">
      <c r="A36" s="810"/>
      <c r="B36" s="759" t="s">
        <v>930</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885</v>
      </c>
      <c r="S36" s="948">
        <f t="shared" si="12"/>
        <v>100</v>
      </c>
      <c r="T36" s="947" t="s">
        <v>885</v>
      </c>
      <c r="U36" s="948">
        <f t="shared" si="13"/>
        <v>100</v>
      </c>
      <c r="V36" s="947" t="s">
        <v>885</v>
      </c>
      <c r="W36" s="948">
        <f t="shared" si="14"/>
        <v>100</v>
      </c>
      <c r="X36" s="934"/>
      <c r="Y36" s="913"/>
      <c r="Z36" s="851" t="str">
        <f t="shared" si="15"/>
        <v>内部装修</v>
      </c>
      <c r="AA36" s="963">
        <f t="shared" si="3"/>
        <v>1</v>
      </c>
      <c r="AB36" s="963">
        <f t="shared" si="4"/>
        <v>1</v>
      </c>
      <c r="AC36" s="963">
        <f t="shared" si="5"/>
        <v>1</v>
      </c>
    </row>
    <row r="37" ht="15" spans="1:29">
      <c r="A37" s="810"/>
      <c r="B37" s="759" t="s">
        <v>1441</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885</v>
      </c>
      <c r="S37" s="948">
        <f t="shared" si="12"/>
        <v>100</v>
      </c>
      <c r="T37" s="947" t="s">
        <v>885</v>
      </c>
      <c r="U37" s="948">
        <f t="shared" si="13"/>
        <v>100</v>
      </c>
      <c r="V37" s="947" t="s">
        <v>885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885</v>
      </c>
      <c r="S38" s="950">
        <f t="shared" si="12"/>
        <v>100</v>
      </c>
      <c r="T38" s="949" t="s">
        <v>885</v>
      </c>
      <c r="U38" s="950">
        <f t="shared" si="13"/>
        <v>100</v>
      </c>
      <c r="V38" s="949" t="s">
        <v>885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885</v>
      </c>
      <c r="S39" s="948">
        <f t="shared" si="12"/>
        <v>100</v>
      </c>
      <c r="T39" s="947" t="s">
        <v>885</v>
      </c>
      <c r="U39" s="948">
        <f t="shared" si="13"/>
        <v>100</v>
      </c>
      <c r="V39" s="947" t="s">
        <v>885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885</v>
      </c>
      <c r="S40" s="948">
        <f t="shared" si="12"/>
        <v>100</v>
      </c>
      <c r="T40" s="947" t="s">
        <v>885</v>
      </c>
      <c r="U40" s="948">
        <f t="shared" si="13"/>
        <v>100</v>
      </c>
      <c r="V40" s="947" t="s">
        <v>885</v>
      </c>
      <c r="W40" s="948">
        <f t="shared" si="14"/>
        <v>100</v>
      </c>
      <c r="X40" s="934"/>
      <c r="Y40" s="1572"/>
      <c r="Z40" s="851">
        <f t="shared" si="15"/>
        <v>111</v>
      </c>
      <c r="AA40" s="963">
        <f t="shared" si="3"/>
        <v>1</v>
      </c>
      <c r="AB40" s="963">
        <f t="shared" si="4"/>
        <v>1</v>
      </c>
      <c r="AC40" s="963">
        <f t="shared" si="5"/>
        <v>1</v>
      </c>
    </row>
    <row r="41" ht="15" spans="1:29">
      <c r="A41" s="820" t="s">
        <v>932</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933</v>
      </c>
      <c r="B42" s="1470"/>
      <c r="C42" s="1471" t="e">
        <f>R43</f>
        <v>#DIV/0!</v>
      </c>
      <c r="D42" s="831" t="s">
        <v>934</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935</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939</v>
      </c>
      <c r="B51" s="872"/>
      <c r="C51" s="873"/>
      <c r="D51" s="873"/>
      <c r="E51" s="873"/>
      <c r="F51" s="874"/>
      <c r="G51" s="874"/>
      <c r="H51" s="873"/>
      <c r="I51" s="873"/>
      <c r="J51" s="873"/>
      <c r="K51" s="1488"/>
      <c r="L51" s="1489"/>
      <c r="M51" s="873"/>
      <c r="N51" s="1490"/>
      <c r="O51" s="1490"/>
      <c r="P51" s="930"/>
      <c r="Q51" s="955"/>
    </row>
    <row r="52" s="712" customFormat="1" ht="15" spans="1:16">
      <c r="A52" s="1474" t="s">
        <v>883</v>
      </c>
      <c r="B52" s="1475"/>
      <c r="C52" s="1476" t="str">
        <f>YEAR(C7)&amp;"-"&amp;MONTH(C7)</f>
        <v>2021-10</v>
      </c>
      <c r="D52" s="1477">
        <f>EDATE(C52,-1)</f>
        <v>44440</v>
      </c>
      <c r="E52" s="1571">
        <f t="shared" ref="E52:O52" si="16">EDATE(D52,-1)</f>
        <v>44409</v>
      </c>
      <c r="F52" s="1571">
        <f t="shared" si="16"/>
        <v>44378</v>
      </c>
      <c r="G52" s="1571">
        <f t="shared" si="16"/>
        <v>44348</v>
      </c>
      <c r="H52" s="1571">
        <f t="shared" si="16"/>
        <v>44317</v>
      </c>
      <c r="I52" s="1571">
        <f t="shared" si="16"/>
        <v>44287</v>
      </c>
      <c r="J52" s="1571">
        <f t="shared" si="16"/>
        <v>44256</v>
      </c>
      <c r="K52" s="1571">
        <f t="shared" si="16"/>
        <v>44228</v>
      </c>
      <c r="L52" s="1571">
        <f t="shared" si="16"/>
        <v>44197</v>
      </c>
      <c r="M52" s="1571">
        <f t="shared" si="16"/>
        <v>44166</v>
      </c>
      <c r="N52" s="1571">
        <f t="shared" si="16"/>
        <v>44136</v>
      </c>
      <c r="O52" s="1571">
        <f t="shared" si="16"/>
        <v>44105</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940</v>
      </c>
      <c r="B54" s="973"/>
      <c r="C54" s="974"/>
      <c r="D54" s="975"/>
      <c r="E54" s="975"/>
      <c r="F54" s="975"/>
      <c r="G54" s="975"/>
      <c r="H54" s="975"/>
      <c r="I54" s="975"/>
      <c r="J54" s="975"/>
      <c r="K54" s="975"/>
      <c r="L54" s="975"/>
      <c r="M54" s="1024"/>
      <c r="N54" s="975"/>
      <c r="O54" s="1492"/>
      <c r="P54" s="955"/>
      <c r="Q54" s="955"/>
    </row>
    <row r="55" s="707" customFormat="1" ht="15" spans="1:17">
      <c r="A55" s="976" t="s">
        <v>886</v>
      </c>
      <c r="B55" s="977"/>
      <c r="C55" s="978" t="s">
        <v>887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941</v>
      </c>
      <c r="B57" s="983" t="s">
        <v>891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894</v>
      </c>
      <c r="C59" s="988" t="s">
        <v>942</v>
      </c>
      <c r="D59" s="988" t="s">
        <v>943</v>
      </c>
      <c r="E59" s="988" t="s">
        <v>944</v>
      </c>
      <c r="F59" s="988" t="s">
        <v>945</v>
      </c>
      <c r="G59" s="988" t="s">
        <v>946</v>
      </c>
      <c r="H59" s="988" t="s">
        <v>947</v>
      </c>
      <c r="I59" s="988" t="s">
        <v>948</v>
      </c>
      <c r="J59" s="988"/>
      <c r="K59" s="1038"/>
      <c r="L59" s="1039"/>
      <c r="M59" s="1040"/>
      <c r="N59" s="1034"/>
      <c r="O59" s="1034"/>
      <c r="P59" s="1035"/>
      <c r="Q59" s="955"/>
    </row>
    <row r="60" ht="15.75" spans="1:17">
      <c r="A60" s="984"/>
      <c r="B60" s="989"/>
      <c r="C60" s="990" t="s">
        <v>1433</v>
      </c>
      <c r="D60" s="990" t="s">
        <v>1433</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895</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896</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949</v>
      </c>
      <c r="D76" s="988" t="s">
        <v>950</v>
      </c>
      <c r="E76" s="988" t="s">
        <v>951</v>
      </c>
      <c r="F76" s="988" t="s">
        <v>952</v>
      </c>
      <c r="G76" s="988" t="s">
        <v>953</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914</v>
      </c>
      <c r="B88" s="983" t="s">
        <v>915</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918</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922</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924</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925</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927</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930</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1442</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35 E35 G35 I35">
      <formula1>工业基础设施水平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P39" sqref="P39:Q3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1443</v>
      </c>
      <c r="B1" s="1419"/>
      <c r="C1" s="1420"/>
      <c r="D1" s="1504"/>
      <c r="E1" s="1422"/>
      <c r="F1" s="1505" t="s">
        <v>869</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872</v>
      </c>
      <c r="D3" s="1432">
        <f>IF(C1="仅计算典型户型",'数据-取费表'!E5,'数据-取费表'!B5)</f>
        <v>164.75</v>
      </c>
      <c r="E3" s="1507" t="s">
        <v>1444</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1420</v>
      </c>
      <c r="D5" s="737"/>
      <c r="E5" s="738" t="s">
        <v>1421</v>
      </c>
      <c r="F5" s="739"/>
      <c r="G5" s="736" t="s">
        <v>1422</v>
      </c>
      <c r="H5" s="737"/>
      <c r="I5" s="736" t="s">
        <v>1423</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44490</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6" si="3">D8/F8</f>
        <v>#DIV/0!</v>
      </c>
      <c r="AB8" s="961" t="e">
        <f t="shared" ref="AB8:AB36" si="4">D8/H8</f>
        <v>#DIV/0!</v>
      </c>
      <c r="AC8" s="961" t="e">
        <f t="shared" ref="AC8:AC36" si="5">D8/J8</f>
        <v>#DIV/0!</v>
      </c>
    </row>
    <row r="9" s="707" customFormat="1" spans="1:29">
      <c r="A9" s="1508" t="s">
        <v>890</v>
      </c>
      <c r="B9" s="1509" t="s">
        <v>891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1511"/>
      <c r="B10" s="1512" t="s">
        <v>894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28" t="s">
        <v>896</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898</v>
      </c>
      <c r="Q14" s="893" t="str">
        <f t="shared" si="6"/>
        <v>交通便捷度</v>
      </c>
      <c r="R14" s="947" t="s">
        <v>885</v>
      </c>
      <c r="S14" s="948">
        <f t="shared" si="0"/>
        <v>100</v>
      </c>
      <c r="T14" s="947" t="s">
        <v>885</v>
      </c>
      <c r="U14" s="948">
        <f t="shared" si="1"/>
        <v>100</v>
      </c>
      <c r="V14" s="947" t="s">
        <v>885</v>
      </c>
      <c r="W14" s="948">
        <f t="shared" si="2"/>
        <v>100</v>
      </c>
      <c r="X14" s="934"/>
      <c r="Y14" s="903" t="s">
        <v>898</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902</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1426</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538" t="s">
        <v>914</v>
      </c>
      <c r="B26" s="1539" t="s">
        <v>1445</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917</v>
      </c>
      <c r="Q26" s="893" t="str">
        <f t="shared" si="11"/>
        <v>配套类型</v>
      </c>
      <c r="R26" s="947" t="s">
        <v>885</v>
      </c>
      <c r="S26" s="948">
        <f t="shared" ref="S26:S36" si="12">F26</f>
        <v>100</v>
      </c>
      <c r="T26" s="947" t="s">
        <v>885</v>
      </c>
      <c r="U26" s="948">
        <f t="shared" ref="U26:U36" si="13">H26</f>
        <v>100</v>
      </c>
      <c r="V26" s="947" t="s">
        <v>885</v>
      </c>
      <c r="W26" s="948">
        <f t="shared" ref="W26:W36" si="14">J26</f>
        <v>100</v>
      </c>
      <c r="X26" s="934"/>
      <c r="Y26" s="913" t="s">
        <v>917</v>
      </c>
      <c r="Z26" s="851" t="str">
        <f t="shared" ref="Z26:Z36" si="15">Q26</f>
        <v>配套类型</v>
      </c>
      <c r="AA26" s="963">
        <f t="shared" si="3"/>
        <v>1</v>
      </c>
      <c r="AB26" s="963">
        <f t="shared" si="4"/>
        <v>1</v>
      </c>
      <c r="AC26" s="963">
        <f t="shared" si="5"/>
        <v>1</v>
      </c>
    </row>
    <row r="27" s="709" customFormat="1" ht="15" spans="1:29">
      <c r="A27" s="1541"/>
      <c r="B27" s="799" t="s">
        <v>1446</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885</v>
      </c>
      <c r="S27" s="950">
        <f t="shared" si="12"/>
        <v>100</v>
      </c>
      <c r="T27" s="949" t="s">
        <v>885</v>
      </c>
      <c r="U27" s="950">
        <f t="shared" si="13"/>
        <v>100</v>
      </c>
      <c r="V27" s="949" t="s">
        <v>885</v>
      </c>
      <c r="W27" s="950">
        <f t="shared" si="14"/>
        <v>100</v>
      </c>
      <c r="X27" s="951"/>
      <c r="Y27" s="913"/>
      <c r="Z27" s="964" t="str">
        <f t="shared" si="15"/>
        <v>项目停车位配比</v>
      </c>
      <c r="AA27" s="963">
        <f t="shared" si="3"/>
        <v>1</v>
      </c>
      <c r="AB27" s="963">
        <f t="shared" si="4"/>
        <v>1</v>
      </c>
      <c r="AC27" s="963">
        <f t="shared" si="5"/>
        <v>1</v>
      </c>
    </row>
    <row r="28" ht="15" spans="1:29">
      <c r="A28" s="1543"/>
      <c r="B28" s="799" t="s">
        <v>922</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885</v>
      </c>
      <c r="S28" s="948">
        <f t="shared" si="12"/>
        <v>100</v>
      </c>
      <c r="T28" s="947" t="s">
        <v>885</v>
      </c>
      <c r="U28" s="948">
        <f t="shared" si="13"/>
        <v>100</v>
      </c>
      <c r="V28" s="947" t="s">
        <v>885</v>
      </c>
      <c r="W28" s="948">
        <f t="shared" si="14"/>
        <v>100</v>
      </c>
      <c r="X28" s="934"/>
      <c r="Y28" s="913"/>
      <c r="Z28" s="851" t="str">
        <f t="shared" si="15"/>
        <v>公共部分装修</v>
      </c>
      <c r="AA28" s="963">
        <f t="shared" si="3"/>
        <v>1</v>
      </c>
      <c r="AB28" s="963">
        <f t="shared" si="4"/>
        <v>1</v>
      </c>
      <c r="AC28" s="963">
        <f t="shared" si="5"/>
        <v>1</v>
      </c>
    </row>
    <row r="29" ht="15" spans="1:29">
      <c r="A29" s="1543"/>
      <c r="B29" s="799" t="s">
        <v>1447</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885</v>
      </c>
      <c r="S29" s="948" t="e">
        <f t="shared" si="12"/>
        <v>#N/A</v>
      </c>
      <c r="T29" s="947" t="s">
        <v>885</v>
      </c>
      <c r="U29" s="948" t="e">
        <f t="shared" si="13"/>
        <v>#N/A</v>
      </c>
      <c r="V29" s="947" t="s">
        <v>885</v>
      </c>
      <c r="W29" s="948" t="e">
        <f t="shared" si="14"/>
        <v>#N/A</v>
      </c>
      <c r="X29" s="934"/>
      <c r="Y29" s="913"/>
      <c r="Z29" s="851" t="str">
        <f t="shared" si="15"/>
        <v>成新率</v>
      </c>
      <c r="AA29" s="963" t="e">
        <f t="shared" si="3"/>
        <v>#N/A</v>
      </c>
      <c r="AB29" s="963" t="e">
        <f t="shared" si="4"/>
        <v>#N/A</v>
      </c>
      <c r="AC29" s="963" t="e">
        <f t="shared" si="5"/>
        <v>#N/A</v>
      </c>
    </row>
    <row r="30" ht="15" spans="1:29">
      <c r="A30" s="1543"/>
      <c r="B30" s="799" t="s">
        <v>1448</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885</v>
      </c>
      <c r="S30" s="948">
        <f t="shared" si="12"/>
        <v>100</v>
      </c>
      <c r="T30" s="947" t="s">
        <v>885</v>
      </c>
      <c r="U30" s="948">
        <f t="shared" si="13"/>
        <v>100</v>
      </c>
      <c r="V30" s="947" t="s">
        <v>885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1449</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885</v>
      </c>
      <c r="S31" s="943" t="e">
        <f t="shared" si="12"/>
        <v>#N/A</v>
      </c>
      <c r="T31" s="942" t="s">
        <v>885</v>
      </c>
      <c r="U31" s="943" t="e">
        <f t="shared" si="13"/>
        <v>#N/A</v>
      </c>
      <c r="V31" s="942" t="s">
        <v>885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1450</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917</v>
      </c>
      <c r="Q32" s="893" t="str">
        <f t="shared" si="11"/>
        <v>车位类型</v>
      </c>
      <c r="R32" s="947" t="s">
        <v>885</v>
      </c>
      <c r="S32" s="948">
        <f t="shared" si="12"/>
        <v>100</v>
      </c>
      <c r="T32" s="947" t="s">
        <v>885</v>
      </c>
      <c r="U32" s="948">
        <f t="shared" si="13"/>
        <v>100</v>
      </c>
      <c r="V32" s="947" t="s">
        <v>885</v>
      </c>
      <c r="W32" s="948">
        <f t="shared" si="14"/>
        <v>100</v>
      </c>
      <c r="X32" s="934"/>
      <c r="Y32" s="913" t="s">
        <v>917</v>
      </c>
      <c r="Z32" s="851" t="str">
        <f t="shared" si="15"/>
        <v>车位类型</v>
      </c>
      <c r="AA32" s="963">
        <f t="shared" si="3"/>
        <v>1</v>
      </c>
      <c r="AB32" s="963">
        <f t="shared" si="4"/>
        <v>1</v>
      </c>
      <c r="AC32" s="963">
        <f t="shared" si="5"/>
        <v>1</v>
      </c>
    </row>
    <row r="33" ht="15" spans="1:29">
      <c r="A33" s="1543"/>
      <c r="B33" s="799" t="s">
        <v>1451</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885</v>
      </c>
      <c r="S33" s="948">
        <f t="shared" si="12"/>
        <v>100</v>
      </c>
      <c r="T33" s="947" t="s">
        <v>885</v>
      </c>
      <c r="U33" s="948">
        <f t="shared" si="13"/>
        <v>100</v>
      </c>
      <c r="V33" s="947" t="s">
        <v>885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885</v>
      </c>
      <c r="S35" s="950">
        <f t="shared" si="12"/>
        <v>100</v>
      </c>
      <c r="T35" s="949" t="s">
        <v>885</v>
      </c>
      <c r="U35" s="950">
        <f t="shared" si="13"/>
        <v>100</v>
      </c>
      <c r="V35" s="949" t="s">
        <v>885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885</v>
      </c>
      <c r="S36" s="948">
        <f t="shared" si="12"/>
        <v>100</v>
      </c>
      <c r="T36" s="947" t="s">
        <v>885</v>
      </c>
      <c r="U36" s="948">
        <f t="shared" si="13"/>
        <v>100</v>
      </c>
      <c r="V36" s="947" t="s">
        <v>885</v>
      </c>
      <c r="W36" s="948">
        <f t="shared" si="14"/>
        <v>100</v>
      </c>
      <c r="X36" s="934"/>
      <c r="Y36" s="913"/>
      <c r="Z36" s="851">
        <f t="shared" si="15"/>
        <v>111</v>
      </c>
      <c r="AA36" s="963">
        <f t="shared" si="3"/>
        <v>1</v>
      </c>
      <c r="AB36" s="963">
        <f t="shared" si="4"/>
        <v>1</v>
      </c>
      <c r="AC36" s="963">
        <f t="shared" si="5"/>
        <v>1</v>
      </c>
    </row>
    <row r="37" ht="15" spans="1:29">
      <c r="A37" s="820" t="s">
        <v>1452</v>
      </c>
      <c r="B37" s="1546" t="s">
        <v>1453</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1454</v>
      </c>
      <c r="B38" s="1470" t="str">
        <f>B37</f>
        <v>元/平方米</v>
      </c>
      <c r="C38" s="1471" t="e">
        <f>R39</f>
        <v>#DIV/0!</v>
      </c>
      <c r="D38" s="831" t="s">
        <v>934</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935</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936</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937</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938</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939</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883</v>
      </c>
      <c r="B48" s="1475"/>
      <c r="C48" s="1476" t="str">
        <f>YEAR(C7)&amp;"-"&amp;MONTH(C7)</f>
        <v>2021-10</v>
      </c>
      <c r="D48" s="1477">
        <f>EDATE(C48,-1)</f>
        <v>44440</v>
      </c>
      <c r="E48" s="1477">
        <f t="shared" ref="E48:O48" si="16">EDATE(D48,-1)</f>
        <v>44409</v>
      </c>
      <c r="F48" s="1477">
        <f t="shared" si="16"/>
        <v>44378</v>
      </c>
      <c r="G48" s="1477">
        <f t="shared" si="16"/>
        <v>44348</v>
      </c>
      <c r="H48" s="1477">
        <f t="shared" si="16"/>
        <v>44317</v>
      </c>
      <c r="I48" s="1477">
        <f t="shared" si="16"/>
        <v>44287</v>
      </c>
      <c r="J48" s="1477">
        <f t="shared" si="16"/>
        <v>44256</v>
      </c>
      <c r="K48" s="1477">
        <f t="shared" si="16"/>
        <v>44228</v>
      </c>
      <c r="L48" s="1477">
        <f t="shared" si="16"/>
        <v>44197</v>
      </c>
      <c r="M48" s="1477">
        <f t="shared" si="16"/>
        <v>44166</v>
      </c>
      <c r="N48" s="1477">
        <f t="shared" si="16"/>
        <v>44136</v>
      </c>
      <c r="O48" s="1477">
        <f t="shared" si="16"/>
        <v>44105</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940</v>
      </c>
      <c r="B50" s="973"/>
      <c r="C50" s="974"/>
      <c r="D50" s="975"/>
      <c r="E50" s="975"/>
      <c r="F50" s="975"/>
      <c r="G50" s="975"/>
      <c r="H50" s="975"/>
      <c r="I50" s="975"/>
      <c r="J50" s="975"/>
      <c r="K50" s="975"/>
      <c r="L50" s="975"/>
      <c r="M50" s="1024"/>
      <c r="N50" s="975"/>
      <c r="O50" s="1492"/>
      <c r="P50" s="955"/>
      <c r="Q50" s="955"/>
    </row>
    <row r="51" s="707" customFormat="1" ht="15" spans="1:17">
      <c r="A51" s="976" t="s">
        <v>886</v>
      </c>
      <c r="B51" s="977"/>
      <c r="C51" s="978" t="s">
        <v>887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941</v>
      </c>
      <c r="B53" s="983" t="s">
        <v>891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894</v>
      </c>
      <c r="C55" s="988" t="s">
        <v>942</v>
      </c>
      <c r="D55" s="988" t="s">
        <v>943</v>
      </c>
      <c r="E55" s="988" t="s">
        <v>944</v>
      </c>
      <c r="F55" s="988" t="s">
        <v>945</v>
      </c>
      <c r="G55" s="988" t="s">
        <v>946</v>
      </c>
      <c r="H55" s="988" t="s">
        <v>947</v>
      </c>
      <c r="I55" s="988" t="s">
        <v>948</v>
      </c>
      <c r="J55" s="988"/>
      <c r="K55" s="1038"/>
      <c r="L55" s="1039"/>
      <c r="M55" s="1040"/>
      <c r="N55" s="1034"/>
      <c r="O55" s="1034"/>
      <c r="P55" s="1035"/>
      <c r="Q55" s="955"/>
    </row>
    <row r="56" ht="15.75" spans="1:17">
      <c r="A56" s="984"/>
      <c r="B56" s="989"/>
      <c r="C56" s="990" t="s">
        <v>1433</v>
      </c>
      <c r="D56" s="990" t="s">
        <v>1433</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896</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949</v>
      </c>
      <c r="D67" s="988" t="s">
        <v>950</v>
      </c>
      <c r="E67" s="988" t="s">
        <v>951</v>
      </c>
      <c r="F67" s="988" t="s">
        <v>952</v>
      </c>
      <c r="G67" s="988" t="s">
        <v>953</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902</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1426</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914</v>
      </c>
      <c r="B79" s="983" t="s">
        <v>1455</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1446</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922</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1447</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1448</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1449</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1450</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1451</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22 E22 G22 I22">
      <formula1>车位楼层</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P39" sqref="P3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1443</v>
      </c>
      <c r="B1" s="1419"/>
      <c r="C1" s="1420"/>
      <c r="D1" s="1421"/>
      <c r="E1" s="1422" t="s">
        <v>868</v>
      </c>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872</v>
      </c>
      <c r="D3" s="1432">
        <f>IF(C1="仅计算典型户型",'数据-取费表'!E5,'数据-取费表'!B5)</f>
        <v>164.75</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1420</v>
      </c>
      <c r="D5" s="737"/>
      <c r="E5" s="738" t="s">
        <v>1421</v>
      </c>
      <c r="F5" s="739"/>
      <c r="G5" s="736" t="s">
        <v>1422</v>
      </c>
      <c r="H5" s="737"/>
      <c r="I5" s="736" t="s">
        <v>1423</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44490</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4" si="3">D8/F8</f>
        <v>#DIV/0!</v>
      </c>
      <c r="AB8" s="961" t="e">
        <f t="shared" ref="AB8:AB34" si="4">D8/H8</f>
        <v>#DIV/0!</v>
      </c>
      <c r="AC8" s="961" t="e">
        <f t="shared" ref="AC8:AC34" si="5">D8/J8</f>
        <v>#DIV/0!</v>
      </c>
    </row>
    <row r="9" s="707" customFormat="1" spans="1:29">
      <c r="A9" s="754" t="s">
        <v>890</v>
      </c>
      <c r="B9" s="755" t="s">
        <v>891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758"/>
      <c r="B10" s="759" t="s">
        <v>894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76" t="s">
        <v>896</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898</v>
      </c>
      <c r="Q14" s="893" t="str">
        <f t="shared" si="6"/>
        <v>交通便捷度</v>
      </c>
      <c r="R14" s="947" t="s">
        <v>885</v>
      </c>
      <c r="S14" s="948">
        <f t="shared" si="0"/>
        <v>100</v>
      </c>
      <c r="T14" s="947" t="s">
        <v>885</v>
      </c>
      <c r="U14" s="948">
        <f t="shared" si="1"/>
        <v>100</v>
      </c>
      <c r="V14" s="947" t="s">
        <v>885</v>
      </c>
      <c r="W14" s="948">
        <f t="shared" si="2"/>
        <v>100</v>
      </c>
      <c r="X14" s="934"/>
      <c r="Y14" s="903" t="s">
        <v>898</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902</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1426</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452" t="s">
        <v>914</v>
      </c>
      <c r="B26" s="755" t="s">
        <v>922</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917</v>
      </c>
      <c r="Q26" s="893" t="str">
        <f t="shared" si="11"/>
        <v>公共部分装修</v>
      </c>
      <c r="R26" s="947" t="s">
        <v>885</v>
      </c>
      <c r="S26" s="948">
        <f t="shared" ref="S26:S34" si="12">F26</f>
        <v>100</v>
      </c>
      <c r="T26" s="947" t="s">
        <v>885</v>
      </c>
      <c r="U26" s="948">
        <f t="shared" ref="U26:U34" si="13">H26</f>
        <v>100</v>
      </c>
      <c r="V26" s="947" t="s">
        <v>885</v>
      </c>
      <c r="W26" s="948">
        <f t="shared" ref="W26:W34" si="14">J26</f>
        <v>100</v>
      </c>
      <c r="X26" s="934"/>
      <c r="Y26" s="913" t="s">
        <v>917</v>
      </c>
      <c r="Z26" s="851" t="str">
        <f t="shared" ref="Z26:Z34" si="15">Q26</f>
        <v>公共部分装修</v>
      </c>
      <c r="AA26" s="963">
        <f t="shared" si="3"/>
        <v>1</v>
      </c>
      <c r="AB26" s="963">
        <f t="shared" si="4"/>
        <v>1</v>
      </c>
      <c r="AC26" s="963">
        <f t="shared" si="5"/>
        <v>1</v>
      </c>
    </row>
    <row r="27" s="709" customFormat="1" ht="15" spans="1:29">
      <c r="A27" s="818"/>
      <c r="B27" s="759" t="s">
        <v>1447</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885</v>
      </c>
      <c r="S27" s="950" t="e">
        <f t="shared" si="12"/>
        <v>#N/A</v>
      </c>
      <c r="T27" s="949" t="s">
        <v>885</v>
      </c>
      <c r="U27" s="950" t="e">
        <f t="shared" si="13"/>
        <v>#N/A</v>
      </c>
      <c r="V27" s="949" t="s">
        <v>885</v>
      </c>
      <c r="W27" s="950" t="e">
        <f t="shared" si="14"/>
        <v>#N/A</v>
      </c>
      <c r="X27" s="951"/>
      <c r="Y27" s="913"/>
      <c r="Z27" s="964" t="str">
        <f t="shared" si="15"/>
        <v>成新率</v>
      </c>
      <c r="AA27" s="963" t="e">
        <f t="shared" si="3"/>
        <v>#N/A</v>
      </c>
      <c r="AB27" s="963" t="e">
        <f t="shared" si="4"/>
        <v>#N/A</v>
      </c>
      <c r="AC27" s="963" t="e">
        <f t="shared" si="5"/>
        <v>#N/A</v>
      </c>
    </row>
    <row r="28" ht="15" spans="1:29">
      <c r="A28" s="810"/>
      <c r="B28" s="759" t="s">
        <v>1448</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885</v>
      </c>
      <c r="S28" s="948">
        <f t="shared" si="12"/>
        <v>100</v>
      </c>
      <c r="T28" s="947" t="s">
        <v>885</v>
      </c>
      <c r="U28" s="948">
        <f t="shared" si="13"/>
        <v>100</v>
      </c>
      <c r="V28" s="947" t="s">
        <v>885</v>
      </c>
      <c r="W28" s="948">
        <f t="shared" si="14"/>
        <v>100</v>
      </c>
      <c r="X28" s="934"/>
      <c r="Y28" s="913"/>
      <c r="Z28" s="851" t="str">
        <f t="shared" si="15"/>
        <v>物业等级</v>
      </c>
      <c r="AA28" s="963">
        <f t="shared" si="3"/>
        <v>1</v>
      </c>
      <c r="AB28" s="963">
        <f t="shared" si="4"/>
        <v>1</v>
      </c>
      <c r="AC28" s="963">
        <f t="shared" si="5"/>
        <v>1</v>
      </c>
    </row>
    <row r="29" ht="15" spans="1:29">
      <c r="A29" s="810"/>
      <c r="B29" s="759" t="s">
        <v>1456</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885</v>
      </c>
      <c r="S29" s="948">
        <f t="shared" si="12"/>
        <v>100</v>
      </c>
      <c r="T29" s="947" t="s">
        <v>885</v>
      </c>
      <c r="U29" s="948">
        <f t="shared" si="13"/>
        <v>100</v>
      </c>
      <c r="V29" s="947" t="s">
        <v>885</v>
      </c>
      <c r="W29" s="948">
        <f t="shared" si="14"/>
        <v>100</v>
      </c>
      <c r="X29" s="934"/>
      <c r="Y29" s="913"/>
      <c r="Z29" s="851" t="str">
        <f t="shared" si="15"/>
        <v>有无电梯</v>
      </c>
      <c r="AA29" s="963">
        <f t="shared" si="3"/>
        <v>1</v>
      </c>
      <c r="AB29" s="963">
        <f t="shared" si="4"/>
        <v>1</v>
      </c>
      <c r="AC29" s="963">
        <f t="shared" si="5"/>
        <v>1</v>
      </c>
    </row>
    <row r="30" ht="15" spans="1:29">
      <c r="A30" s="810"/>
      <c r="B30" s="759" t="s">
        <v>1457</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885</v>
      </c>
      <c r="S30" s="948" t="e">
        <f t="shared" si="12"/>
        <v>#N/A</v>
      </c>
      <c r="T30" s="947" t="s">
        <v>885</v>
      </c>
      <c r="U30" s="948" t="e">
        <f t="shared" si="13"/>
        <v>#N/A</v>
      </c>
      <c r="V30" s="947" t="s">
        <v>885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1458</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885</v>
      </c>
      <c r="S31" s="943">
        <f t="shared" si="12"/>
        <v>100</v>
      </c>
      <c r="T31" s="942" t="s">
        <v>885</v>
      </c>
      <c r="U31" s="943">
        <f t="shared" si="13"/>
        <v>100</v>
      </c>
      <c r="V31" s="942" t="s">
        <v>885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917</v>
      </c>
      <c r="Q32" s="893">
        <f t="shared" si="11"/>
        <v>111</v>
      </c>
      <c r="R32" s="947" t="s">
        <v>885</v>
      </c>
      <c r="S32" s="948">
        <f t="shared" si="12"/>
        <v>100</v>
      </c>
      <c r="T32" s="947" t="s">
        <v>885</v>
      </c>
      <c r="U32" s="948">
        <f t="shared" si="13"/>
        <v>100</v>
      </c>
      <c r="V32" s="947" t="s">
        <v>885</v>
      </c>
      <c r="W32" s="948">
        <f t="shared" si="14"/>
        <v>100</v>
      </c>
      <c r="X32" s="934"/>
      <c r="Y32" s="913" t="s">
        <v>917</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885</v>
      </c>
      <c r="S33" s="948">
        <f t="shared" si="12"/>
        <v>100</v>
      </c>
      <c r="T33" s="947" t="s">
        <v>885</v>
      </c>
      <c r="U33" s="948">
        <f t="shared" si="13"/>
        <v>100</v>
      </c>
      <c r="V33" s="947" t="s">
        <v>885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ht="15" spans="1:29">
      <c r="A35" s="820" t="s">
        <v>932</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933</v>
      </c>
      <c r="B36" s="1470"/>
      <c r="C36" s="1471" t="e">
        <f>R37</f>
        <v>#DIV/0!</v>
      </c>
      <c r="D36" s="831" t="s">
        <v>934</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935</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936</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937</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938</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939</v>
      </c>
      <c r="B45" s="872"/>
      <c r="C45" s="873"/>
      <c r="D45" s="873"/>
      <c r="E45" s="873"/>
      <c r="F45" s="874"/>
      <c r="G45" s="874"/>
      <c r="H45" s="873"/>
      <c r="I45" s="873"/>
      <c r="J45" s="873"/>
      <c r="K45" s="1488"/>
      <c r="L45" s="1489"/>
      <c r="M45" s="873"/>
      <c r="N45" s="1490"/>
      <c r="O45" s="1490"/>
      <c r="P45" s="930"/>
      <c r="Q45" s="955"/>
    </row>
    <row r="46" s="712" customFormat="1" ht="15" spans="1:16">
      <c r="A46" s="1474" t="s">
        <v>883</v>
      </c>
      <c r="B46" s="1475"/>
      <c r="C46" s="1476" t="str">
        <f>YEAR(C7)&amp;"-"&amp;MONTH(C7)</f>
        <v>2021-10</v>
      </c>
      <c r="D46" s="1477">
        <f>EDATE(C46,-1)</f>
        <v>44440</v>
      </c>
      <c r="E46" s="1477">
        <f t="shared" ref="E46:O46" si="16">EDATE(D46,-1)</f>
        <v>44409</v>
      </c>
      <c r="F46" s="1477">
        <f t="shared" si="16"/>
        <v>44378</v>
      </c>
      <c r="G46" s="1477">
        <f t="shared" si="16"/>
        <v>44348</v>
      </c>
      <c r="H46" s="1477">
        <f t="shared" si="16"/>
        <v>44317</v>
      </c>
      <c r="I46" s="1477">
        <f t="shared" si="16"/>
        <v>44287</v>
      </c>
      <c r="J46" s="1477">
        <f t="shared" si="16"/>
        <v>44256</v>
      </c>
      <c r="K46" s="1477">
        <f t="shared" si="16"/>
        <v>44228</v>
      </c>
      <c r="L46" s="1477">
        <f t="shared" si="16"/>
        <v>44197</v>
      </c>
      <c r="M46" s="1477">
        <f t="shared" si="16"/>
        <v>44166</v>
      </c>
      <c r="N46" s="1477">
        <f t="shared" si="16"/>
        <v>44136</v>
      </c>
      <c r="O46" s="1477">
        <f t="shared" si="16"/>
        <v>44105</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940</v>
      </c>
      <c r="B48" s="973"/>
      <c r="C48" s="974"/>
      <c r="D48" s="975"/>
      <c r="E48" s="975"/>
      <c r="F48" s="975"/>
      <c r="G48" s="975"/>
      <c r="H48" s="975"/>
      <c r="I48" s="975"/>
      <c r="J48" s="975"/>
      <c r="K48" s="975"/>
      <c r="L48" s="975"/>
      <c r="M48" s="1024"/>
      <c r="N48" s="975"/>
      <c r="O48" s="1492"/>
      <c r="P48" s="955"/>
      <c r="Q48" s="955"/>
    </row>
    <row r="49" s="707" customFormat="1" ht="15" spans="1:17">
      <c r="A49" s="976" t="s">
        <v>886</v>
      </c>
      <c r="B49" s="977"/>
      <c r="C49" s="978" t="s">
        <v>887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941</v>
      </c>
      <c r="B51" s="983" t="s">
        <v>891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894</v>
      </c>
      <c r="C53" s="988" t="s">
        <v>942</v>
      </c>
      <c r="D53" s="988" t="s">
        <v>943</v>
      </c>
      <c r="E53" s="988" t="s">
        <v>944</v>
      </c>
      <c r="F53" s="988" t="s">
        <v>945</v>
      </c>
      <c r="G53" s="988" t="s">
        <v>946</v>
      </c>
      <c r="H53" s="988" t="s">
        <v>947</v>
      </c>
      <c r="I53" s="988" t="s">
        <v>948</v>
      </c>
      <c r="J53" s="988"/>
      <c r="K53" s="1038"/>
      <c r="L53" s="1039"/>
      <c r="M53" s="1040"/>
      <c r="N53" s="1034"/>
      <c r="O53" s="1034"/>
      <c r="P53" s="1035"/>
      <c r="Q53" s="955"/>
    </row>
    <row r="54" ht="15.75" spans="1:17">
      <c r="A54" s="984"/>
      <c r="B54" s="989"/>
      <c r="C54" s="990" t="s">
        <v>1433</v>
      </c>
      <c r="D54" s="990" t="s">
        <v>1433</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896</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949</v>
      </c>
      <c r="D65" s="988" t="s">
        <v>950</v>
      </c>
      <c r="E65" s="988" t="s">
        <v>951</v>
      </c>
      <c r="F65" s="988" t="s">
        <v>952</v>
      </c>
      <c r="G65" s="988" t="s">
        <v>953</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902</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1426</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914</v>
      </c>
      <c r="B77" s="983" t="s">
        <v>922</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1447</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1448</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1456</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1457</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1458</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P36" sqref="P36:P45"/>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1459</v>
      </c>
      <c r="B1" s="1090"/>
      <c r="C1" s="1091" t="s">
        <v>1460</v>
      </c>
      <c r="D1" s="1090"/>
      <c r="E1" s="1090"/>
      <c r="F1" s="1092" t="s">
        <v>869</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1461</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1196</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2" t="s">
        <v>876</v>
      </c>
      <c r="AC4" s="1308" t="s">
        <v>877</v>
      </c>
    </row>
    <row r="5" ht="15" spans="1:29">
      <c r="A5" s="1102"/>
      <c r="B5" s="1103"/>
      <c r="C5" s="1104" t="s">
        <v>1420</v>
      </c>
      <c r="D5" s="1105"/>
      <c r="E5" s="1106" t="s">
        <v>1421</v>
      </c>
      <c r="F5" s="1107"/>
      <c r="G5" s="1104" t="s">
        <v>1422</v>
      </c>
      <c r="H5" s="1105"/>
      <c r="I5" s="1104" t="s">
        <v>1423</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44490</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5" si="3">D8/F8</f>
        <v>#DIV/0!</v>
      </c>
      <c r="AB8" s="1310" t="e">
        <f t="shared" ref="AB8:AB45" si="4">D8/H8</f>
        <v>#DIV/0!</v>
      </c>
      <c r="AC8" s="1310" t="e">
        <f t="shared" ref="AC8:AC45" si="5">D8/J8</f>
        <v>#DIV/0!</v>
      </c>
    </row>
    <row r="9" s="1080" customFormat="1" spans="1:29">
      <c r="A9" s="1122" t="s">
        <v>890</v>
      </c>
      <c r="B9" s="1123" t="s">
        <v>891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128"/>
      <c r="D10" s="1129">
        <v>100</v>
      </c>
      <c r="E10" s="1130"/>
      <c r="F10" s="1129">
        <f>ROUND(100/'数据-取费表'!B14,0)</f>
        <v>107</v>
      </c>
      <c r="G10" s="1131"/>
      <c r="H10" s="1129">
        <f>ROUND(100/'数据-取费表'!B14,0)</f>
        <v>107</v>
      </c>
      <c r="I10" s="1131"/>
      <c r="J10" s="1129">
        <f>ROUND(100/'数据-取费表'!B14,0)</f>
        <v>107</v>
      </c>
      <c r="K10" s="1244"/>
      <c r="L10" s="1245"/>
      <c r="M10" s="1246"/>
      <c r="N10" s="1246"/>
      <c r="O10" s="1247"/>
      <c r="P10" s="491"/>
      <c r="Q10" s="1294" t="str">
        <f t="shared" si="6"/>
        <v>土地使用年限（年）</v>
      </c>
      <c r="R10" s="1290" t="s">
        <v>885</v>
      </c>
      <c r="S10" s="1291">
        <f t="shared" si="0"/>
        <v>107</v>
      </c>
      <c r="T10" s="1290" t="s">
        <v>885</v>
      </c>
      <c r="U10" s="1291">
        <f t="shared" si="1"/>
        <v>107</v>
      </c>
      <c r="V10" s="1290" t="s">
        <v>885</v>
      </c>
      <c r="W10" s="1291">
        <f t="shared" si="2"/>
        <v>107</v>
      </c>
      <c r="X10" s="1292"/>
      <c r="Y10" s="1294"/>
      <c r="Z10" s="1311" t="str">
        <f t="shared" si="7"/>
        <v>土地使用年限（年）</v>
      </c>
      <c r="AA10" s="1310">
        <f t="shared" si="3"/>
        <v>0.934579439252336</v>
      </c>
      <c r="AB10" s="1310">
        <f t="shared" si="4"/>
        <v>0.934579439252336</v>
      </c>
      <c r="AC10" s="1310">
        <f t="shared" si="5"/>
        <v>0.934579439252336</v>
      </c>
    </row>
    <row r="11" ht="15" spans="1:29">
      <c r="A11" s="504"/>
      <c r="B11" s="1127" t="s">
        <v>895</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1462</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885</v>
      </c>
      <c r="S12" s="1291">
        <f t="shared" si="0"/>
        <v>100</v>
      </c>
      <c r="T12" s="1290" t="s">
        <v>885</v>
      </c>
      <c r="U12" s="1291">
        <f t="shared" si="1"/>
        <v>100</v>
      </c>
      <c r="V12" s="1290" t="s">
        <v>885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1098" t="s">
        <v>896</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898</v>
      </c>
      <c r="Q15" s="491" t="str">
        <f t="shared" si="6"/>
        <v>居住社区成熟度</v>
      </c>
      <c r="R15" s="1295" t="s">
        <v>885</v>
      </c>
      <c r="S15" s="1296">
        <f t="shared" si="0"/>
        <v>100</v>
      </c>
      <c r="T15" s="1295" t="s">
        <v>885</v>
      </c>
      <c r="U15" s="1296">
        <f t="shared" si="1"/>
        <v>100</v>
      </c>
      <c r="V15" s="1295" t="s">
        <v>885</v>
      </c>
      <c r="W15" s="1296">
        <f t="shared" si="2"/>
        <v>100</v>
      </c>
      <c r="X15" s="1282"/>
      <c r="Y15" s="1253" t="s">
        <v>898</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885</v>
      </c>
      <c r="S17" s="1296">
        <f>F17</f>
        <v>100</v>
      </c>
      <c r="T17" s="1295" t="s">
        <v>885</v>
      </c>
      <c r="U17" s="1296">
        <f>H17</f>
        <v>100</v>
      </c>
      <c r="V17" s="1295" t="s">
        <v>885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885</v>
      </c>
      <c r="S19" s="1296">
        <f>F19</f>
        <v>100</v>
      </c>
      <c r="T19" s="1295" t="s">
        <v>885</v>
      </c>
      <c r="U19" s="1296">
        <f>H19</f>
        <v>100</v>
      </c>
      <c r="V19" s="1295" t="s">
        <v>885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885</v>
      </c>
      <c r="S21" s="1296">
        <f>F21</f>
        <v>100</v>
      </c>
      <c r="T21" s="1295" t="s">
        <v>885</v>
      </c>
      <c r="U21" s="1296">
        <f>H21</f>
        <v>100</v>
      </c>
      <c r="V21" s="1295" t="s">
        <v>885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885</v>
      </c>
      <c r="S23" s="1296">
        <f>F23</f>
        <v>100</v>
      </c>
      <c r="T23" s="1295" t="s">
        <v>885</v>
      </c>
      <c r="U23" s="1296">
        <f>H23</f>
        <v>100</v>
      </c>
      <c r="V23" s="1295" t="s">
        <v>885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1463</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885</v>
      </c>
      <c r="S25" s="1296">
        <f>F25</f>
        <v>100</v>
      </c>
      <c r="T25" s="1295" t="s">
        <v>885</v>
      </c>
      <c r="U25" s="1296">
        <f>H25</f>
        <v>100</v>
      </c>
      <c r="V25" s="1295" t="s">
        <v>885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885</v>
      </c>
      <c r="S27" s="1291">
        <f>F27</f>
        <v>100</v>
      </c>
      <c r="T27" s="1290" t="s">
        <v>885</v>
      </c>
      <c r="U27" s="1291">
        <f>H27</f>
        <v>100</v>
      </c>
      <c r="V27" s="1290" t="s">
        <v>885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885</v>
      </c>
      <c r="S29" s="1291">
        <f>F29</f>
        <v>100</v>
      </c>
      <c r="T29" s="1290" t="s">
        <v>885</v>
      </c>
      <c r="U29" s="1291">
        <f>H29</f>
        <v>100</v>
      </c>
      <c r="V29" s="1290" t="s">
        <v>885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885</v>
      </c>
      <c r="S31" s="1296">
        <f t="shared" ref="S31:S45" si="10">F31</f>
        <v>100</v>
      </c>
      <c r="T31" s="1295" t="s">
        <v>885</v>
      </c>
      <c r="U31" s="1296">
        <f t="shared" ref="U31:U45" si="11">H31</f>
        <v>100</v>
      </c>
      <c r="V31" s="1295" t="s">
        <v>885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1436</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885</v>
      </c>
      <c r="S32" s="1296">
        <f t="shared" si="10"/>
        <v>100</v>
      </c>
      <c r="T32" s="1295" t="s">
        <v>885</v>
      </c>
      <c r="U32" s="1296">
        <f t="shared" si="11"/>
        <v>100</v>
      </c>
      <c r="V32" s="1295" t="s">
        <v>885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1464</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885</v>
      </c>
      <c r="S34" s="1296">
        <f t="shared" si="10"/>
        <v>100</v>
      </c>
      <c r="T34" s="1295" t="s">
        <v>885</v>
      </c>
      <c r="U34" s="1296">
        <f t="shared" si="11"/>
        <v>100</v>
      </c>
      <c r="V34" s="1295" t="s">
        <v>885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885</v>
      </c>
      <c r="S35" s="1296">
        <f t="shared" si="10"/>
        <v>100</v>
      </c>
      <c r="T35" s="1295" t="s">
        <v>885</v>
      </c>
      <c r="U35" s="1296">
        <f t="shared" si="11"/>
        <v>100</v>
      </c>
      <c r="V35" s="1295" t="s">
        <v>885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917</v>
      </c>
      <c r="Q36" s="491">
        <f t="shared" si="8"/>
        <v>111</v>
      </c>
      <c r="R36" s="1295" t="s">
        <v>885</v>
      </c>
      <c r="S36" s="1296">
        <f t="shared" si="10"/>
        <v>100</v>
      </c>
      <c r="T36" s="1295" t="s">
        <v>885</v>
      </c>
      <c r="U36" s="1296">
        <f t="shared" si="11"/>
        <v>100</v>
      </c>
      <c r="V36" s="1295" t="s">
        <v>885</v>
      </c>
      <c r="W36" s="1296">
        <f t="shared" si="12"/>
        <v>100</v>
      </c>
      <c r="X36" s="1282"/>
      <c r="Y36" s="1267" t="s">
        <v>917</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885</v>
      </c>
      <c r="S37" s="1298">
        <f t="shared" si="10"/>
        <v>100</v>
      </c>
      <c r="T37" s="1297" t="s">
        <v>885</v>
      </c>
      <c r="U37" s="1298">
        <f t="shared" si="11"/>
        <v>100</v>
      </c>
      <c r="V37" s="1297" t="s">
        <v>885</v>
      </c>
      <c r="W37" s="1298">
        <f t="shared" si="12"/>
        <v>100</v>
      </c>
      <c r="X37" s="1299"/>
      <c r="Y37" s="1267"/>
      <c r="Z37" s="1313">
        <f t="shared" si="13"/>
        <v>111</v>
      </c>
      <c r="AA37" s="1312">
        <f t="shared" si="3"/>
        <v>1</v>
      </c>
      <c r="AB37" s="1312">
        <f t="shared" si="4"/>
        <v>1</v>
      </c>
      <c r="AC37" s="1312">
        <f t="shared" si="5"/>
        <v>1</v>
      </c>
    </row>
    <row r="38" ht="15" spans="1:29">
      <c r="A38" s="1098" t="s">
        <v>914</v>
      </c>
      <c r="B38" s="1182" t="s">
        <v>1465</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885</v>
      </c>
      <c r="S38" s="1296" t="e">
        <f t="shared" si="10"/>
        <v>#N/A</v>
      </c>
      <c r="T38" s="1295" t="s">
        <v>885</v>
      </c>
      <c r="U38" s="1296" t="e">
        <f t="shared" si="11"/>
        <v>#N/A</v>
      </c>
      <c r="V38" s="1295" t="s">
        <v>885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1466</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885</v>
      </c>
      <c r="S39" s="1296">
        <f t="shared" si="10"/>
        <v>100</v>
      </c>
      <c r="T39" s="1295" t="s">
        <v>885</v>
      </c>
      <c r="U39" s="1296">
        <f t="shared" si="11"/>
        <v>100</v>
      </c>
      <c r="V39" s="1295" t="s">
        <v>885</v>
      </c>
      <c r="W39" s="1296">
        <f t="shared" si="12"/>
        <v>100</v>
      </c>
      <c r="X39" s="1282"/>
      <c r="Y39" s="1267"/>
      <c r="Z39" s="1281" t="str">
        <f t="shared" si="13"/>
        <v>宗地形状</v>
      </c>
      <c r="AA39" s="1312">
        <f t="shared" si="3"/>
        <v>1</v>
      </c>
      <c r="AB39" s="1312">
        <f t="shared" si="4"/>
        <v>1</v>
      </c>
      <c r="AC39" s="1312">
        <f t="shared" si="5"/>
        <v>1</v>
      </c>
    </row>
    <row r="40" ht="15" spans="1:29">
      <c r="A40" s="1185"/>
      <c r="B40" s="1127" t="s">
        <v>1467</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885</v>
      </c>
      <c r="S40" s="1296">
        <f t="shared" si="10"/>
        <v>100</v>
      </c>
      <c r="T40" s="1295" t="s">
        <v>885</v>
      </c>
      <c r="U40" s="1296">
        <f t="shared" si="11"/>
        <v>100</v>
      </c>
      <c r="V40" s="1295" t="s">
        <v>885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1468</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885</v>
      </c>
      <c r="S41" s="1291">
        <f t="shared" si="10"/>
        <v>100</v>
      </c>
      <c r="T41" s="1290" t="s">
        <v>885</v>
      </c>
      <c r="U41" s="1291">
        <f t="shared" si="11"/>
        <v>100</v>
      </c>
      <c r="V41" s="1290" t="s">
        <v>885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1469</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917</v>
      </c>
      <c r="Q42" s="491" t="str">
        <f t="shared" si="14"/>
        <v>工程地质条件</v>
      </c>
      <c r="R42" s="1295" t="s">
        <v>885</v>
      </c>
      <c r="S42" s="1296">
        <f t="shared" si="10"/>
        <v>100</v>
      </c>
      <c r="T42" s="1295" t="s">
        <v>885</v>
      </c>
      <c r="U42" s="1296">
        <f t="shared" si="11"/>
        <v>100</v>
      </c>
      <c r="V42" s="1295" t="s">
        <v>885</v>
      </c>
      <c r="W42" s="1296">
        <f t="shared" si="12"/>
        <v>100</v>
      </c>
      <c r="X42" s="1282"/>
      <c r="Y42" s="1267" t="s">
        <v>917</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885</v>
      </c>
      <c r="S43" s="1296">
        <f t="shared" si="10"/>
        <v>100</v>
      </c>
      <c r="T43" s="1295" t="s">
        <v>885</v>
      </c>
      <c r="U43" s="1296">
        <f t="shared" si="11"/>
        <v>100</v>
      </c>
      <c r="V43" s="1295" t="s">
        <v>885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885</v>
      </c>
      <c r="S44" s="1296">
        <f t="shared" si="10"/>
        <v>100</v>
      </c>
      <c r="T44" s="1295" t="s">
        <v>885</v>
      </c>
      <c r="U44" s="1296">
        <f t="shared" si="11"/>
        <v>100</v>
      </c>
      <c r="V44" s="1295" t="s">
        <v>885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885</v>
      </c>
      <c r="S45" s="1298">
        <f t="shared" si="10"/>
        <v>100</v>
      </c>
      <c r="T45" s="1297" t="s">
        <v>885</v>
      </c>
      <c r="U45" s="1298">
        <f t="shared" si="11"/>
        <v>100</v>
      </c>
      <c r="V45" s="1297" t="s">
        <v>885</v>
      </c>
      <c r="W45" s="1298">
        <f t="shared" si="12"/>
        <v>100</v>
      </c>
      <c r="X45" s="1299"/>
      <c r="Y45" s="1267"/>
      <c r="Z45" s="1313">
        <f t="shared" si="13"/>
        <v>111</v>
      </c>
      <c r="AA45" s="1312">
        <f t="shared" si="3"/>
        <v>1</v>
      </c>
      <c r="AB45" s="1312">
        <f t="shared" si="4"/>
        <v>1</v>
      </c>
      <c r="AC45" s="1312">
        <f t="shared" si="5"/>
        <v>1</v>
      </c>
    </row>
    <row r="46" ht="15" spans="1:29">
      <c r="A46" s="1193" t="s">
        <v>1452</v>
      </c>
      <c r="B46" s="1194" t="s">
        <v>1470</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933</v>
      </c>
      <c r="B47" s="1202"/>
      <c r="C47" s="1203" t="e">
        <f>R48</f>
        <v>#DIV/0!</v>
      </c>
      <c r="D47" s="831" t="s">
        <v>934</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935</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936</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937</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938</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1471</v>
      </c>
      <c r="B55" s="1213" t="s">
        <v>1472</v>
      </c>
      <c r="C55" s="1214" t="s">
        <v>1473</v>
      </c>
      <c r="D55" s="1215" t="s">
        <v>1474</v>
      </c>
      <c r="E55" s="1216" t="s">
        <v>1475</v>
      </c>
      <c r="F55" s="1217" t="s">
        <v>1476</v>
      </c>
      <c r="G55" s="1218" t="s">
        <v>1477</v>
      </c>
      <c r="H55" s="1218" t="str">
        <f>项目基本情况!G8</f>
        <v>XX</v>
      </c>
      <c r="I55" s="1276" t="s">
        <v>1478</v>
      </c>
      <c r="J55" s="1277"/>
      <c r="K55" s="1278"/>
    </row>
    <row r="56" s="1084" customFormat="1" spans="1:14">
      <c r="A56" s="1219" t="s">
        <v>1479</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1480</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1481</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1482</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1483</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1484</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1485</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1486</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1487</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1488</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1489</v>
      </c>
      <c r="B66" s="1316" t="s">
        <v>1433</v>
      </c>
      <c r="C66" s="1316" t="s">
        <v>1433</v>
      </c>
      <c r="D66" s="1316" t="s">
        <v>1433</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2021-10-1</v>
      </c>
      <c r="D68" s="1322">
        <f>EDATE(C68,-3)</f>
        <v>44378</v>
      </c>
      <c r="E68" s="1322">
        <f t="shared" ref="E68:O68" si="18">EDATE(D68,-3)</f>
        <v>44287</v>
      </c>
      <c r="F68" s="1322">
        <f t="shared" si="18"/>
        <v>44197</v>
      </c>
      <c r="G68" s="1322">
        <f t="shared" si="18"/>
        <v>44105</v>
      </c>
      <c r="H68" s="1322">
        <f t="shared" si="18"/>
        <v>44013</v>
      </c>
      <c r="I68" s="1322">
        <f t="shared" si="18"/>
        <v>43922</v>
      </c>
      <c r="J68" s="1322">
        <f t="shared" si="18"/>
        <v>43831</v>
      </c>
      <c r="K68" s="1322">
        <f t="shared" si="18"/>
        <v>43739</v>
      </c>
      <c r="L68" s="1322">
        <f t="shared" si="18"/>
        <v>43647</v>
      </c>
      <c r="M68" s="1322">
        <f t="shared" si="18"/>
        <v>43556</v>
      </c>
      <c r="N68" s="1322">
        <f t="shared" si="18"/>
        <v>43466</v>
      </c>
      <c r="O68" s="1322">
        <f t="shared" si="18"/>
        <v>43374</v>
      </c>
    </row>
    <row r="69" ht="21" spans="1:17">
      <c r="A69" s="1323" t="s">
        <v>939</v>
      </c>
      <c r="B69" s="1300"/>
      <c r="C69" s="1324"/>
      <c r="D69" s="1324"/>
      <c r="E69" s="1324"/>
      <c r="F69" s="1324"/>
      <c r="G69" s="1324"/>
      <c r="H69" s="1324"/>
      <c r="I69" s="1375"/>
      <c r="J69" s="1375"/>
      <c r="K69" s="1376"/>
      <c r="L69" s="1377"/>
      <c r="M69" s="1375"/>
      <c r="N69" s="1375"/>
      <c r="O69" s="1375"/>
      <c r="P69" s="1378"/>
      <c r="Q69" s="1382"/>
    </row>
    <row r="70" s="1086" customFormat="1" ht="15" spans="1:16">
      <c r="A70" s="1325" t="s">
        <v>1490</v>
      </c>
      <c r="B70" s="1326"/>
      <c r="C70" s="1327" t="str">
        <f>YEAR(C68)&amp;"-"&amp;ROUNDUP(MONTH(C68)/3,0)</f>
        <v>2021-4</v>
      </c>
      <c r="D70" s="1327" t="str">
        <f>YEAR(D68)&amp;"-"&amp;ROUNDUP(MONTH(D68)/3,0)</f>
        <v>2021-3</v>
      </c>
      <c r="E70" s="1327" t="str">
        <f t="shared" ref="E70:O70" si="19">YEAR(E68)&amp;"-"&amp;ROUNDUP(MONTH(E68)/3,0)</f>
        <v>2021-2</v>
      </c>
      <c r="F70" s="1327" t="str">
        <f t="shared" si="19"/>
        <v>2021-1</v>
      </c>
      <c r="G70" s="1327" t="str">
        <f t="shared" si="19"/>
        <v>2020-4</v>
      </c>
      <c r="H70" s="1327" t="str">
        <f t="shared" si="19"/>
        <v>2020-3</v>
      </c>
      <c r="I70" s="1327" t="str">
        <f t="shared" si="19"/>
        <v>2020-2</v>
      </c>
      <c r="J70" s="1327" t="str">
        <f t="shared" si="19"/>
        <v>2020-1</v>
      </c>
      <c r="K70" s="1327" t="str">
        <f t="shared" si="19"/>
        <v>2019-4</v>
      </c>
      <c r="L70" s="1327" t="str">
        <f t="shared" si="19"/>
        <v>2019-3</v>
      </c>
      <c r="M70" s="1327" t="str">
        <f t="shared" si="19"/>
        <v>2019-2</v>
      </c>
      <c r="N70" s="1327" t="str">
        <f t="shared" si="19"/>
        <v>2019-1</v>
      </c>
      <c r="O70" s="1327" t="str">
        <f t="shared" si="19"/>
        <v>2018-4</v>
      </c>
      <c r="P70" s="1379"/>
    </row>
    <row r="71" s="1080" customFormat="1" ht="29.25" customHeight="1" spans="1:16">
      <c r="A71" s="1328" t="s">
        <v>1491</v>
      </c>
      <c r="B71" s="1329" t="str">
        <f>"北京市平均增长率"&amp;TEXT(SUMIF(基准地价修正!N21:N25,A71,基准地价修正!P21:P25),"0.00%")</f>
        <v>北京市平均增长率1.05%</v>
      </c>
      <c r="C71" s="642">
        <v>100</v>
      </c>
      <c r="D71" s="1330"/>
      <c r="E71" s="1330"/>
      <c r="F71" s="1330"/>
      <c r="G71" s="1330"/>
      <c r="H71" s="1330"/>
      <c r="I71" s="1330"/>
      <c r="J71" s="1330"/>
      <c r="K71" s="1330"/>
      <c r="L71" s="1330"/>
      <c r="M71" s="1380"/>
      <c r="N71" s="1330"/>
      <c r="O71" s="1381"/>
      <c r="P71" s="1382"/>
    </row>
    <row r="72" s="1080" customFormat="1" ht="15.75" spans="1:17">
      <c r="A72" s="1331" t="s">
        <v>940</v>
      </c>
      <c r="B72" s="1332"/>
      <c r="C72" s="1333"/>
      <c r="D72" s="1334"/>
      <c r="E72" s="1334"/>
      <c r="F72" s="1334"/>
      <c r="G72" s="1334"/>
      <c r="H72" s="1334"/>
      <c r="I72" s="1334"/>
      <c r="J72" s="1334"/>
      <c r="K72" s="1334"/>
      <c r="L72" s="1334"/>
      <c r="M72" s="1383"/>
      <c r="N72" s="1334"/>
      <c r="O72" s="1384"/>
      <c r="P72" s="1382"/>
      <c r="Q72" s="1382"/>
    </row>
    <row r="73" s="1080" customFormat="1" ht="15" spans="1:17">
      <c r="A73" s="1335" t="s">
        <v>886</v>
      </c>
      <c r="B73" s="1336"/>
      <c r="C73" s="1337" t="s">
        <v>887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941</v>
      </c>
      <c r="B75" s="1341" t="s">
        <v>891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895</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896</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1463</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949</v>
      </c>
      <c r="D102" s="1346" t="s">
        <v>950</v>
      </c>
      <c r="E102" s="1346" t="s">
        <v>951</v>
      </c>
      <c r="F102" s="1346" t="s">
        <v>952</v>
      </c>
      <c r="G102" s="1346" t="s">
        <v>953</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1492</v>
      </c>
      <c r="D104" s="1346" t="s">
        <v>1493</v>
      </c>
      <c r="E104" s="1346" t="s">
        <v>1494</v>
      </c>
      <c r="F104" s="1346" t="s">
        <v>1495</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1436</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1464</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914</v>
      </c>
      <c r="B116" s="1341" t="s">
        <v>1465</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1466</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1467</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1468</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1469</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D57:D65">
      <formula1>"25%,1"</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55">
      <formula1>"北京市系数,其他省市系数"</formula1>
    </dataValidation>
    <dataValidation type="list" allowBlank="1" showInputMessage="1" showErrorMessage="1" sqref="C40 E40 G40 I40">
      <formula1>套综临街宽度及深度</formula1>
    </dataValidation>
    <dataValidation type="list" allowBlank="1" showInputMessage="1" showErrorMessage="1" sqref="D47">
      <formula1>"简单平均,加权平均"</formula1>
    </dataValidation>
    <dataValidation type="list" allowBlank="1" showInputMessage="1" showErrorMessage="1" sqref="C41 E41 G41 I41">
      <formula1>套综宗地内开发程度</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315" customWidth="1"/>
    <col min="2" max="3" width="12.5" style="3315" customWidth="1"/>
    <col min="4" max="6" width="8.125" style="3315"/>
    <col min="7" max="7" width="17.5" style="3315" customWidth="1"/>
    <col min="8" max="16384" width="8.125" style="3315"/>
  </cols>
  <sheetData>
    <row r="1" ht="23.25" spans="1:7">
      <c r="A1" s="3394" t="s">
        <v>78</v>
      </c>
      <c r="B1" s="3395"/>
      <c r="C1" s="3395"/>
      <c r="D1" s="3395"/>
      <c r="E1" s="3395"/>
      <c r="F1" s="3395"/>
      <c r="G1" s="3395"/>
    </row>
    <row r="2" spans="1:1">
      <c r="A2" s="3396"/>
    </row>
    <row r="3" s="3392" customFormat="1" ht="18" spans="1:7">
      <c r="A3" s="3397" t="str">
        <f>IF(ISNUMBER(FIND("公司",项目基本情况!B4)),项目基本情况!B4&amp;"：",项目基本情况!B4&amp;"  先生/女士：")</f>
        <v>xx  先生/女士：</v>
      </c>
      <c r="B3" s="3398"/>
      <c r="C3" s="3398"/>
      <c r="D3" s="3398"/>
      <c r="E3" s="3398"/>
      <c r="F3" s="3398"/>
      <c r="G3" s="3398"/>
    </row>
    <row r="4" ht="18.75" spans="1:7">
      <c r="A4" s="3399" t="str">
        <f>IF(ISNUMBER(FIND("公司",A3)),"受贵公司委托，我公司对"&amp;项目基本情况!I1&amp;"进行了预评估。","受您的委托，我公司对"&amp;项目基本情况!I1&amp;"进行了预评估。")</f>
        <v>受您的委托，我公司对北京市房地产进行了预评估。</v>
      </c>
      <c r="B4" s="3399"/>
      <c r="C4" s="3399"/>
      <c r="D4" s="3399"/>
      <c r="E4" s="3399"/>
      <c r="F4" s="3399"/>
      <c r="G4" s="3399"/>
    </row>
    <row r="5" ht="18.75" spans="1:1">
      <c r="A5" s="3400" t="s">
        <v>79</v>
      </c>
    </row>
    <row r="6" s="3393" customFormat="1" ht="56.25" spans="1:7">
      <c r="A6" s="339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估价对象为北京市房地产，为XX所有。根据《房屋所有权证》[]，估价对象建筑面积为164.75平方米。根据《》[]，估价对象（分摊）出让国有建设用地使用权面积为平方米。估价对象用途为。</v>
      </c>
      <c r="B6" s="3399"/>
      <c r="C6" s="3399"/>
      <c r="D6" s="3399"/>
      <c r="E6" s="3399"/>
      <c r="F6" s="3399"/>
      <c r="G6" s="3399"/>
    </row>
    <row r="7" ht="18.75" spans="1:1">
      <c r="A7" s="3400" t="s">
        <v>80</v>
      </c>
    </row>
    <row r="8" ht="18.75" spans="1:7">
      <c r="A8" s="3401" t="str">
        <f>IF(项目基本情况!D4="抵押",IF(项目基本情况!B4=项目基本情况!B5,定义!C51,定义!B51),定义!D51)</f>
        <v>为估价委托人了解估价对象房地产市场价值提供参考依据。</v>
      </c>
      <c r="B8" s="3402"/>
      <c r="C8" s="3399"/>
      <c r="D8" s="3399"/>
      <c r="E8" s="3399"/>
      <c r="F8" s="3399"/>
      <c r="G8" s="3399"/>
    </row>
    <row r="9" ht="18.75" spans="1:2">
      <c r="A9" s="3398" t="s">
        <v>81</v>
      </c>
      <c r="B9" s="3403"/>
    </row>
    <row r="10" ht="18" spans="1:7">
      <c r="A10" s="3404" t="str">
        <f>TEXT(项目基本情况!D2,"yyyy年m月d日;;")&amp;IF(项目基本情况!B2=项目基本情况!D2,"（评估专业人员实地查勘之日）","")</f>
        <v>2021年10月21日</v>
      </c>
      <c r="B10" s="3405"/>
      <c r="C10" s="3405"/>
      <c r="D10" s="3405"/>
      <c r="E10" s="3405"/>
      <c r="F10" s="3405"/>
      <c r="G10" s="3405"/>
    </row>
    <row r="11" ht="18.75" spans="1:1">
      <c r="A11" s="3398" t="s">
        <v>82</v>
      </c>
    </row>
    <row r="12" ht="75" spans="1:7">
      <c r="A12" s="3399" t="s">
        <v>83</v>
      </c>
      <c r="B12" s="3399"/>
      <c r="C12" s="3399"/>
      <c r="D12" s="3399"/>
      <c r="E12" s="3399"/>
      <c r="F12" s="3399"/>
      <c r="G12" s="3399"/>
    </row>
    <row r="13" ht="37.5" spans="1:7">
      <c r="A13" s="3399"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本次估价的“房地产价值”是指在正常市场情况下，在价值时点2021年10月21日，估价对象规划用途为，假定未设立法定优先受偿款下的房地产市场价值。</v>
      </c>
      <c r="B13" s="3399"/>
      <c r="C13" s="3399"/>
      <c r="D13" s="3399"/>
      <c r="E13" s="3399"/>
      <c r="F13" s="3399"/>
      <c r="G13" s="3399"/>
    </row>
    <row r="14" ht="75" spans="1:7">
      <c r="A14" s="340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06"/>
      <c r="C14" s="3406"/>
      <c r="D14" s="3406"/>
      <c r="E14" s="3406"/>
      <c r="F14" s="3406"/>
      <c r="G14" s="3406"/>
    </row>
    <row r="15" ht="56.25" spans="1:7">
      <c r="A15" s="3399" t="s">
        <v>84</v>
      </c>
      <c r="B15" s="3399"/>
      <c r="C15" s="3399"/>
      <c r="D15" s="3399"/>
      <c r="E15" s="3399"/>
      <c r="F15" s="3399"/>
      <c r="G15" s="3399"/>
    </row>
    <row r="16" ht="56.25" spans="1:7">
      <c r="A16" s="340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06"/>
      <c r="C16" s="3406"/>
      <c r="D16" s="3406"/>
      <c r="E16" s="3406"/>
      <c r="F16" s="3406"/>
      <c r="G16" s="3406"/>
    </row>
    <row r="17" ht="18.75" spans="1:1">
      <c r="A17" s="3398" t="s">
        <v>85</v>
      </c>
    </row>
    <row r="18" ht="18" spans="1:1">
      <c r="A18" s="3330"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P32" sqref="P32:P40"/>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1459</v>
      </c>
      <c r="B1" s="717"/>
      <c r="C1" s="718" t="s">
        <v>1440</v>
      </c>
      <c r="D1" s="719"/>
      <c r="E1" s="719"/>
      <c r="F1" s="720" t="s">
        <v>869</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1461</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1196</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1420</v>
      </c>
      <c r="D5" s="737"/>
      <c r="E5" s="738" t="s">
        <v>1421</v>
      </c>
      <c r="F5" s="739"/>
      <c r="G5" s="736" t="s">
        <v>1422</v>
      </c>
      <c r="H5" s="737"/>
      <c r="I5" s="736" t="s">
        <v>1423</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44490</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760"/>
      <c r="D10" s="761">
        <v>100</v>
      </c>
      <c r="E10" s="760"/>
      <c r="F10" s="761">
        <f>ROUND(100/'数据-取费表'!B14,0)</f>
        <v>107</v>
      </c>
      <c r="G10" s="760"/>
      <c r="H10" s="761">
        <f>ROUND(100/'数据-取费表'!B14,0)</f>
        <v>107</v>
      </c>
      <c r="I10" s="760"/>
      <c r="J10" s="761">
        <f>ROUND(100/'数据-取费表'!B14,0)</f>
        <v>107</v>
      </c>
      <c r="K10" s="894"/>
      <c r="L10" s="895"/>
      <c r="M10" s="896"/>
      <c r="N10" s="896"/>
      <c r="O10" s="897"/>
      <c r="P10" s="893"/>
      <c r="Q10" s="946" t="str">
        <f t="shared" si="6"/>
        <v>土地使用年限（年）</v>
      </c>
      <c r="R10" s="942" t="s">
        <v>885</v>
      </c>
      <c r="S10" s="943">
        <f t="shared" si="0"/>
        <v>107</v>
      </c>
      <c r="T10" s="942" t="s">
        <v>885</v>
      </c>
      <c r="U10" s="943">
        <f t="shared" si="1"/>
        <v>107</v>
      </c>
      <c r="V10" s="942" t="s">
        <v>885</v>
      </c>
      <c r="W10" s="943">
        <f t="shared" si="2"/>
        <v>107</v>
      </c>
      <c r="X10" s="944"/>
      <c r="Y10" s="946"/>
      <c r="Z10" s="962" t="str">
        <f t="shared" si="7"/>
        <v>土地使用年限（年）</v>
      </c>
      <c r="AA10" s="961">
        <f t="shared" si="3"/>
        <v>0.934579439252336</v>
      </c>
      <c r="AB10" s="961">
        <f t="shared" si="4"/>
        <v>0.934579439252336</v>
      </c>
      <c r="AC10" s="961">
        <f t="shared" si="5"/>
        <v>0.934579439252336</v>
      </c>
    </row>
    <row r="11" ht="15" spans="1:29">
      <c r="A11" s="762"/>
      <c r="B11" s="759" t="s">
        <v>895</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898</v>
      </c>
      <c r="Q15" s="893" t="str">
        <f t="shared" si="6"/>
        <v>产业集聚程度</v>
      </c>
      <c r="R15" s="947" t="s">
        <v>885</v>
      </c>
      <c r="S15" s="948">
        <f t="shared" si="0"/>
        <v>100</v>
      </c>
      <c r="T15" s="947" t="s">
        <v>885</v>
      </c>
      <c r="U15" s="948">
        <f t="shared" si="1"/>
        <v>100</v>
      </c>
      <c r="V15" s="947" t="s">
        <v>885</v>
      </c>
      <c r="W15" s="948">
        <f t="shared" si="2"/>
        <v>100</v>
      </c>
      <c r="X15" s="934"/>
      <c r="Y15" s="903" t="s">
        <v>898</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885</v>
      </c>
      <c r="S19" s="948">
        <f>F19</f>
        <v>100</v>
      </c>
      <c r="T19" s="947" t="s">
        <v>885</v>
      </c>
      <c r="U19" s="948">
        <f>H19</f>
        <v>100</v>
      </c>
      <c r="V19" s="947" t="s">
        <v>885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1496</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885</v>
      </c>
      <c r="S21" s="948">
        <f>F21</f>
        <v>100</v>
      </c>
      <c r="T21" s="947" t="s">
        <v>885</v>
      </c>
      <c r="U21" s="948">
        <f>H21</f>
        <v>100</v>
      </c>
      <c r="V21" s="947" t="s">
        <v>885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885</v>
      </c>
      <c r="S23" s="943">
        <f>F23</f>
        <v>100</v>
      </c>
      <c r="T23" s="942" t="s">
        <v>885</v>
      </c>
      <c r="U23" s="943">
        <f>H23</f>
        <v>100</v>
      </c>
      <c r="V23" s="942" t="s">
        <v>885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885</v>
      </c>
      <c r="S25" s="943">
        <f>F25</f>
        <v>100</v>
      </c>
      <c r="T25" s="942" t="s">
        <v>885</v>
      </c>
      <c r="U25" s="943">
        <f>H25</f>
        <v>100</v>
      </c>
      <c r="V25" s="942" t="s">
        <v>885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885</v>
      </c>
      <c r="S27" s="948">
        <f t="shared" ref="S27:S40" si="10">F27</f>
        <v>100</v>
      </c>
      <c r="T27" s="947" t="s">
        <v>885</v>
      </c>
      <c r="U27" s="948">
        <f t="shared" ref="U27:U40" si="11">H27</f>
        <v>100</v>
      </c>
      <c r="V27" s="947" t="s">
        <v>885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1436</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885</v>
      </c>
      <c r="S28" s="948">
        <f t="shared" si="10"/>
        <v>100</v>
      </c>
      <c r="T28" s="947" t="s">
        <v>885</v>
      </c>
      <c r="U28" s="948">
        <f t="shared" si="11"/>
        <v>100</v>
      </c>
      <c r="V28" s="947" t="s">
        <v>885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1464</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885</v>
      </c>
      <c r="S30" s="948">
        <f t="shared" si="10"/>
        <v>100</v>
      </c>
      <c r="T30" s="947" t="s">
        <v>885</v>
      </c>
      <c r="U30" s="948">
        <f t="shared" si="11"/>
        <v>100</v>
      </c>
      <c r="V30" s="947" t="s">
        <v>885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885</v>
      </c>
      <c r="S31" s="948">
        <f t="shared" si="10"/>
        <v>100</v>
      </c>
      <c r="T31" s="947" t="s">
        <v>885</v>
      </c>
      <c r="U31" s="948">
        <f t="shared" si="11"/>
        <v>100</v>
      </c>
      <c r="V31" s="947" t="s">
        <v>885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917</v>
      </c>
      <c r="Q32" s="893">
        <f t="shared" si="8"/>
        <v>111</v>
      </c>
      <c r="R32" s="947" t="s">
        <v>885</v>
      </c>
      <c r="S32" s="948">
        <f t="shared" si="10"/>
        <v>100</v>
      </c>
      <c r="T32" s="947" t="s">
        <v>885</v>
      </c>
      <c r="U32" s="948">
        <f t="shared" si="11"/>
        <v>100</v>
      </c>
      <c r="V32" s="947" t="s">
        <v>885</v>
      </c>
      <c r="W32" s="948">
        <f t="shared" si="12"/>
        <v>100</v>
      </c>
      <c r="X32" s="934"/>
      <c r="Y32" s="913" t="s">
        <v>917</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885</v>
      </c>
      <c r="S33" s="950">
        <f t="shared" si="10"/>
        <v>100</v>
      </c>
      <c r="T33" s="949" t="s">
        <v>885</v>
      </c>
      <c r="U33" s="950">
        <f t="shared" si="11"/>
        <v>100</v>
      </c>
      <c r="V33" s="949" t="s">
        <v>885</v>
      </c>
      <c r="W33" s="950">
        <f t="shared" si="12"/>
        <v>100</v>
      </c>
      <c r="X33" s="951"/>
      <c r="Y33" s="913"/>
      <c r="Z33" s="964">
        <f t="shared" si="13"/>
        <v>111</v>
      </c>
      <c r="AA33" s="963">
        <f t="shared" si="3"/>
        <v>1</v>
      </c>
      <c r="AB33" s="963">
        <f t="shared" si="4"/>
        <v>1</v>
      </c>
      <c r="AC33" s="963">
        <f t="shared" si="5"/>
        <v>1</v>
      </c>
    </row>
    <row r="34" ht="15" spans="1:29">
      <c r="A34" s="810" t="s">
        <v>914</v>
      </c>
      <c r="B34" s="811" t="s">
        <v>1465</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885</v>
      </c>
      <c r="S34" s="948" t="e">
        <f t="shared" si="10"/>
        <v>#N/A</v>
      </c>
      <c r="T34" s="947" t="s">
        <v>885</v>
      </c>
      <c r="U34" s="948" t="e">
        <f t="shared" si="11"/>
        <v>#N/A</v>
      </c>
      <c r="V34" s="947" t="s">
        <v>885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1466</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885</v>
      </c>
      <c r="S35" s="948">
        <f t="shared" si="10"/>
        <v>100</v>
      </c>
      <c r="T35" s="947" t="s">
        <v>885</v>
      </c>
      <c r="U35" s="948">
        <f t="shared" si="11"/>
        <v>100</v>
      </c>
      <c r="V35" s="947" t="s">
        <v>885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1468</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885</v>
      </c>
      <c r="S36" s="943">
        <f t="shared" si="10"/>
        <v>100</v>
      </c>
      <c r="T36" s="942" t="s">
        <v>885</v>
      </c>
      <c r="U36" s="943">
        <f t="shared" si="11"/>
        <v>100</v>
      </c>
      <c r="V36" s="942" t="s">
        <v>885</v>
      </c>
      <c r="W36" s="943">
        <f t="shared" si="12"/>
        <v>100</v>
      </c>
      <c r="X36" s="944"/>
      <c r="Y36" s="913"/>
      <c r="Z36" s="962" t="str">
        <f t="shared" si="13"/>
        <v>宗地开发程度</v>
      </c>
      <c r="AA36" s="961">
        <f t="shared" si="3"/>
        <v>1</v>
      </c>
      <c r="AB36" s="961">
        <f t="shared" si="4"/>
        <v>1</v>
      </c>
      <c r="AC36" s="961">
        <f t="shared" si="5"/>
        <v>1</v>
      </c>
    </row>
    <row r="37" ht="15" spans="1:29">
      <c r="A37" s="810"/>
      <c r="B37" s="759" t="s">
        <v>1469</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917</v>
      </c>
      <c r="Q37" s="893" t="str">
        <f t="shared" si="14"/>
        <v>工程地质条件</v>
      </c>
      <c r="R37" s="947" t="s">
        <v>885</v>
      </c>
      <c r="S37" s="948">
        <f t="shared" si="10"/>
        <v>100</v>
      </c>
      <c r="T37" s="947" t="s">
        <v>885</v>
      </c>
      <c r="U37" s="948">
        <f t="shared" si="11"/>
        <v>100</v>
      </c>
      <c r="V37" s="947" t="s">
        <v>885</v>
      </c>
      <c r="W37" s="948">
        <f t="shared" si="12"/>
        <v>100</v>
      </c>
      <c r="X37" s="934"/>
      <c r="Y37" s="913" t="s">
        <v>917</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885</v>
      </c>
      <c r="S38" s="948">
        <f t="shared" si="10"/>
        <v>100</v>
      </c>
      <c r="T38" s="947" t="s">
        <v>885</v>
      </c>
      <c r="U38" s="948">
        <f t="shared" si="11"/>
        <v>100</v>
      </c>
      <c r="V38" s="947" t="s">
        <v>885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885</v>
      </c>
      <c r="S39" s="948">
        <f t="shared" si="10"/>
        <v>100</v>
      </c>
      <c r="T39" s="947" t="s">
        <v>885</v>
      </c>
      <c r="U39" s="948">
        <f t="shared" si="11"/>
        <v>100</v>
      </c>
      <c r="V39" s="947" t="s">
        <v>885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885</v>
      </c>
      <c r="S40" s="950">
        <f t="shared" si="10"/>
        <v>100</v>
      </c>
      <c r="T40" s="949" t="s">
        <v>885</v>
      </c>
      <c r="U40" s="950">
        <f t="shared" si="11"/>
        <v>100</v>
      </c>
      <c r="V40" s="949" t="s">
        <v>885</v>
      </c>
      <c r="W40" s="950">
        <f t="shared" si="12"/>
        <v>100</v>
      </c>
      <c r="X40" s="951"/>
      <c r="Y40" s="913"/>
      <c r="Z40" s="964">
        <f t="shared" si="13"/>
        <v>111</v>
      </c>
      <c r="AA40" s="963">
        <f t="shared" si="3"/>
        <v>1</v>
      </c>
      <c r="AB40" s="963">
        <f t="shared" si="4"/>
        <v>1</v>
      </c>
      <c r="AC40" s="963">
        <f t="shared" si="5"/>
        <v>1</v>
      </c>
    </row>
    <row r="41" ht="15" spans="1:29">
      <c r="A41" s="820" t="s">
        <v>1452</v>
      </c>
      <c r="B41" s="821" t="s">
        <v>1497</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933</v>
      </c>
      <c r="B42" s="829"/>
      <c r="C42" s="830" t="e">
        <f>R43</f>
        <v>#DIV/0!</v>
      </c>
      <c r="D42" s="831" t="s">
        <v>934</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935</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1471</v>
      </c>
      <c r="B50" s="846" t="s">
        <v>1472</v>
      </c>
      <c r="C50" s="847" t="s">
        <v>1473</v>
      </c>
      <c r="D50" s="848" t="s">
        <v>1474</v>
      </c>
      <c r="E50" s="849" t="s">
        <v>1475</v>
      </c>
      <c r="F50" s="850" t="s">
        <v>1476</v>
      </c>
      <c r="G50" s="851" t="s">
        <v>1498</v>
      </c>
      <c r="H50" s="851" t="str">
        <f>项目基本情况!G8</f>
        <v>XX</v>
      </c>
      <c r="I50" s="923" t="s">
        <v>1478</v>
      </c>
      <c r="J50" s="924"/>
      <c r="K50" s="925"/>
    </row>
    <row r="51" s="711" customFormat="1" spans="1:15">
      <c r="A51" s="852" t="s">
        <v>1479</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1480</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1481</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1482</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1483</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1484</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1485</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1486</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1487</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1488</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1489</v>
      </c>
      <c r="B61" s="864" t="s">
        <v>1433</v>
      </c>
      <c r="C61" s="864" t="s">
        <v>1433</v>
      </c>
      <c r="D61" s="864" t="s">
        <v>1433</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2021-10-1</v>
      </c>
      <c r="D63" s="870">
        <f>EDATE(C63,-3)</f>
        <v>44378</v>
      </c>
      <c r="E63" s="870">
        <f t="shared" ref="E63:O63" si="18">EDATE(D63,-3)</f>
        <v>44287</v>
      </c>
      <c r="F63" s="870">
        <f t="shared" si="18"/>
        <v>44197</v>
      </c>
      <c r="G63" s="870">
        <f t="shared" si="18"/>
        <v>44105</v>
      </c>
      <c r="H63" s="870">
        <f t="shared" si="18"/>
        <v>44013</v>
      </c>
      <c r="I63" s="870">
        <f t="shared" si="18"/>
        <v>43922</v>
      </c>
      <c r="J63" s="870">
        <f t="shared" si="18"/>
        <v>43831</v>
      </c>
      <c r="K63" s="870">
        <f t="shared" si="18"/>
        <v>43739</v>
      </c>
      <c r="L63" s="870">
        <f t="shared" si="18"/>
        <v>43647</v>
      </c>
      <c r="M63" s="870">
        <f t="shared" si="18"/>
        <v>43556</v>
      </c>
      <c r="N63" s="870">
        <f t="shared" si="18"/>
        <v>43466</v>
      </c>
      <c r="O63" s="870">
        <f t="shared" si="18"/>
        <v>43374</v>
      </c>
    </row>
    <row r="64" ht="21" spans="1:17">
      <c r="A64" s="871" t="s">
        <v>939</v>
      </c>
      <c r="B64" s="872"/>
      <c r="C64" s="873"/>
      <c r="D64" s="873"/>
      <c r="E64" s="873"/>
      <c r="F64" s="874"/>
      <c r="G64" s="874"/>
      <c r="H64" s="873"/>
      <c r="I64" s="927"/>
      <c r="J64" s="927"/>
      <c r="K64" s="928"/>
      <c r="L64" s="929"/>
      <c r="M64" s="927"/>
      <c r="N64" s="927"/>
      <c r="O64" s="927"/>
      <c r="P64" s="930"/>
      <c r="Q64" s="955"/>
    </row>
    <row r="65" s="712" customFormat="1" ht="15" spans="1:16">
      <c r="A65" s="966" t="s">
        <v>1490</v>
      </c>
      <c r="B65" s="967"/>
      <c r="C65" s="968" t="str">
        <f>YEAR(C63)&amp;"-"&amp;ROUNDUP(MONTH(C63)/3,0)</f>
        <v>2021-4</v>
      </c>
      <c r="D65" s="968" t="str">
        <f t="shared" ref="D65:O65" si="19">YEAR(D63)&amp;"-"&amp;ROUNDUP(MONTH(D63)/3,0)</f>
        <v>2021-3</v>
      </c>
      <c r="E65" s="968" t="str">
        <f t="shared" si="19"/>
        <v>2021-2</v>
      </c>
      <c r="F65" s="968" t="str">
        <f t="shared" si="19"/>
        <v>2021-1</v>
      </c>
      <c r="G65" s="968" t="str">
        <f t="shared" si="19"/>
        <v>2020-4</v>
      </c>
      <c r="H65" s="968" t="str">
        <f t="shared" si="19"/>
        <v>2020-3</v>
      </c>
      <c r="I65" s="968" t="str">
        <f t="shared" si="19"/>
        <v>2020-2</v>
      </c>
      <c r="J65" s="968" t="str">
        <f t="shared" si="19"/>
        <v>2020-1</v>
      </c>
      <c r="K65" s="968" t="str">
        <f t="shared" si="19"/>
        <v>2019-4</v>
      </c>
      <c r="L65" s="968" t="str">
        <f t="shared" si="19"/>
        <v>2019-3</v>
      </c>
      <c r="M65" s="968" t="str">
        <f t="shared" si="19"/>
        <v>2019-2</v>
      </c>
      <c r="N65" s="968" t="str">
        <f t="shared" si="19"/>
        <v>2019-1</v>
      </c>
      <c r="O65" s="968" t="str">
        <f t="shared" si="19"/>
        <v>2018-4</v>
      </c>
      <c r="P65" s="1021"/>
    </row>
    <row r="66" s="707" customFormat="1" ht="33.75" customHeight="1" spans="1:16">
      <c r="A66" s="969" t="s">
        <v>1499</v>
      </c>
      <c r="B66" s="970" t="str">
        <f>"北京市平均增长率"&amp;TEXT(基准地价修正!P24,"0.00%")</f>
        <v>北京市平均增长率1.22%</v>
      </c>
      <c r="C66" s="369">
        <v>100</v>
      </c>
      <c r="D66" s="971"/>
      <c r="E66" s="971"/>
      <c r="F66" s="971"/>
      <c r="G66" s="971"/>
      <c r="H66" s="971"/>
      <c r="I66" s="971"/>
      <c r="J66" s="971"/>
      <c r="K66" s="971"/>
      <c r="L66" s="971"/>
      <c r="M66" s="1022"/>
      <c r="N66" s="971"/>
      <c r="O66" s="1023"/>
      <c r="P66" s="955"/>
    </row>
    <row r="67" s="707" customFormat="1" ht="15.75" spans="1:17">
      <c r="A67" s="972" t="s">
        <v>940</v>
      </c>
      <c r="B67" s="973"/>
      <c r="C67" s="974"/>
      <c r="D67" s="975"/>
      <c r="E67" s="975"/>
      <c r="F67" s="975"/>
      <c r="G67" s="975"/>
      <c r="H67" s="975"/>
      <c r="I67" s="975"/>
      <c r="J67" s="975"/>
      <c r="K67" s="975"/>
      <c r="L67" s="975"/>
      <c r="M67" s="1024"/>
      <c r="N67" s="975"/>
      <c r="O67" s="1025"/>
      <c r="P67" s="955"/>
      <c r="Q67" s="955"/>
    </row>
    <row r="68" s="707" customFormat="1" ht="15" spans="1:17">
      <c r="A68" s="976" t="s">
        <v>886</v>
      </c>
      <c r="B68" s="977"/>
      <c r="C68" s="978" t="s">
        <v>887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941</v>
      </c>
      <c r="B70" s="983" t="s">
        <v>891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895</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896</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1463</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949</v>
      </c>
      <c r="D93" s="988" t="s">
        <v>950</v>
      </c>
      <c r="E93" s="988" t="s">
        <v>951</v>
      </c>
      <c r="F93" s="988" t="s">
        <v>952</v>
      </c>
      <c r="G93" s="988" t="s">
        <v>953</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1492</v>
      </c>
      <c r="D95" s="988" t="s">
        <v>1493</v>
      </c>
      <c r="E95" s="988" t="s">
        <v>1494</v>
      </c>
      <c r="F95" s="988" t="s">
        <v>1495</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1436</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1464</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914</v>
      </c>
      <c r="B107" s="983" t="s">
        <v>1465</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1466</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1468</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1469</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D42">
      <formula1>"简单平均,加权平均"</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P39" sqref="P39"/>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1500</v>
      </c>
      <c r="B1" s="398"/>
      <c r="C1" s="399" t="s">
        <v>872</v>
      </c>
      <c r="D1" s="400">
        <f>SUM(D29:D30,D33:D39)</f>
        <v>164.75</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1501</v>
      </c>
      <c r="S1" s="646" t="s">
        <v>1502</v>
      </c>
      <c r="T1" s="646" t="s">
        <v>1503</v>
      </c>
      <c r="U1" s="646" t="s">
        <v>1504</v>
      </c>
      <c r="V1" s="646" t="s">
        <v>1505</v>
      </c>
      <c r="W1" s="647"/>
      <c r="X1" s="647"/>
      <c r="Y1" s="647"/>
      <c r="Z1" s="647"/>
      <c r="AA1" s="647"/>
      <c r="AB1" s="647"/>
      <c r="AC1" s="647"/>
      <c r="AD1" s="655"/>
      <c r="AE1" s="655"/>
      <c r="AF1" s="655"/>
      <c r="AG1" s="655"/>
      <c r="AH1" s="655"/>
      <c r="AI1" s="655"/>
      <c r="AJ1" s="666"/>
    </row>
    <row r="2" ht="24.75" spans="1:36">
      <c r="A2" s="401" t="s">
        <v>870</v>
      </c>
      <c r="B2" s="402">
        <f>C26</f>
        <v>0</v>
      </c>
      <c r="C2" s="403" t="s">
        <v>1461</v>
      </c>
      <c r="D2" s="404" t="s">
        <v>1506</v>
      </c>
      <c r="E2" s="405" t="s">
        <v>461</v>
      </c>
      <c r="F2" s="404" t="s">
        <v>1507</v>
      </c>
      <c r="G2" s="406">
        <f>项目基本情况!F9</f>
        <v>0</v>
      </c>
      <c r="H2" s="407" t="s">
        <v>1508</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0</v>
      </c>
      <c r="T2" s="646">
        <f>ROUND($C$5*$C$18*$C$19*$C$20*S2*$C$24,0)</f>
        <v>0</v>
      </c>
      <c r="U2" s="648"/>
      <c r="V2" s="646">
        <f>ROUND(T2*U2/10000,0)</f>
        <v>0</v>
      </c>
      <c r="W2" s="647"/>
      <c r="X2" s="647"/>
      <c r="Y2" s="647"/>
      <c r="Z2" s="647"/>
      <c r="AA2" s="647"/>
      <c r="AB2" s="647"/>
      <c r="AC2" s="647"/>
      <c r="AD2" s="655"/>
      <c r="AE2" s="655"/>
      <c r="AF2" s="655"/>
      <c r="AG2" s="655"/>
      <c r="AH2" s="655"/>
      <c r="AI2" s="655"/>
      <c r="AJ2" s="666"/>
    </row>
    <row r="3" ht="24" spans="1:36">
      <c r="A3" s="402" t="s">
        <v>871</v>
      </c>
      <c r="B3" s="402">
        <f>ROUND(B2/D1,0)</f>
        <v>0</v>
      </c>
      <c r="C3" s="403" t="s">
        <v>1196</v>
      </c>
      <c r="D3" s="404" t="s">
        <v>1509</v>
      </c>
      <c r="E3" s="405" t="s">
        <v>1510</v>
      </c>
      <c r="F3" s="408" t="s">
        <v>1511</v>
      </c>
      <c r="G3" s="409">
        <f>项目基本情况!C15</f>
        <v>1</v>
      </c>
      <c r="H3" s="410" t="s">
        <v>1512</v>
      </c>
      <c r="I3" s="578"/>
      <c r="J3" s="574" t="s">
        <v>1513</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0</v>
      </c>
      <c r="T3" s="646">
        <f t="shared" ref="T3:T16" si="0">ROUND($C$5*$C$18*$C$19*$C$20*S3*$C$24,0)</f>
        <v>0</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0</v>
      </c>
      <c r="T4" s="646">
        <f t="shared" si="0"/>
        <v>0</v>
      </c>
      <c r="U4" s="648"/>
      <c r="V4" s="646">
        <f t="shared" si="1"/>
        <v>0</v>
      </c>
      <c r="W4" s="647"/>
      <c r="X4" s="647"/>
      <c r="Y4" s="647"/>
      <c r="Z4" s="647"/>
      <c r="AA4" s="647"/>
      <c r="AB4" s="647"/>
      <c r="AC4" s="647"/>
      <c r="AD4" s="655"/>
      <c r="AE4" s="655"/>
      <c r="AF4" s="655"/>
      <c r="AG4" s="655"/>
      <c r="AH4" s="655"/>
      <c r="AI4" s="655"/>
      <c r="AJ4" s="666"/>
    </row>
    <row r="5" s="393" customFormat="1" ht="15.75" spans="1:36">
      <c r="A5" s="414" t="s">
        <v>1514</v>
      </c>
      <c r="B5" s="414" t="s">
        <v>1515</v>
      </c>
      <c r="C5" s="415">
        <f>ROUND(IF(E2="商业",C6*C7+C16,(IF(E2="住宅",C6*C12+C16,C6+C16))),0)</f>
        <v>0</v>
      </c>
      <c r="D5" s="416">
        <f>ROUND(C6+C16,0)</f>
        <v>0</v>
      </c>
      <c r="E5" s="416"/>
      <c r="F5" s="417"/>
      <c r="G5" s="418"/>
      <c r="H5" s="418"/>
      <c r="I5" s="418"/>
      <c r="J5" s="580"/>
      <c r="K5" s="581"/>
      <c r="L5" s="575" t="s">
        <v>1516</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v>
      </c>
      <c r="T5" s="646">
        <f t="shared" si="0"/>
        <v>0</v>
      </c>
      <c r="U5" s="648"/>
      <c r="V5" s="646">
        <f t="shared" si="1"/>
        <v>0</v>
      </c>
      <c r="W5" s="647"/>
      <c r="X5" s="647"/>
      <c r="Y5" s="647"/>
      <c r="Z5" s="647"/>
      <c r="AA5" s="647"/>
      <c r="AB5" s="647"/>
      <c r="AC5" s="656"/>
      <c r="AD5" s="657"/>
      <c r="AE5" s="657"/>
      <c r="AF5" s="657"/>
      <c r="AG5" s="657"/>
      <c r="AH5" s="657"/>
      <c r="AI5" s="657"/>
      <c r="AJ5" s="667"/>
    </row>
    <row r="6" ht="15.75" spans="1:36">
      <c r="A6" s="419">
        <v>1</v>
      </c>
      <c r="B6" s="420" t="s">
        <v>1517</v>
      </c>
      <c r="C6" s="421">
        <f>SUMIF(L1:L12,G2,M1:M12)</f>
        <v>0</v>
      </c>
      <c r="D6" s="422" t="s">
        <v>1518</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f>ROUND(IF(G3&gt;1,IF(R6&lt;7,SUMPRODUCT((B93:B98=R6)*(C92:N92=G2)*(C93:N98)),SUMIF(C92:N92,G2,C100:N100)),IF(R6&lt;7,SUMPRODUCT((B102:B107=R6)*(C92:N92=G2)*(C102:N107)),SUMIF(C92:N92,G2,C109:N109))),4)</f>
        <v>0</v>
      </c>
      <c r="T6" s="646">
        <f t="shared" si="0"/>
        <v>0</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1519</v>
      </c>
      <c r="C7" s="426" t="e">
        <f>IF(C8="不临58条商业街",1,ROUND(1+(1.6*E8+1.2*E9+0.8*E10+0.4*E11)*C9,4))</f>
        <v>#DIV/0!</v>
      </c>
      <c r="D7" s="427" t="s">
        <v>1520</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f>ROUND(IF(G3&gt;1,IF(R7&lt;7,SUMPRODUCT((B93:B98=R7)*(C92:N92=G2)*(C93:N98)),SUMIF(C92:N92,G2,C100:N100)),IF(R7&lt;7,SUMPRODUCT((B102:B107=R7)*(C92:N92=G2)*(C102:N107)),SUMIF(C92:N92,G2,C109:N109))),4)</f>
        <v>0</v>
      </c>
      <c r="T7" s="646">
        <f t="shared" si="0"/>
        <v>0</v>
      </c>
      <c r="U7" s="648"/>
      <c r="V7" s="646">
        <f t="shared" si="1"/>
        <v>0</v>
      </c>
      <c r="W7" s="649" t="s">
        <v>1521</v>
      </c>
      <c r="X7" s="650">
        <f>G2</f>
        <v>0</v>
      </c>
      <c r="Y7" s="650" t="s">
        <v>1511</v>
      </c>
      <c r="Z7" s="658">
        <f>G3</f>
        <v>1</v>
      </c>
      <c r="AA7" s="647"/>
      <c r="AB7" s="647"/>
      <c r="AC7" s="647"/>
      <c r="AD7" s="655"/>
      <c r="AE7" s="655"/>
      <c r="AF7" s="655"/>
      <c r="AG7" s="655"/>
      <c r="AH7" s="655"/>
      <c r="AI7" s="655"/>
      <c r="AJ7" s="666"/>
    </row>
    <row r="8" ht="15" spans="1:36">
      <c r="A8" s="430"/>
      <c r="B8" s="410" t="s">
        <v>1522</v>
      </c>
      <c r="C8" s="431"/>
      <c r="D8" s="432" t="s">
        <v>1523</v>
      </c>
      <c r="E8" s="433" t="e">
        <f>ROUND(C11/E7,4)</f>
        <v>#DIV/0!</v>
      </c>
      <c r="F8" s="434" t="s">
        <v>1524</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1525</v>
      </c>
      <c r="X8" s="649"/>
      <c r="Y8" s="659" t="s">
        <v>1526</v>
      </c>
      <c r="Z8" s="659" t="s">
        <v>1527</v>
      </c>
      <c r="AA8" s="659" t="s">
        <v>1528</v>
      </c>
      <c r="AB8" s="659" t="s">
        <v>1529</v>
      </c>
      <c r="AC8" s="659" t="s">
        <v>1530</v>
      </c>
      <c r="AD8" s="659" t="s">
        <v>1531</v>
      </c>
      <c r="AE8" s="659" t="s">
        <v>1532</v>
      </c>
      <c r="AF8" s="659" t="s">
        <v>1533</v>
      </c>
      <c r="AG8" s="659" t="s">
        <v>1534</v>
      </c>
      <c r="AH8" s="659" t="s">
        <v>1535</v>
      </c>
      <c r="AI8" s="659" t="s">
        <v>1536</v>
      </c>
      <c r="AJ8" s="659" t="s">
        <v>1537</v>
      </c>
    </row>
    <row r="9" ht="15" spans="1:36">
      <c r="A9" s="430"/>
      <c r="B9" s="410" t="s">
        <v>1538</v>
      </c>
      <c r="C9" s="436">
        <f>SUMIF(修正!C59:C119,C8,修正!E59:E119)</f>
        <v>0</v>
      </c>
      <c r="D9" s="410" t="s">
        <v>1539</v>
      </c>
      <c r="E9" s="410" t="e">
        <f>ROUND(C11/E7,4)</f>
        <v>#DIV/0!</v>
      </c>
      <c r="F9" s="434" t="s">
        <v>1540</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1541</v>
      </c>
      <c r="X9" s="652" t="s">
        <v>1542</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1543</v>
      </c>
      <c r="C10" s="410">
        <f>SUMIF(修正!C59:C119,C8,修正!F59:F119)</f>
        <v>0</v>
      </c>
      <c r="D10" s="410" t="s">
        <v>1544</v>
      </c>
      <c r="E10" s="410" t="e">
        <f>ROUND(C11/E7,4)</f>
        <v>#DIV/0!</v>
      </c>
      <c r="F10" s="434" t="s">
        <v>1545</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1546</v>
      </c>
      <c r="C11" s="437">
        <f>C10/4</f>
        <v>0</v>
      </c>
      <c r="D11" s="437" t="s">
        <v>1547</v>
      </c>
      <c r="E11" s="437" t="e">
        <f>ROUND(C11/E7,4)</f>
        <v>#DIV/0!</v>
      </c>
      <c r="F11" s="438" t="s">
        <v>1548</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1549</v>
      </c>
      <c r="X11" s="653" t="s">
        <v>1511</v>
      </c>
      <c r="Y11" s="663">
        <f>$G$3</f>
        <v>1</v>
      </c>
      <c r="Z11" s="663">
        <f t="shared" ref="Z11:AJ11" si="3">$G$3</f>
        <v>1</v>
      </c>
      <c r="AA11" s="663">
        <f t="shared" si="3"/>
        <v>1</v>
      </c>
      <c r="AB11" s="663">
        <f t="shared" si="3"/>
        <v>1</v>
      </c>
      <c r="AC11" s="663">
        <f t="shared" si="3"/>
        <v>1</v>
      </c>
      <c r="AD11" s="663">
        <f t="shared" si="3"/>
        <v>1</v>
      </c>
      <c r="AE11" s="663">
        <f t="shared" si="3"/>
        <v>1</v>
      </c>
      <c r="AF11" s="663">
        <f t="shared" si="3"/>
        <v>1</v>
      </c>
      <c r="AG11" s="663">
        <f t="shared" si="3"/>
        <v>1</v>
      </c>
      <c r="AH11" s="663">
        <f t="shared" si="3"/>
        <v>1</v>
      </c>
      <c r="AI11" s="663">
        <f t="shared" si="3"/>
        <v>1</v>
      </c>
      <c r="AJ11" s="663">
        <f t="shared" si="3"/>
        <v>1</v>
      </c>
    </row>
    <row r="12" ht="25.5" spans="1:36">
      <c r="A12" s="424">
        <f>IF(E2="住宅",2,"")</f>
        <v>2</v>
      </c>
      <c r="B12" s="440" t="s">
        <v>1550</v>
      </c>
      <c r="C12" s="426">
        <f>ROUND(C15*D15*E15*F15*G15*H15*I15*J15,4)</f>
        <v>1.32</v>
      </c>
      <c r="D12" s="441" t="s">
        <v>1551</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1552</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1553</v>
      </c>
      <c r="C13" s="445" t="s">
        <v>1554</v>
      </c>
      <c r="D13" s="446" t="s">
        <v>1555</v>
      </c>
      <c r="E13" s="446" t="s">
        <v>1556</v>
      </c>
      <c r="F13" s="447" t="s">
        <v>1557</v>
      </c>
      <c r="G13" s="448" t="s">
        <v>1558</v>
      </c>
      <c r="H13" s="448" t="s">
        <v>1558</v>
      </c>
      <c r="I13" s="448" t="s">
        <v>1558</v>
      </c>
      <c r="J13" s="591" t="s">
        <v>1558</v>
      </c>
      <c r="K13" s="541"/>
      <c r="L13" s="541"/>
      <c r="M13" s="541"/>
      <c r="N13" s="541"/>
      <c r="O13" s="541"/>
      <c r="P13" s="541"/>
      <c r="Q13" s="541"/>
      <c r="R13" s="646">
        <v>12</v>
      </c>
      <c r="S13" s="648"/>
      <c r="T13" s="646">
        <f t="shared" si="0"/>
        <v>0</v>
      </c>
      <c r="U13" s="648"/>
      <c r="V13" s="646">
        <f t="shared" si="1"/>
        <v>0</v>
      </c>
      <c r="W13" s="649"/>
      <c r="X13" s="654"/>
      <c r="Y13" s="662">
        <f>(-0.163*(Y12^2)-0.59*Y12+7617)*(10^(-4))/Y11</f>
        <v>0.7617</v>
      </c>
      <c r="Z13" s="662">
        <f t="shared" ref="Z13:AJ13" si="5">(-0.163*(Z12^2)-0.59*Z12+7617)*(10^(-4))/Z11</f>
        <v>0.7617</v>
      </c>
      <c r="AA13" s="662">
        <f t="shared" si="5"/>
        <v>0.7617</v>
      </c>
      <c r="AB13" s="662">
        <f t="shared" si="5"/>
        <v>0.7617</v>
      </c>
      <c r="AC13" s="662">
        <f t="shared" si="5"/>
        <v>0.7617</v>
      </c>
      <c r="AD13" s="662">
        <f t="shared" si="5"/>
        <v>0.7617</v>
      </c>
      <c r="AE13" s="662">
        <f t="shared" si="5"/>
        <v>0.7617</v>
      </c>
      <c r="AF13" s="662">
        <f t="shared" si="5"/>
        <v>0.7617</v>
      </c>
      <c r="AG13" s="662">
        <f t="shared" si="5"/>
        <v>0.7617</v>
      </c>
      <c r="AH13" s="662">
        <f t="shared" si="5"/>
        <v>0.7617</v>
      </c>
      <c r="AI13" s="662">
        <f t="shared" si="5"/>
        <v>0.7617</v>
      </c>
      <c r="AJ13" s="662">
        <f t="shared" si="5"/>
        <v>0.7617</v>
      </c>
    </row>
    <row r="14" ht="15" spans="1:36">
      <c r="A14" s="443"/>
      <c r="B14" s="446"/>
      <c r="C14" s="449" t="s">
        <v>1559</v>
      </c>
      <c r="D14" s="450" t="s">
        <v>1560</v>
      </c>
      <c r="E14" s="450" t="s">
        <v>1560</v>
      </c>
      <c r="F14" s="451" t="s">
        <v>1561</v>
      </c>
      <c r="G14" s="452" t="s">
        <v>1562</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1394</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1563</v>
      </c>
      <c r="C16" s="425">
        <f>ROUND(IF(F17="与级别开发程度一致",0,(G17-E17)/C17),0)</f>
        <v>0</v>
      </c>
      <c r="D16" s="460" t="s">
        <v>1564</v>
      </c>
      <c r="E16" s="461"/>
      <c r="F16" s="460" t="s">
        <v>1565</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1566</v>
      </c>
      <c r="C17" s="465">
        <f>SUMPRODUCT((修正!A2:A5=E2)*(修正!B1:M1=G2)*(修正!B2:M5))</f>
        <v>0</v>
      </c>
      <c r="D17" s="456" t="str">
        <f>IF(OR(G2="八级",G2="九级",G2="十级",G2="十一级",G2="十二级"),"五通一平","七通一平")</f>
        <v>七通一平</v>
      </c>
      <c r="E17" s="466">
        <f>SUMPRODUCT((修正!B1:M1=G2)*(修正!B15:M15))</f>
        <v>0</v>
      </c>
      <c r="F17" s="467" t="s">
        <v>1567</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1568</v>
      </c>
      <c r="B18" s="470" t="s">
        <v>1569</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1570</v>
      </c>
      <c r="B19" s="474" t="s">
        <v>1571</v>
      </c>
      <c r="C19" s="475">
        <f>ROUND(IF(H19="按公示增长率计算",SUMPRODUCT((地价!A3:A36=YEAR(G19)&amp;"-"&amp;ROUNDUP(MONTH(G19)/3,0))*(地价!X2:AB2=E2)*(地价!X3:AB36)),IF(H19="地价指数",M20/M19,(1+I19)^O19)),4)</f>
        <v>1.7232</v>
      </c>
      <c r="D19" s="476" t="s">
        <v>1572</v>
      </c>
      <c r="E19" s="477">
        <v>41640</v>
      </c>
      <c r="F19" s="476" t="s">
        <v>1573</v>
      </c>
      <c r="G19" s="478">
        <f>'数据-取费表'!B2</f>
        <v>44490</v>
      </c>
      <c r="H19" s="479" t="s">
        <v>1574</v>
      </c>
      <c r="I19" s="600" t="str">
        <f>IF(H19="季度增幅（自定义）",SUMIF(N21:N24,E2,O21:O24),"")</f>
        <v/>
      </c>
      <c r="J19" s="601"/>
      <c r="K19" s="599"/>
      <c r="L19" s="602" t="s">
        <v>1575</v>
      </c>
      <c r="M19" s="603">
        <f>ROUND(SUMIF(地价!B2:F2,E2,地价!B36:F36),0)</f>
        <v>423</v>
      </c>
      <c r="N19" s="604" t="s">
        <v>1576</v>
      </c>
      <c r="O19" s="605">
        <f>ROUNDDOWN(DATEDIF(E19,G19,"M")/3,0)</f>
        <v>31</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1577</v>
      </c>
      <c r="B20" s="481" t="s">
        <v>1578</v>
      </c>
      <c r="C20" s="482">
        <f>ROUND(POWER(1+G20,J20-I20)*(POWER(1+G20,I20)-1)/(POWER(1+G20,J20)-1),4)</f>
        <v>0.9441</v>
      </c>
      <c r="D20" s="483" t="s">
        <v>1579</v>
      </c>
      <c r="E20" s="484">
        <f>存贷款利率!E18/100</f>
        <v>0.0435</v>
      </c>
      <c r="F20" s="483" t="s">
        <v>1580</v>
      </c>
      <c r="G20" s="485">
        <f>SUMIF(M26:P26,E2,M28:P28)</f>
        <v>0.05</v>
      </c>
      <c r="H20" s="483" t="s">
        <v>1581</v>
      </c>
      <c r="I20" s="460">
        <f>'数据-取费表'!B13</f>
        <v>50.07</v>
      </c>
      <c r="J20" s="606">
        <f>IF(E2="住宅",70,IF(E2="商业",40,50))</f>
        <v>70</v>
      </c>
      <c r="K20" s="599"/>
      <c r="L20" s="607" t="s">
        <v>1582</v>
      </c>
      <c r="M20" s="608">
        <f>ROUND(SUMPRODUCT((地价!A4:A36=YEAR(G19)&amp;"-"&amp;ROUNDUP(MONTH(G19)/3,0))*(地价!B2:F2=E2)*(地价!B4:F36)),0)</f>
        <v>729</v>
      </c>
      <c r="N20" s="609" t="s">
        <v>1583</v>
      </c>
      <c r="O20" s="610" t="s">
        <v>1584</v>
      </c>
      <c r="P20" s="611" t="s">
        <v>1585</v>
      </c>
      <c r="Q20" s="599"/>
      <c r="R20" s="541"/>
      <c r="S20" s="541"/>
      <c r="T20" s="541"/>
      <c r="U20" s="541"/>
      <c r="V20" s="541"/>
      <c r="W20" s="541"/>
      <c r="X20" s="396"/>
      <c r="Y20" s="396"/>
      <c r="Z20" s="396"/>
      <c r="AA20" s="396"/>
      <c r="AB20" s="396"/>
      <c r="AC20" s="396"/>
      <c r="AD20" s="396"/>
      <c r="AE20" s="664"/>
      <c r="AF20" s="664"/>
    </row>
    <row r="21" s="393" customFormat="1" ht="14.25" spans="1:32">
      <c r="A21" s="486" t="s">
        <v>1586</v>
      </c>
      <c r="B21" s="487" t="s">
        <v>1587</v>
      </c>
      <c r="C21" s="488">
        <f>IF(B21="容积率修正",IF(G3&lt;=10,D22,J22),C23)</f>
        <v>0</v>
      </c>
      <c r="D21" s="489"/>
      <c r="E21" s="489"/>
      <c r="F21" s="489"/>
      <c r="G21" s="489"/>
      <c r="H21" s="489"/>
      <c r="I21" s="489"/>
      <c r="J21" s="612"/>
      <c r="K21" s="599"/>
      <c r="L21" s="599"/>
      <c r="M21" s="599"/>
      <c r="N21" s="613" t="s">
        <v>1588</v>
      </c>
      <c r="O21" s="614"/>
      <c r="P21" s="615">
        <f>SUMPRODUCT((地价!A3:A36=YEAR(G19)&amp;"-"&amp;ROUNDUP(MONTH(G19)/3,0))*(地价!AD2:AH2=N21)*(地价!AD3:AH36))</f>
        <v>0.0105</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1589</v>
      </c>
      <c r="C22" s="491" t="s">
        <v>1590</v>
      </c>
      <c r="D22" s="491">
        <f>IF(E22=G22,F22,IF(G3&lt;=10,ROUND(F22+(H22-F22)*(G3-E22)/(G22-E22),4),"——"))</f>
        <v>0</v>
      </c>
      <c r="E22" s="409">
        <f>ROUNDDOWN(G3,1)</f>
        <v>1</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1</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1591</v>
      </c>
      <c r="J22" s="616" t="str">
        <f>IF(G3&gt;10,D113,"——")</f>
        <v>——</v>
      </c>
      <c r="K22" s="599"/>
      <c r="L22" s="599"/>
      <c r="M22" s="599"/>
      <c r="N22" s="613" t="s">
        <v>1592</v>
      </c>
      <c r="O22" s="614"/>
      <c r="P22" s="615">
        <f>SUMPRODUCT((地价!A3:A36=YEAR(G19)&amp;"-"&amp;ROUNDUP(MONTH(G19)/3,0))*(地价!AD2:AH2=N22)*(地价!AD3:AH36))</f>
        <v>0.0105</v>
      </c>
      <c r="Q22" s="599"/>
      <c r="R22" s="541"/>
      <c r="S22" s="541"/>
      <c r="T22" s="541"/>
      <c r="U22" s="541"/>
      <c r="V22" s="541"/>
      <c r="W22" s="541"/>
      <c r="X22" s="396"/>
      <c r="Y22" s="396"/>
      <c r="Z22" s="396"/>
      <c r="AA22" s="396"/>
      <c r="AB22" s="396"/>
      <c r="AC22" s="396"/>
      <c r="AD22" s="396"/>
      <c r="AE22" s="664"/>
      <c r="AF22" s="664"/>
    </row>
    <row r="23" ht="27" spans="1:32">
      <c r="A23" s="490">
        <v>2</v>
      </c>
      <c r="B23" s="491" t="s">
        <v>1593</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1594</v>
      </c>
      <c r="O23" s="614"/>
      <c r="P23" s="615">
        <f>SUMPRODUCT((地价!A3:A36=YEAR(G19)&amp;"-"&amp;ROUNDUP(MONTH(G19)/3,0))*(地价!AD2:AH2=N23)*(地价!AD3:AH36))</f>
        <v>0.0183</v>
      </c>
      <c r="Q23" s="541"/>
      <c r="R23" s="541"/>
      <c r="S23" s="541"/>
      <c r="T23" s="541"/>
      <c r="U23" s="541"/>
      <c r="V23" s="541"/>
      <c r="W23" s="541"/>
      <c r="X23" s="396"/>
      <c r="Y23" s="396"/>
      <c r="Z23" s="396"/>
      <c r="AA23" s="396"/>
      <c r="AB23" s="396"/>
      <c r="AC23" s="396"/>
      <c r="AD23" s="396"/>
      <c r="AE23" s="396"/>
      <c r="AF23" s="396"/>
    </row>
    <row r="24" s="393" customFormat="1" ht="15.75" spans="1:32">
      <c r="A24" s="496" t="s">
        <v>1595</v>
      </c>
      <c r="B24" s="497" t="s">
        <v>1596</v>
      </c>
      <c r="C24" s="498">
        <f>SUMIF(A46:A88,E2,B46:B88)</f>
        <v>1</v>
      </c>
      <c r="D24" s="499"/>
      <c r="E24" s="500"/>
      <c r="F24" s="500"/>
      <c r="G24" s="500"/>
      <c r="H24" s="500"/>
      <c r="I24" s="500"/>
      <c r="J24" s="617"/>
      <c r="K24" s="599"/>
      <c r="L24" s="599"/>
      <c r="M24" s="599"/>
      <c r="N24" s="618" t="s">
        <v>1597</v>
      </c>
      <c r="O24" s="619"/>
      <c r="P24" s="620">
        <f>SUMPRODUCT((地价!A3:A36=YEAR(G19)&amp;"-"&amp;ROUNDUP(MONTH(G19)/3,0))*(地价!AD2:AH2=N24)*(地价!AD3:AH36))</f>
        <v>0.0122</v>
      </c>
      <c r="Q24" s="599"/>
      <c r="R24" s="541"/>
      <c r="S24" s="541"/>
      <c r="T24" s="541"/>
      <c r="U24" s="541"/>
      <c r="V24" s="541"/>
      <c r="W24" s="541"/>
      <c r="X24" s="396"/>
      <c r="Y24" s="396"/>
      <c r="Z24" s="396"/>
      <c r="AA24" s="396"/>
      <c r="AB24" s="396"/>
      <c r="AC24" s="396"/>
      <c r="AD24" s="396"/>
      <c r="AE24" s="664"/>
      <c r="AF24" s="664"/>
    </row>
    <row r="25" ht="15" spans="1:32">
      <c r="A25" s="480" t="s">
        <v>1598</v>
      </c>
      <c r="B25" s="501" t="s">
        <v>1599</v>
      </c>
      <c r="C25" s="502"/>
      <c r="D25" s="429"/>
      <c r="E25" s="429"/>
      <c r="F25" s="503"/>
      <c r="G25" s="429"/>
      <c r="H25" s="429"/>
      <c r="I25" s="429"/>
      <c r="J25" s="584"/>
      <c r="K25" s="541"/>
      <c r="L25" s="541"/>
      <c r="M25" s="541"/>
      <c r="N25" s="621" t="s">
        <v>1600</v>
      </c>
      <c r="O25" s="622"/>
      <c r="P25" s="623">
        <f>SUMPRODUCT((地价!A3:A36=YEAR(G19)&amp;"-"&amp;ROUNDUP(MONTH(G19)/3,0))*(地价!AD2:AH2=N25)*(地价!AD3:AH36))</f>
        <v>0.0166</v>
      </c>
      <c r="Q25" s="541"/>
      <c r="R25" s="541"/>
      <c r="S25" s="541"/>
      <c r="T25" s="541"/>
      <c r="U25" s="541"/>
      <c r="V25" s="541"/>
      <c r="W25" s="541"/>
      <c r="X25" s="396"/>
      <c r="Y25" s="396"/>
      <c r="Z25" s="396"/>
      <c r="AA25" s="396"/>
      <c r="AB25" s="396"/>
      <c r="AC25" s="396"/>
      <c r="AD25" s="396"/>
      <c r="AE25" s="396"/>
      <c r="AF25" s="396"/>
    </row>
    <row r="26" ht="15" spans="1:32">
      <c r="A26" s="504"/>
      <c r="B26" s="491" t="s">
        <v>1601</v>
      </c>
      <c r="C26" s="505">
        <f>IF(B21="容积率修正",E29+SUM(E33:E39),SUM(V2:V16)+SUM(E33:E39))</f>
        <v>0</v>
      </c>
      <c r="D26" s="506"/>
      <c r="E26" s="453"/>
      <c r="F26" s="507"/>
      <c r="G26" s="453"/>
      <c r="H26" s="453"/>
      <c r="I26" s="453"/>
      <c r="J26" s="624"/>
      <c r="K26" s="541"/>
      <c r="L26" s="625" t="s">
        <v>1602</v>
      </c>
      <c r="M26" s="427" t="s">
        <v>1603</v>
      </c>
      <c r="N26" s="427" t="s">
        <v>1604</v>
      </c>
      <c r="O26" s="427" t="s">
        <v>1605</v>
      </c>
      <c r="P26" s="626" t="s">
        <v>1606</v>
      </c>
      <c r="Q26" s="541"/>
      <c r="R26" s="541"/>
      <c r="S26" s="541"/>
      <c r="T26" s="541"/>
      <c r="U26" s="541"/>
      <c r="V26" s="541"/>
      <c r="W26" s="541"/>
      <c r="X26" s="396"/>
      <c r="Y26" s="396"/>
      <c r="Z26" s="396"/>
      <c r="AA26" s="396"/>
      <c r="AB26" s="396"/>
      <c r="AC26" s="396"/>
      <c r="AD26" s="396"/>
      <c r="AE26" s="396"/>
      <c r="AF26" s="396"/>
    </row>
    <row r="27" ht="15.75" spans="1:32">
      <c r="A27" s="504"/>
      <c r="B27" s="508" t="s">
        <v>1607</v>
      </c>
      <c r="C27" s="509">
        <f>E30+SUM(I33:I39)</f>
        <v>0</v>
      </c>
      <c r="D27" s="510"/>
      <c r="E27" s="511"/>
      <c r="F27" s="512"/>
      <c r="G27" s="511"/>
      <c r="H27" s="511"/>
      <c r="I27" s="511"/>
      <c r="J27" s="627"/>
      <c r="K27" s="541"/>
      <c r="L27" s="628" t="s">
        <v>1608</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1609</v>
      </c>
      <c r="C28" s="514" t="s">
        <v>1610</v>
      </c>
      <c r="D28" s="514" t="s">
        <v>1611</v>
      </c>
      <c r="E28" s="501" t="s">
        <v>1612</v>
      </c>
      <c r="F28" s="515"/>
      <c r="G28" s="442"/>
      <c r="H28" s="442"/>
      <c r="I28" s="442"/>
      <c r="J28" s="587"/>
      <c r="K28" s="541"/>
      <c r="L28" s="630" t="s">
        <v>1580</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1613</v>
      </c>
      <c r="C29" s="516">
        <f>ROUND(C5*C18*C19*C20*C21*C24,0)</f>
        <v>0</v>
      </c>
      <c r="D29" s="517">
        <f>项目基本情况!C12</f>
        <v>164.75</v>
      </c>
      <c r="E29" s="518">
        <f>ROUND(C29*D29,0)</f>
        <v>0</v>
      </c>
      <c r="F29" s="519" t="s">
        <v>1614</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1615</v>
      </c>
      <c r="C30" s="456">
        <f>ROUND(IF(E2="工业",C29*M39,C29*M38),0)</f>
        <v>0</v>
      </c>
      <c r="D30" s="522"/>
      <c r="E30" s="518">
        <f>ROUND(C30*D30,0)</f>
        <v>0</v>
      </c>
      <c r="F30" s="523" t="s">
        <v>1616</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1617</v>
      </c>
      <c r="C31" s="527" t="s">
        <v>1618</v>
      </c>
      <c r="D31" s="442"/>
      <c r="E31" s="527"/>
      <c r="F31" s="527"/>
      <c r="G31" s="441" t="s">
        <v>1616</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1610</v>
      </c>
      <c r="D32" s="530" t="s">
        <v>1611</v>
      </c>
      <c r="E32" s="530" t="s">
        <v>1612</v>
      </c>
      <c r="F32" s="410" t="s">
        <v>1619</v>
      </c>
      <c r="G32" s="492" t="s">
        <v>1610</v>
      </c>
      <c r="H32" s="492" t="s">
        <v>1611</v>
      </c>
      <c r="I32" s="492" t="s">
        <v>1612</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1620</v>
      </c>
      <c r="B33" s="532" t="s">
        <v>1621</v>
      </c>
      <c r="C33" s="516">
        <f>ROUND(D5*C19*C20*C24*F33,0)</f>
        <v>0</v>
      </c>
      <c r="D33" s="517"/>
      <c r="E33" s="410">
        <f t="shared" ref="E33:E39" si="6">ROUND(C33*D33,0)</f>
        <v>0</v>
      </c>
      <c r="F33" s="410">
        <f>SUMIF(修正!A45:A56,G2,修正!B45:B56)</f>
        <v>0</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1622</v>
      </c>
      <c r="C34" s="516">
        <f>ROUND(D5*C19*C20*C24*F34,0)</f>
        <v>0</v>
      </c>
      <c r="D34" s="517"/>
      <c r="E34" s="410">
        <f t="shared" si="6"/>
        <v>0</v>
      </c>
      <c r="F34" s="410">
        <f>SUMIF(修正!A45:A56,G2,修正!C45:C56)</f>
        <v>0</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1623</v>
      </c>
      <c r="C35" s="516">
        <f>ROUND(D5*C19*C20*C24*F35,0)</f>
        <v>0</v>
      </c>
      <c r="D35" s="517"/>
      <c r="E35" s="410">
        <f t="shared" si="6"/>
        <v>0</v>
      </c>
      <c r="F35" s="410">
        <f>SUMIF(修正!A45:A56,G2,修正!D45:D56)</f>
        <v>0</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1624</v>
      </c>
      <c r="C36" s="516">
        <f>ROUND(D5*C19*C20*C24*F36,0)</f>
        <v>0</v>
      </c>
      <c r="D36" s="517"/>
      <c r="E36" s="410">
        <f t="shared" si="6"/>
        <v>0</v>
      </c>
      <c r="F36" s="410">
        <f>SUMIF(修正!A45:A56,G2,修正!E45:E56)</f>
        <v>0</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1625</v>
      </c>
      <c r="C37" s="410">
        <f>ROUND(D5*C19*C20*C24*F37,0)</f>
        <v>0</v>
      </c>
      <c r="D37" s="517"/>
      <c r="E37" s="410">
        <f t="shared" si="6"/>
        <v>0</v>
      </c>
      <c r="F37" s="516">
        <f>SUMIF(修正!A45:A56,G2,修正!F45:F56)</f>
        <v>0</v>
      </c>
      <c r="G37" s="410">
        <f>ROUND(IF(E2="工业",C37*$M$39,C37*$M$38),0)</f>
        <v>0</v>
      </c>
      <c r="H37" s="410">
        <f t="shared" si="9"/>
        <v>0</v>
      </c>
      <c r="I37" s="410">
        <f t="shared" si="8"/>
        <v>0</v>
      </c>
      <c r="J37" s="624"/>
      <c r="K37" s="541"/>
      <c r="L37" s="636" t="s">
        <v>1626</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1627</v>
      </c>
      <c r="C38" s="410">
        <f>ROUND(D5*C19*C41*C24*F38,0)</f>
        <v>0</v>
      </c>
      <c r="D38" s="517"/>
      <c r="E38" s="410">
        <f t="shared" si="6"/>
        <v>0</v>
      </c>
      <c r="F38" s="516">
        <f>SUMIF(修正!A45:A56,G2,修正!G45:G56)</f>
        <v>0</v>
      </c>
      <c r="G38" s="410">
        <f>ROUND(IF(E2="工业",C38*$M$39,C38*$M$38),0)</f>
        <v>0</v>
      </c>
      <c r="H38" s="410">
        <f t="shared" si="9"/>
        <v>0</v>
      </c>
      <c r="I38" s="410">
        <f t="shared" si="8"/>
        <v>0</v>
      </c>
      <c r="J38" s="624"/>
      <c r="K38" s="541"/>
      <c r="L38" s="637" t="s">
        <v>1628</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1629</v>
      </c>
      <c r="C39" s="456">
        <f>ROUND(D5*C19*C41*C24*F39,0)</f>
        <v>0</v>
      </c>
      <c r="D39" s="522"/>
      <c r="E39" s="456">
        <f t="shared" si="6"/>
        <v>0</v>
      </c>
      <c r="F39" s="537">
        <f>SUMIF(修正!A45:A56,G2,修正!H45:H56)</f>
        <v>0</v>
      </c>
      <c r="G39" s="456">
        <f>ROUND(IF(E2="工业",C39*$M$39,C39*$M$38),0)</f>
        <v>0</v>
      </c>
      <c r="H39" s="456">
        <f t="shared" si="9"/>
        <v>0</v>
      </c>
      <c r="I39" s="456">
        <f t="shared" si="8"/>
        <v>0</v>
      </c>
      <c r="J39" s="627"/>
      <c r="K39" s="541"/>
      <c r="L39" s="639" t="s">
        <v>1606</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1630</v>
      </c>
      <c r="C41" s="410">
        <f>ROUND(POWER(1+E41,H41-G41)*(POWER(1+E41,G41)-1)/(POWER(1+E41,H41)-1),4)</f>
        <v>0</v>
      </c>
      <c r="D41" s="410" t="s">
        <v>1580</v>
      </c>
      <c r="E41" s="539">
        <f>G20</f>
        <v>0.05</v>
      </c>
      <c r="F41" s="410" t="s">
        <v>1581</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1631</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1632</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1633</v>
      </c>
      <c r="B47" s="552" t="s">
        <v>1634</v>
      </c>
      <c r="C47" s="552" t="s">
        <v>1635</v>
      </c>
      <c r="D47" s="552" t="s">
        <v>1636</v>
      </c>
      <c r="E47" s="553" t="s">
        <v>1637</v>
      </c>
      <c r="F47" s="506" t="s">
        <v>1638</v>
      </c>
      <c r="G47" s="552" t="s">
        <v>1394</v>
      </c>
      <c r="H47" s="554" t="s">
        <v>1639</v>
      </c>
      <c r="I47" s="552" t="s">
        <v>1640</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1641</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1642</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1643</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1644</v>
      </c>
      <c r="B51" s="563" t="s">
        <v>1645</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1646</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1647</v>
      </c>
      <c r="B53" s="564" t="s">
        <v>1648</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1649</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1650</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1651</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1652</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1633</v>
      </c>
      <c r="B58" s="561"/>
      <c r="C58" s="552" t="s">
        <v>1635</v>
      </c>
      <c r="D58" s="552" t="s">
        <v>1636</v>
      </c>
      <c r="E58" s="553" t="s">
        <v>1637</v>
      </c>
      <c r="F58" s="506" t="s">
        <v>1638</v>
      </c>
      <c r="G58" s="552" t="s">
        <v>1394</v>
      </c>
      <c r="H58" s="554" t="s">
        <v>1639</v>
      </c>
      <c r="I58" s="552" t="s">
        <v>1640</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1653</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1642</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1643</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1644</v>
      </c>
      <c r="B62" s="563" t="s">
        <v>1645</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1646</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1647</v>
      </c>
      <c r="B64" s="564" t="s">
        <v>1648</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1649</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1650</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1651</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1654</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1633</v>
      </c>
      <c r="B69" s="561"/>
      <c r="C69" s="552" t="s">
        <v>1635</v>
      </c>
      <c r="D69" s="552" t="s">
        <v>1636</v>
      </c>
      <c r="E69" s="553" t="s">
        <v>1637</v>
      </c>
      <c r="F69" s="506" t="s">
        <v>1638</v>
      </c>
      <c r="G69" s="552" t="s">
        <v>1394</v>
      </c>
      <c r="H69" s="554" t="s">
        <v>1639</v>
      </c>
      <c r="I69" s="552" t="s">
        <v>1640</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1655</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v>
      </c>
      <c r="G70" s="559"/>
      <c r="H70" s="560">
        <f t="shared" ref="H70:H78" si="21">IFERROR(ROUNDDOWN($F$70*I70/2,4),"——")</f>
        <v>0</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1642</v>
      </c>
      <c r="B71" s="561" t="str">
        <f>估价对象房地状况!C18</f>
        <v>估价对象周边道路状况、公共交通通达情况、停车便捷程度，综合评价交通便捷度较好</v>
      </c>
      <c r="C71" s="450"/>
      <c r="D71" s="556">
        <f t="shared" si="20"/>
        <v>0</v>
      </c>
      <c r="E71" s="562"/>
      <c r="F71" s="558"/>
      <c r="G71" s="559"/>
      <c r="H71" s="560">
        <f t="shared" si="21"/>
        <v>0</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1643</v>
      </c>
      <c r="B72" s="561">
        <f>估价对象房地状况!C19</f>
        <v>0</v>
      </c>
      <c r="C72" s="450"/>
      <c r="D72" s="556">
        <f t="shared" si="20"/>
        <v>0</v>
      </c>
      <c r="E72" s="562"/>
      <c r="F72" s="558"/>
      <c r="G72" s="559"/>
      <c r="H72" s="560">
        <f t="shared" si="21"/>
        <v>0</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1656</v>
      </c>
      <c r="B73" s="561">
        <f>估价对象房地状况!C24</f>
        <v>0</v>
      </c>
      <c r="C73" s="450"/>
      <c r="D73" s="556">
        <f t="shared" si="20"/>
        <v>0</v>
      </c>
      <c r="E73" s="562"/>
      <c r="F73" s="558"/>
      <c r="G73" s="559"/>
      <c r="H73" s="560">
        <f t="shared" si="21"/>
        <v>0</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1649</v>
      </c>
      <c r="B74" s="566" t="str">
        <f>估价对象房地状况!C21</f>
        <v>估价对象所在区域公共配套设施齐备情况</v>
      </c>
      <c r="C74" s="450"/>
      <c r="D74" s="556">
        <f t="shared" si="20"/>
        <v>0</v>
      </c>
      <c r="E74" s="562"/>
      <c r="F74" s="558"/>
      <c r="G74" s="559"/>
      <c r="H74" s="560">
        <f t="shared" si="21"/>
        <v>0</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1650</v>
      </c>
      <c r="B75" s="566" t="str">
        <f>估价对象房地状况!C22</f>
        <v>估价对象所在区域基础设施水平</v>
      </c>
      <c r="C75" s="450"/>
      <c r="D75" s="556">
        <f t="shared" si="20"/>
        <v>0</v>
      </c>
      <c r="E75" s="562"/>
      <c r="F75" s="558"/>
      <c r="G75" s="559"/>
      <c r="H75" s="560">
        <f t="shared" si="21"/>
        <v>0</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1647</v>
      </c>
      <c r="B76" s="564" t="s">
        <v>1648</v>
      </c>
      <c r="C76" s="450"/>
      <c r="D76" s="556">
        <f t="shared" si="20"/>
        <v>0</v>
      </c>
      <c r="E76" s="562"/>
      <c r="F76" s="558"/>
      <c r="G76" s="559"/>
      <c r="H76" s="560">
        <f t="shared" si="21"/>
        <v>0</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1651</v>
      </c>
      <c r="B77" s="555" t="str">
        <f>估价对象房地状况!C20</f>
        <v>区域自然环境：；人文环境；综合评价环境状况一般</v>
      </c>
      <c r="C77" s="450"/>
      <c r="D77" s="556">
        <f t="shared" si="20"/>
        <v>0</v>
      </c>
      <c r="E77" s="562"/>
      <c r="F77" s="558"/>
      <c r="G77" s="559"/>
      <c r="H77" s="560">
        <f t="shared" si="21"/>
        <v>0</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1657</v>
      </c>
      <c r="B78" s="670"/>
      <c r="C78" s="450"/>
      <c r="D78" s="556">
        <f t="shared" si="20"/>
        <v>0</v>
      </c>
      <c r="E78" s="569"/>
      <c r="F78" s="558"/>
      <c r="G78" s="559"/>
      <c r="H78" s="560">
        <f t="shared" si="21"/>
        <v>0</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1658</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1633</v>
      </c>
      <c r="B80" s="561"/>
      <c r="C80" s="552" t="s">
        <v>1635</v>
      </c>
      <c r="D80" s="552" t="s">
        <v>1636</v>
      </c>
      <c r="E80" s="553" t="s">
        <v>1637</v>
      </c>
      <c r="F80" s="506" t="s">
        <v>1638</v>
      </c>
      <c r="G80" s="552" t="s">
        <v>1394</v>
      </c>
      <c r="H80" s="554" t="s">
        <v>1639</v>
      </c>
      <c r="I80" s="552" t="s">
        <v>1640</v>
      </c>
      <c r="J80" s="642" t="s">
        <v>226</v>
      </c>
      <c r="K80" s="642" t="s">
        <v>238</v>
      </c>
      <c r="L80" s="642" t="s">
        <v>249</v>
      </c>
      <c r="M80" s="642" t="s">
        <v>259</v>
      </c>
      <c r="N80" s="642" t="s">
        <v>266</v>
      </c>
      <c r="Q80" s="705"/>
      <c r="R80" s="705"/>
      <c r="S80" s="705"/>
      <c r="T80" s="705"/>
      <c r="U80" s="705"/>
      <c r="V80" s="705"/>
      <c r="W80" s="705"/>
      <c r="AA80" s="395"/>
      <c r="AG80" s="394"/>
    </row>
    <row r="81" ht="38.25" spans="1:33">
      <c r="A81" s="551" t="s">
        <v>1659</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1642</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1643</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1656</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1649</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1650</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1647</v>
      </c>
      <c r="B87" s="564" t="s">
        <v>1648</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1660</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1661</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1662</v>
      </c>
      <c r="B91" s="518" t="s">
        <v>1663</v>
      </c>
      <c r="C91" s="519" t="s">
        <v>1664</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1526</v>
      </c>
      <c r="D92" s="518" t="s">
        <v>1527</v>
      </c>
      <c r="E92" s="518" t="s">
        <v>1528</v>
      </c>
      <c r="F92" s="518" t="s">
        <v>1529</v>
      </c>
      <c r="G92" s="518" t="s">
        <v>1530</v>
      </c>
      <c r="H92" s="518" t="s">
        <v>1531</v>
      </c>
      <c r="I92" s="518" t="s">
        <v>1532</v>
      </c>
      <c r="J92" s="518" t="s">
        <v>1533</v>
      </c>
      <c r="K92" s="518" t="s">
        <v>1534</v>
      </c>
      <c r="L92" s="518" t="s">
        <v>1535</v>
      </c>
      <c r="M92" s="518" t="s">
        <v>1536</v>
      </c>
      <c r="N92" s="518" t="s">
        <v>1537</v>
      </c>
      <c r="Q92" s="705"/>
      <c r="R92" s="705"/>
      <c r="S92" s="705"/>
      <c r="T92" s="705"/>
      <c r="U92" s="705"/>
      <c r="V92" s="705"/>
      <c r="W92" s="705"/>
    </row>
    <row r="93" spans="1:23">
      <c r="A93" s="675" t="s">
        <v>1665</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1542</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1666</v>
      </c>
      <c r="B101" s="682" t="s">
        <v>1667</v>
      </c>
      <c r="C101" s="683">
        <f>$G$3</f>
        <v>1</v>
      </c>
      <c r="D101" s="683">
        <f t="shared" ref="D101:N101" si="31">$G$3</f>
        <v>1</v>
      </c>
      <c r="E101" s="683">
        <f t="shared" si="31"/>
        <v>1</v>
      </c>
      <c r="F101" s="683">
        <f t="shared" si="31"/>
        <v>1</v>
      </c>
      <c r="G101" s="683">
        <f t="shared" si="31"/>
        <v>1</v>
      </c>
      <c r="H101" s="683">
        <f t="shared" si="31"/>
        <v>1</v>
      </c>
      <c r="I101" s="683">
        <f t="shared" si="31"/>
        <v>1</v>
      </c>
      <c r="J101" s="683">
        <f t="shared" si="31"/>
        <v>1</v>
      </c>
      <c r="K101" s="683">
        <f t="shared" si="31"/>
        <v>1</v>
      </c>
      <c r="L101" s="683">
        <f t="shared" si="31"/>
        <v>1</v>
      </c>
      <c r="M101" s="683">
        <f t="shared" si="31"/>
        <v>1</v>
      </c>
      <c r="N101" s="683">
        <f t="shared" si="31"/>
        <v>1</v>
      </c>
      <c r="Q101" s="705"/>
      <c r="R101" s="705"/>
      <c r="S101" s="705"/>
      <c r="T101" s="705"/>
      <c r="U101" s="705"/>
      <c r="V101" s="705"/>
      <c r="W101" s="705"/>
    </row>
    <row r="102" spans="1:23">
      <c r="A102" s="678"/>
      <c r="B102" s="676">
        <v>1</v>
      </c>
      <c r="C102" s="677">
        <f>1.9362/C101</f>
        <v>1.9362</v>
      </c>
      <c r="D102" s="677">
        <f>1.9362/D101</f>
        <v>1.9362</v>
      </c>
      <c r="E102" s="677">
        <f>1.8629/E101</f>
        <v>1.8629</v>
      </c>
      <c r="F102" s="677">
        <f>1.8629/F101</f>
        <v>1.8629</v>
      </c>
      <c r="G102" s="677">
        <f>1.8629/G101</f>
        <v>1.8629</v>
      </c>
      <c r="H102" s="677">
        <f>1.8629/H101</f>
        <v>1.8629</v>
      </c>
      <c r="I102" s="677">
        <f>1.8629/I101</f>
        <v>1.8629</v>
      </c>
      <c r="J102" s="677">
        <f>1.942/J101</f>
        <v>1.942</v>
      </c>
      <c r="K102" s="677">
        <f>1.942/K101</f>
        <v>1.942</v>
      </c>
      <c r="L102" s="677">
        <f>1.942/L101</f>
        <v>1.942</v>
      </c>
      <c r="M102" s="677">
        <f>1.942/M101</f>
        <v>1.942</v>
      </c>
      <c r="N102" s="677">
        <f>1.942/N101</f>
        <v>1.942</v>
      </c>
      <c r="Q102" s="705"/>
      <c r="R102" s="705"/>
      <c r="S102" s="705"/>
      <c r="T102" s="705"/>
      <c r="U102" s="705"/>
      <c r="V102" s="705"/>
      <c r="W102" s="705"/>
    </row>
    <row r="103" spans="1:23">
      <c r="A103" s="678"/>
      <c r="B103" s="676">
        <v>2</v>
      </c>
      <c r="C103" s="677">
        <f>1.4198/C101</f>
        <v>1.4198</v>
      </c>
      <c r="D103" s="677">
        <f>1.4198/D101</f>
        <v>1.4198</v>
      </c>
      <c r="E103" s="677">
        <f>1.3372/E101</f>
        <v>1.3372</v>
      </c>
      <c r="F103" s="677">
        <f>1.3372/F101</f>
        <v>1.3372</v>
      </c>
      <c r="G103" s="677">
        <f>1.3372/G101</f>
        <v>1.3372</v>
      </c>
      <c r="H103" s="677">
        <f>1.3372/H101</f>
        <v>1.3372</v>
      </c>
      <c r="I103" s="677">
        <f>1.3372/I101</f>
        <v>1.3372</v>
      </c>
      <c r="J103" s="677">
        <f>1.2799/J101</f>
        <v>1.2799</v>
      </c>
      <c r="K103" s="677">
        <f>1.2799/K101</f>
        <v>1.2799</v>
      </c>
      <c r="L103" s="677">
        <f>1.2799/L101</f>
        <v>1.2799</v>
      </c>
      <c r="M103" s="677">
        <f>1.2799/M101</f>
        <v>1.2799</v>
      </c>
      <c r="N103" s="677">
        <f>1.2799/N101</f>
        <v>1.2799</v>
      </c>
      <c r="Q103" s="705"/>
      <c r="R103" s="705"/>
      <c r="S103" s="705"/>
      <c r="T103" s="705"/>
      <c r="U103" s="705"/>
      <c r="V103" s="705"/>
      <c r="W103" s="705"/>
    </row>
    <row r="104" spans="1:23">
      <c r="A104" s="678"/>
      <c r="B104" s="676">
        <v>3</v>
      </c>
      <c r="C104" s="677">
        <f>1.1594/C101</f>
        <v>1.1594</v>
      </c>
      <c r="D104" s="677">
        <f>1.1594/D101</f>
        <v>1.1594</v>
      </c>
      <c r="E104" s="677">
        <f>1.0788/E101</f>
        <v>1.0788</v>
      </c>
      <c r="F104" s="677">
        <f>1.0788/F101</f>
        <v>1.0788</v>
      </c>
      <c r="G104" s="677">
        <f>1.0788/G101</f>
        <v>1.0788</v>
      </c>
      <c r="H104" s="677">
        <f>1.0788/H101</f>
        <v>1.0788</v>
      </c>
      <c r="I104" s="677">
        <f>1.0788/I101</f>
        <v>1.0788</v>
      </c>
      <c r="J104" s="677">
        <f>1.0072/J101</f>
        <v>1.0072</v>
      </c>
      <c r="K104" s="677">
        <f>1.0072/K101</f>
        <v>1.0072</v>
      </c>
      <c r="L104" s="677">
        <f>1.0072/L101</f>
        <v>1.0072</v>
      </c>
      <c r="M104" s="677">
        <f>1.0072/M101</f>
        <v>1.0072</v>
      </c>
      <c r="N104" s="677">
        <f>1.0072/N101</f>
        <v>1.0072</v>
      </c>
      <c r="Q104" s="705"/>
      <c r="R104" s="705"/>
      <c r="S104" s="705"/>
      <c r="T104" s="705"/>
      <c r="U104" s="705"/>
      <c r="V104" s="705"/>
      <c r="W104" s="705"/>
    </row>
    <row r="105" spans="1:23">
      <c r="A105" s="678"/>
      <c r="B105" s="676">
        <v>4</v>
      </c>
      <c r="C105" s="677">
        <f>0.9622/C101</f>
        <v>0.9622</v>
      </c>
      <c r="D105" s="677">
        <f>0.9622/D101</f>
        <v>0.9622</v>
      </c>
      <c r="E105" s="677">
        <f>0.8656/E101</f>
        <v>0.8656</v>
      </c>
      <c r="F105" s="677">
        <f>0.8656/F101</f>
        <v>0.8656</v>
      </c>
      <c r="G105" s="677">
        <f>0.8656/G101</f>
        <v>0.8656</v>
      </c>
      <c r="H105" s="677">
        <f>0.8656/H101</f>
        <v>0.8656</v>
      </c>
      <c r="I105" s="677">
        <f>0.8656/I101</f>
        <v>0.8656</v>
      </c>
      <c r="J105" s="677">
        <f>0.7525/J101</f>
        <v>0.7525</v>
      </c>
      <c r="K105" s="677">
        <f>0.7525/K101</f>
        <v>0.7525</v>
      </c>
      <c r="L105" s="677">
        <f>0.7525/L101</f>
        <v>0.7525</v>
      </c>
      <c r="M105" s="677">
        <f>0.7525/M101</f>
        <v>0.7525</v>
      </c>
      <c r="N105" s="677">
        <f>0.7525/N101</f>
        <v>0.7525</v>
      </c>
      <c r="Q105" s="705"/>
      <c r="R105" s="705"/>
      <c r="S105" s="705"/>
      <c r="T105" s="705"/>
      <c r="U105" s="705"/>
      <c r="V105" s="705"/>
      <c r="W105" s="705"/>
    </row>
    <row r="106" spans="1:23">
      <c r="A106" s="678"/>
      <c r="B106" s="676">
        <v>5</v>
      </c>
      <c r="C106" s="677">
        <f>0.8417/C101</f>
        <v>0.8417</v>
      </c>
      <c r="D106" s="677">
        <f>0.8417/D101</f>
        <v>0.8417</v>
      </c>
      <c r="E106" s="677">
        <f>0.7371/E101</f>
        <v>0.7371</v>
      </c>
      <c r="F106" s="677">
        <f>0.7371/F101</f>
        <v>0.7371</v>
      </c>
      <c r="G106" s="677">
        <f>0.7371/G101</f>
        <v>0.7371</v>
      </c>
      <c r="H106" s="677">
        <f>0.7371/H101</f>
        <v>0.7371</v>
      </c>
      <c r="I106" s="677">
        <f>0.7371/I101</f>
        <v>0.7371</v>
      </c>
      <c r="J106" s="677">
        <f>0.5659/J101</f>
        <v>0.5659</v>
      </c>
      <c r="K106" s="677">
        <f>0.5659/K101</f>
        <v>0.5659</v>
      </c>
      <c r="L106" s="677">
        <f>0.5659/L101</f>
        <v>0.5659</v>
      </c>
      <c r="M106" s="677">
        <f>0.5659/M101</f>
        <v>0.5659</v>
      </c>
      <c r="N106" s="677">
        <f>0.5659/N101</f>
        <v>0.5659</v>
      </c>
      <c r="Q106" s="705"/>
      <c r="R106" s="705"/>
      <c r="S106" s="705"/>
      <c r="T106" s="705"/>
      <c r="U106" s="705"/>
      <c r="V106" s="705"/>
      <c r="W106" s="705"/>
    </row>
    <row r="107" spans="1:23">
      <c r="A107" s="678"/>
      <c r="B107" s="676">
        <v>6</v>
      </c>
      <c r="C107" s="677">
        <f>0.7608/C101</f>
        <v>0.7608</v>
      </c>
      <c r="D107" s="677">
        <f>0.7608/D101</f>
        <v>0.7608</v>
      </c>
      <c r="E107" s="677">
        <f>0.6482/E101</f>
        <v>0.6482</v>
      </c>
      <c r="F107" s="677">
        <f>0.6482/F101</f>
        <v>0.6482</v>
      </c>
      <c r="G107" s="677">
        <f>0.6482/G101</f>
        <v>0.6482</v>
      </c>
      <c r="H107" s="677">
        <f>0.6482/H101</f>
        <v>0.6482</v>
      </c>
      <c r="I107" s="677">
        <f>0.6482/I101</f>
        <v>0.6482</v>
      </c>
      <c r="J107" s="677">
        <f>0.4525/J101</f>
        <v>0.4525</v>
      </c>
      <c r="K107" s="677">
        <f>0.4525/K101</f>
        <v>0.4525</v>
      </c>
      <c r="L107" s="677">
        <f>0.4525/L101</f>
        <v>0.4525</v>
      </c>
      <c r="M107" s="677">
        <f>0.4525/M101</f>
        <v>0.4525</v>
      </c>
      <c r="N107" s="677">
        <f>0.4525/N101</f>
        <v>0.4525</v>
      </c>
      <c r="Q107" s="705"/>
      <c r="R107" s="705"/>
      <c r="S107" s="705"/>
      <c r="T107" s="705"/>
      <c r="U107" s="705"/>
      <c r="V107" s="705"/>
      <c r="W107" s="705"/>
    </row>
    <row r="108" spans="1:23">
      <c r="A108" s="678"/>
      <c r="B108" s="444" t="s">
        <v>1552</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0.7617</v>
      </c>
      <c r="D109" s="681">
        <f>(-0.163*(D108^2)-0.59*D108+7617)*(10^(-4))/D101</f>
        <v>0.7617</v>
      </c>
      <c r="E109" s="681">
        <f>(-0.161*(E108^2)-7.509*E108+6533)*(10^(-4))/E101</f>
        <v>0.6533</v>
      </c>
      <c r="F109" s="681">
        <f>(-0.161*(F108^2)-7.509*F108+6533)*(10^(-4))/F101</f>
        <v>0.6533</v>
      </c>
      <c r="G109" s="681">
        <f>(-0.161*(G108^2)-7.509*G108+6533)*(10^(-4))/G101</f>
        <v>0.6533</v>
      </c>
      <c r="H109" s="681">
        <f>(-0.161*(H108^2)-7.509*H108+6533)*(10^(-4))/H101</f>
        <v>0.6533</v>
      </c>
      <c r="I109" s="681">
        <f>(-0.161*(I108^2)-7.509*I108+6533)*(10^(-4))/I101</f>
        <v>0.6533</v>
      </c>
      <c r="J109" s="681">
        <f>(-0.214*(J108^2)-21.991*J108+4665)*(10^(-4))/J101</f>
        <v>0.4665</v>
      </c>
      <c r="K109" s="681">
        <f>(-0.214*(K108^2)-21.991*K108+4665)*(10^(-4))/K101</f>
        <v>0.4665</v>
      </c>
      <c r="L109" s="681">
        <f>(-0.214*(L108^2)-21.991*L108+4665)*(10^(-4))/L101</f>
        <v>0.4665</v>
      </c>
      <c r="M109" s="681">
        <f>(-0.214*(M108^2)-21.991*M108+4665)*(10^(-4))/M101</f>
        <v>0.4665</v>
      </c>
      <c r="N109" s="681">
        <f>(-0.214*(N108^2)-21.991*N108+4665)*(10^(-4))/N101</f>
        <v>0.4665</v>
      </c>
      <c r="Q109" s="705"/>
      <c r="R109" s="705"/>
      <c r="S109" s="705"/>
      <c r="T109" s="705"/>
      <c r="U109" s="705"/>
      <c r="V109" s="705"/>
      <c r="W109" s="705"/>
    </row>
    <row r="110" spans="1:23">
      <c r="A110" s="684" t="s">
        <v>1668</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1669</v>
      </c>
      <c r="B113" s="686">
        <f>G3</f>
        <v>1</v>
      </c>
      <c r="C113" s="687" t="s">
        <v>1670</v>
      </c>
      <c r="D113" s="688">
        <f>SUMPRODUCT((A115:A118=F113)*(B114:M114=H113)*B115:M118)</f>
        <v>0</v>
      </c>
      <c r="E113" s="404" t="s">
        <v>1602</v>
      </c>
      <c r="F113" s="689" t="str">
        <f>E2</f>
        <v>住宅</v>
      </c>
      <c r="G113" s="404" t="s">
        <v>1507</v>
      </c>
      <c r="H113" s="689">
        <f>G2</f>
        <v>0</v>
      </c>
      <c r="I113" s="404"/>
      <c r="J113" s="700"/>
      <c r="K113" s="700"/>
      <c r="L113" s="700"/>
      <c r="M113" s="700"/>
    </row>
    <row r="114" spans="1:13">
      <c r="A114" s="690"/>
      <c r="B114" s="691" t="s">
        <v>1671</v>
      </c>
      <c r="C114" s="691" t="s">
        <v>1672</v>
      </c>
      <c r="D114" s="691" t="s">
        <v>1673</v>
      </c>
      <c r="E114" s="692" t="s">
        <v>1674</v>
      </c>
      <c r="F114" s="692" t="s">
        <v>1675</v>
      </c>
      <c r="G114" s="692" t="s">
        <v>1676</v>
      </c>
      <c r="H114" s="693" t="s">
        <v>1677</v>
      </c>
      <c r="I114" s="693" t="s">
        <v>1678</v>
      </c>
      <c r="J114" s="701" t="s">
        <v>1679</v>
      </c>
      <c r="K114" s="701" t="s">
        <v>1680</v>
      </c>
      <c r="L114" s="701" t="s">
        <v>1681</v>
      </c>
      <c r="M114" s="702" t="s">
        <v>1682</v>
      </c>
    </row>
    <row r="115" spans="1:13">
      <c r="A115" s="694" t="s">
        <v>1603</v>
      </c>
      <c r="B115" s="695">
        <f>ROUND(0.9335-0.0094*B113,4)</f>
        <v>0.9241</v>
      </c>
      <c r="C115" s="695">
        <f>B115</f>
        <v>0.9241</v>
      </c>
      <c r="D115" s="695">
        <f>ROUND(0.8331-0.0109*B113,4)</f>
        <v>0.8222</v>
      </c>
      <c r="E115" s="695">
        <f>D115</f>
        <v>0.8222</v>
      </c>
      <c r="F115" s="695">
        <f>E115</f>
        <v>0.8222</v>
      </c>
      <c r="G115" s="695">
        <f>F115</f>
        <v>0.8222</v>
      </c>
      <c r="H115" s="695">
        <f>G115</f>
        <v>0.8222</v>
      </c>
      <c r="I115" s="695">
        <f>ROUND(0.689-0.0155*B113,4)</f>
        <v>0.6735</v>
      </c>
      <c r="J115" s="695">
        <f t="shared" ref="J115:M118" si="33">I115</f>
        <v>0.6735</v>
      </c>
      <c r="K115" s="695">
        <f t="shared" si="33"/>
        <v>0.6735</v>
      </c>
      <c r="L115" s="695">
        <f t="shared" si="33"/>
        <v>0.6735</v>
      </c>
      <c r="M115" s="703">
        <f t="shared" si="33"/>
        <v>0.6735</v>
      </c>
    </row>
    <row r="116" spans="1:13">
      <c r="A116" s="694" t="s">
        <v>1604</v>
      </c>
      <c r="B116" s="695">
        <f>ROUND(0.949-0.012*B113,4)</f>
        <v>0.937</v>
      </c>
      <c r="C116" s="695">
        <f>B116</f>
        <v>0.937</v>
      </c>
      <c r="D116" s="695">
        <f>ROUND(0.8567-0.013*B113,4)</f>
        <v>0.8437</v>
      </c>
      <c r="E116" s="695">
        <f t="shared" ref="E116:H117" si="34">D116</f>
        <v>0.8437</v>
      </c>
      <c r="F116" s="695">
        <f t="shared" si="34"/>
        <v>0.8437</v>
      </c>
      <c r="G116" s="695">
        <f t="shared" si="34"/>
        <v>0.8437</v>
      </c>
      <c r="H116" s="695">
        <f t="shared" si="34"/>
        <v>0.8437</v>
      </c>
      <c r="I116" s="695">
        <f>ROUND(0.7694-0.014*B113,4)</f>
        <v>0.7554</v>
      </c>
      <c r="J116" s="695">
        <f t="shared" si="33"/>
        <v>0.7554</v>
      </c>
      <c r="K116" s="695">
        <f t="shared" si="33"/>
        <v>0.7554</v>
      </c>
      <c r="L116" s="695">
        <f t="shared" si="33"/>
        <v>0.7554</v>
      </c>
      <c r="M116" s="703">
        <f t="shared" si="33"/>
        <v>0.7554</v>
      </c>
    </row>
    <row r="117" spans="1:13">
      <c r="A117" s="694" t="s">
        <v>1605</v>
      </c>
      <c r="B117" s="695">
        <f>ROUND(0.8808-0.006*B113,4)</f>
        <v>0.8748</v>
      </c>
      <c r="C117" s="695">
        <f>B117</f>
        <v>0.8748</v>
      </c>
      <c r="D117" s="695">
        <f>ROUND(0.8748-0.008*B113,4)</f>
        <v>0.8668</v>
      </c>
      <c r="E117" s="695">
        <f t="shared" si="34"/>
        <v>0.8668</v>
      </c>
      <c r="F117" s="695">
        <f t="shared" si="34"/>
        <v>0.8668</v>
      </c>
      <c r="G117" s="695">
        <f t="shared" si="34"/>
        <v>0.8668</v>
      </c>
      <c r="H117" s="695">
        <f t="shared" si="34"/>
        <v>0.8668</v>
      </c>
      <c r="I117" s="695">
        <f>ROUND(0.7412-0.0095*B113,4)</f>
        <v>0.7317</v>
      </c>
      <c r="J117" s="695">
        <f t="shared" si="33"/>
        <v>0.7317</v>
      </c>
      <c r="K117" s="695">
        <f t="shared" si="33"/>
        <v>0.7317</v>
      </c>
      <c r="L117" s="695">
        <f t="shared" si="33"/>
        <v>0.7317</v>
      </c>
      <c r="M117" s="703">
        <f t="shared" si="33"/>
        <v>0.7317</v>
      </c>
    </row>
    <row r="118" ht="13.5" spans="1:13">
      <c r="A118" s="696" t="s">
        <v>1606</v>
      </c>
      <c r="B118" s="697">
        <f>ROUND(0.7275-0.01*B113,4)</f>
        <v>0.7175</v>
      </c>
      <c r="C118" s="697">
        <f>B118</f>
        <v>0.7175</v>
      </c>
      <c r="D118" s="697">
        <f>ROUND(0.7043-0.012*B113,4)</f>
        <v>0.6923</v>
      </c>
      <c r="E118" s="697">
        <f>D118</f>
        <v>0.6923</v>
      </c>
      <c r="F118" s="697">
        <f>E118</f>
        <v>0.6923</v>
      </c>
      <c r="G118" s="697">
        <f>ROUND(0.6299-0.0122*B113,4)</f>
        <v>0.6177</v>
      </c>
      <c r="H118" s="697">
        <f>G118</f>
        <v>0.6177</v>
      </c>
      <c r="I118" s="697">
        <f>ROUND(0.5667-0.0136*B113,4)</f>
        <v>0.5531</v>
      </c>
      <c r="J118" s="697">
        <f t="shared" si="33"/>
        <v>0.5531</v>
      </c>
      <c r="K118" s="697">
        <f t="shared" si="33"/>
        <v>0.5531</v>
      </c>
      <c r="L118" s="697">
        <f t="shared" si="33"/>
        <v>0.5531</v>
      </c>
      <c r="M118" s="704">
        <f t="shared" si="33"/>
        <v>0.5531</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1683</v>
      </c>
      <c r="B1" s="281"/>
    </row>
    <row r="2" ht="14.25" spans="1:2">
      <c r="A2" s="281"/>
      <c r="B2" s="281"/>
    </row>
    <row r="3" ht="14.25" spans="1:6">
      <c r="A3" s="281"/>
      <c r="B3" s="281"/>
      <c r="C3" s="372" t="s">
        <v>1684</v>
      </c>
      <c r="D3" s="372" t="s">
        <v>1685</v>
      </c>
      <c r="E3" s="372" t="s">
        <v>461</v>
      </c>
      <c r="F3" s="372" t="s">
        <v>1686</v>
      </c>
    </row>
    <row r="4" ht="14.25" spans="1:6">
      <c r="A4" s="373" t="s">
        <v>1687</v>
      </c>
      <c r="B4" s="374" t="s">
        <v>1688</v>
      </c>
      <c r="C4" s="372"/>
      <c r="D4" s="372"/>
      <c r="E4" s="372"/>
      <c r="F4" s="372"/>
    </row>
    <row r="5" ht="14.25" spans="1:6">
      <c r="A5" s="290" t="s">
        <v>1689</v>
      </c>
      <c r="B5" s="291" t="s">
        <v>1690</v>
      </c>
      <c r="C5" s="375">
        <v>0.089</v>
      </c>
      <c r="D5" s="375">
        <v>0.074</v>
      </c>
      <c r="E5" s="375">
        <v>0.075</v>
      </c>
      <c r="F5" s="376">
        <v>0.1</v>
      </c>
    </row>
    <row r="6" ht="14.25" spans="1:6">
      <c r="A6" s="290" t="s">
        <v>1689</v>
      </c>
      <c r="B6" s="295" t="s">
        <v>1691</v>
      </c>
      <c r="C6" s="377">
        <v>0.1</v>
      </c>
      <c r="D6" s="377">
        <v>0.091</v>
      </c>
      <c r="E6" s="377">
        <v>0.091</v>
      </c>
      <c r="F6" s="378">
        <v>0.1</v>
      </c>
    </row>
    <row r="7" ht="14.25" spans="1:6">
      <c r="A7" s="290" t="s">
        <v>1689</v>
      </c>
      <c r="B7" s="299" t="s">
        <v>1692</v>
      </c>
      <c r="C7" s="377">
        <v>0.086</v>
      </c>
      <c r="D7" s="377">
        <v>0.096</v>
      </c>
      <c r="E7" s="377">
        <v>0.076</v>
      </c>
      <c r="F7" s="378">
        <v>0.1</v>
      </c>
    </row>
    <row r="8" ht="14.25" spans="1:6">
      <c r="A8" s="290" t="s">
        <v>1689</v>
      </c>
      <c r="B8" s="295" t="s">
        <v>1693</v>
      </c>
      <c r="C8" s="377">
        <v>0.099</v>
      </c>
      <c r="D8" s="377">
        <v>0.098</v>
      </c>
      <c r="E8" s="377">
        <v>0.098</v>
      </c>
      <c r="F8" s="378">
        <v>0.1</v>
      </c>
    </row>
    <row r="9" ht="14.25" spans="1:6">
      <c r="A9" s="308" t="s">
        <v>1689</v>
      </c>
      <c r="B9" s="300" t="s">
        <v>1694</v>
      </c>
      <c r="C9" s="379">
        <v>0.05</v>
      </c>
      <c r="D9" s="380"/>
      <c r="E9" s="380"/>
      <c r="F9" s="381"/>
    </row>
    <row r="10" ht="14.25" spans="1:6">
      <c r="A10" s="290" t="s">
        <v>1695</v>
      </c>
      <c r="B10" s="291" t="s">
        <v>1696</v>
      </c>
      <c r="C10" s="375">
        <v>0.089</v>
      </c>
      <c r="D10" s="375">
        <v>0.073</v>
      </c>
      <c r="E10" s="375">
        <v>0.082</v>
      </c>
      <c r="F10" s="376">
        <v>0.1</v>
      </c>
    </row>
    <row r="11" ht="14.25" spans="1:6">
      <c r="A11" s="290" t="s">
        <v>1695</v>
      </c>
      <c r="B11" s="299" t="s">
        <v>1697</v>
      </c>
      <c r="C11" s="377">
        <v>0.089</v>
      </c>
      <c r="D11" s="377">
        <v>0.073</v>
      </c>
      <c r="E11" s="377">
        <v>0.082</v>
      </c>
      <c r="F11" s="378">
        <v>0.1</v>
      </c>
    </row>
    <row r="12" ht="14.25" spans="1:6">
      <c r="A12" s="290" t="s">
        <v>1695</v>
      </c>
      <c r="B12" s="299" t="s">
        <v>1698</v>
      </c>
      <c r="C12" s="377">
        <v>0.061</v>
      </c>
      <c r="D12" s="377">
        <v>0.071</v>
      </c>
      <c r="E12" s="377">
        <v>0.096</v>
      </c>
      <c r="F12" s="378">
        <v>0.1</v>
      </c>
    </row>
    <row r="13" ht="14.25" spans="1:6">
      <c r="A13" s="290" t="s">
        <v>1695</v>
      </c>
      <c r="B13" s="299" t="s">
        <v>1699</v>
      </c>
      <c r="C13" s="377">
        <v>0.069</v>
      </c>
      <c r="D13" s="377">
        <v>0.065</v>
      </c>
      <c r="E13" s="377">
        <v>0.066</v>
      </c>
      <c r="F13" s="378">
        <v>0.1</v>
      </c>
    </row>
    <row r="14" ht="14.25" spans="1:6">
      <c r="A14" s="290" t="s">
        <v>1695</v>
      </c>
      <c r="B14" s="299" t="s">
        <v>1700</v>
      </c>
      <c r="C14" s="377">
        <v>0.1</v>
      </c>
      <c r="D14" s="377">
        <v>0.065</v>
      </c>
      <c r="E14" s="377">
        <v>0.07</v>
      </c>
      <c r="F14" s="378">
        <v>0.1</v>
      </c>
    </row>
    <row r="15" ht="14.25" spans="1:6">
      <c r="A15" s="290" t="s">
        <v>1695</v>
      </c>
      <c r="B15" s="299" t="s">
        <v>1701</v>
      </c>
      <c r="C15" s="377">
        <v>0.098</v>
      </c>
      <c r="D15" s="377">
        <v>0.089</v>
      </c>
      <c r="E15" s="377">
        <v>0.089</v>
      </c>
      <c r="F15" s="378">
        <v>0.1</v>
      </c>
    </row>
    <row r="16" ht="14.25" spans="1:6">
      <c r="A16" s="290" t="s">
        <v>1695</v>
      </c>
      <c r="B16" s="299" t="s">
        <v>1702</v>
      </c>
      <c r="C16" s="377">
        <v>0.07</v>
      </c>
      <c r="D16" s="377">
        <v>0.093</v>
      </c>
      <c r="E16" s="377">
        <v>0.096</v>
      </c>
      <c r="F16" s="378">
        <v>0.1</v>
      </c>
    </row>
    <row r="17" ht="14.25" spans="1:6">
      <c r="A17" s="290" t="s">
        <v>1695</v>
      </c>
      <c r="B17" s="299" t="s">
        <v>1703</v>
      </c>
      <c r="C17" s="377">
        <v>0.095</v>
      </c>
      <c r="D17" s="377">
        <v>0.1</v>
      </c>
      <c r="E17" s="377">
        <v>0.1</v>
      </c>
      <c r="F17" s="382"/>
    </row>
    <row r="18" ht="14.25" spans="1:6">
      <c r="A18" s="290" t="s">
        <v>1695</v>
      </c>
      <c r="B18" s="299" t="s">
        <v>1704</v>
      </c>
      <c r="C18" s="377">
        <v>0.074</v>
      </c>
      <c r="D18" s="377">
        <v>0.099</v>
      </c>
      <c r="E18" s="377">
        <v>0.1</v>
      </c>
      <c r="F18" s="382"/>
    </row>
    <row r="19" ht="14.25" spans="1:6">
      <c r="A19" s="290" t="s">
        <v>1695</v>
      </c>
      <c r="B19" s="299" t="s">
        <v>1705</v>
      </c>
      <c r="C19" s="377">
        <v>0.099</v>
      </c>
      <c r="D19" s="377">
        <v>0.076</v>
      </c>
      <c r="E19" s="377">
        <v>0.087</v>
      </c>
      <c r="F19" s="382"/>
    </row>
    <row r="20" ht="14.25" spans="1:6">
      <c r="A20" s="290" t="s">
        <v>1695</v>
      </c>
      <c r="B20" s="299" t="s">
        <v>1706</v>
      </c>
      <c r="C20" s="377">
        <v>0.098</v>
      </c>
      <c r="D20" s="377">
        <v>0.085</v>
      </c>
      <c r="E20" s="377">
        <v>0.082</v>
      </c>
      <c r="F20" s="382"/>
    </row>
    <row r="21" ht="14.25" spans="1:6">
      <c r="A21" s="290" t="s">
        <v>1695</v>
      </c>
      <c r="B21" s="299" t="s">
        <v>1707</v>
      </c>
      <c r="C21" s="377">
        <v>0.066</v>
      </c>
      <c r="D21" s="377">
        <v>0.064</v>
      </c>
      <c r="E21" s="377">
        <v>0.065</v>
      </c>
      <c r="F21" s="382"/>
    </row>
    <row r="22" ht="14.25" spans="1:6">
      <c r="A22" s="290" t="s">
        <v>1695</v>
      </c>
      <c r="B22" s="299" t="s">
        <v>1708</v>
      </c>
      <c r="C22" s="377">
        <v>0.08</v>
      </c>
      <c r="D22" s="377">
        <v>0.098</v>
      </c>
      <c r="E22" s="377">
        <v>0.098</v>
      </c>
      <c r="F22" s="382"/>
    </row>
    <row r="23" ht="14.25" spans="1:6">
      <c r="A23" s="290" t="s">
        <v>1695</v>
      </c>
      <c r="B23" s="299" t="s">
        <v>1709</v>
      </c>
      <c r="C23" s="377">
        <v>0.099</v>
      </c>
      <c r="D23" s="377">
        <v>0.098</v>
      </c>
      <c r="E23" s="377">
        <v>0.091</v>
      </c>
      <c r="F23" s="382"/>
    </row>
    <row r="24" ht="14.25" spans="1:6">
      <c r="A24" s="290" t="s">
        <v>1695</v>
      </c>
      <c r="B24" s="299" t="s">
        <v>1710</v>
      </c>
      <c r="C24" s="377">
        <v>0.089</v>
      </c>
      <c r="D24" s="377">
        <v>0.097</v>
      </c>
      <c r="E24" s="377">
        <v>0.07</v>
      </c>
      <c r="F24" s="382"/>
    </row>
    <row r="25" ht="14.25" spans="1:6">
      <c r="A25" s="290" t="s">
        <v>1695</v>
      </c>
      <c r="B25" s="299" t="s">
        <v>1711</v>
      </c>
      <c r="C25" s="377">
        <v>0.089</v>
      </c>
      <c r="D25" s="377">
        <v>0.1</v>
      </c>
      <c r="E25" s="377">
        <v>0.081</v>
      </c>
      <c r="F25" s="382"/>
    </row>
    <row r="26" ht="14.25" spans="1:6">
      <c r="A26" s="290" t="s">
        <v>1695</v>
      </c>
      <c r="B26" s="299" t="s">
        <v>1712</v>
      </c>
      <c r="C26" s="383"/>
      <c r="D26" s="377">
        <v>0.096</v>
      </c>
      <c r="E26" s="377">
        <v>0.093</v>
      </c>
      <c r="F26" s="382"/>
    </row>
    <row r="27" ht="14.25" spans="1:6">
      <c r="A27" s="290" t="s">
        <v>1695</v>
      </c>
      <c r="B27" s="299" t="s">
        <v>1713</v>
      </c>
      <c r="C27" s="383"/>
      <c r="D27" s="377">
        <v>0.076</v>
      </c>
      <c r="E27" s="377">
        <v>0.092</v>
      </c>
      <c r="F27" s="382"/>
    </row>
    <row r="28" ht="14.25" spans="1:6">
      <c r="A28" s="308" t="s">
        <v>1695</v>
      </c>
      <c r="B28" s="300" t="s">
        <v>1714</v>
      </c>
      <c r="C28" s="380"/>
      <c r="D28" s="379">
        <v>0.076</v>
      </c>
      <c r="E28" s="379">
        <v>0.092</v>
      </c>
      <c r="F28" s="381"/>
    </row>
    <row r="29" ht="14.25" spans="1:6">
      <c r="A29" s="290" t="s">
        <v>1715</v>
      </c>
      <c r="B29" s="291" t="s">
        <v>1716</v>
      </c>
      <c r="C29" s="375">
        <v>0.064</v>
      </c>
      <c r="D29" s="375">
        <v>0.065</v>
      </c>
      <c r="E29" s="375">
        <v>0.069</v>
      </c>
      <c r="F29" s="376">
        <v>0.1</v>
      </c>
    </row>
    <row r="30" ht="14.25" spans="1:6">
      <c r="A30" s="290" t="s">
        <v>1715</v>
      </c>
      <c r="B30" s="299" t="s">
        <v>1717</v>
      </c>
      <c r="C30" s="377">
        <v>0.064</v>
      </c>
      <c r="D30" s="377">
        <v>0.099</v>
      </c>
      <c r="E30" s="377">
        <v>0.1</v>
      </c>
      <c r="F30" s="378">
        <v>0.1</v>
      </c>
    </row>
    <row r="31" ht="14.25" spans="1:6">
      <c r="A31" s="290" t="s">
        <v>1715</v>
      </c>
      <c r="B31" s="299" t="s">
        <v>1718</v>
      </c>
      <c r="C31" s="377">
        <v>0.1</v>
      </c>
      <c r="D31" s="377">
        <v>0.095</v>
      </c>
      <c r="E31" s="377">
        <v>0.089</v>
      </c>
      <c r="F31" s="378">
        <v>0.1</v>
      </c>
    </row>
    <row r="32" ht="14.25" spans="1:6">
      <c r="A32" s="290" t="s">
        <v>1715</v>
      </c>
      <c r="B32" s="299" t="s">
        <v>1719</v>
      </c>
      <c r="C32" s="377">
        <v>0.05</v>
      </c>
      <c r="D32" s="377">
        <v>0.05</v>
      </c>
      <c r="E32" s="377">
        <v>0.088</v>
      </c>
      <c r="F32" s="378">
        <v>0.1</v>
      </c>
    </row>
    <row r="33" ht="14.25" spans="1:6">
      <c r="A33" s="290" t="s">
        <v>1715</v>
      </c>
      <c r="B33" s="299" t="s">
        <v>1720</v>
      </c>
      <c r="C33" s="377">
        <v>0.075</v>
      </c>
      <c r="D33" s="377">
        <v>0.094</v>
      </c>
      <c r="E33" s="377">
        <v>0.097</v>
      </c>
      <c r="F33" s="378">
        <v>0.1</v>
      </c>
    </row>
    <row r="34" ht="14.25" spans="1:6">
      <c r="A34" s="290" t="s">
        <v>1715</v>
      </c>
      <c r="B34" s="299" t="s">
        <v>1721</v>
      </c>
      <c r="C34" s="377">
        <v>0.098</v>
      </c>
      <c r="D34" s="377">
        <v>0.086</v>
      </c>
      <c r="E34" s="377">
        <v>0.097</v>
      </c>
      <c r="F34" s="378">
        <v>0.1</v>
      </c>
    </row>
    <row r="35" ht="14.25" spans="1:6">
      <c r="A35" s="290" t="s">
        <v>1715</v>
      </c>
      <c r="B35" s="299" t="s">
        <v>1722</v>
      </c>
      <c r="C35" s="377">
        <v>0.059</v>
      </c>
      <c r="D35" s="377">
        <v>0.065</v>
      </c>
      <c r="E35" s="377">
        <v>0.07</v>
      </c>
      <c r="F35" s="378">
        <v>0.1</v>
      </c>
    </row>
    <row r="36" ht="14.25" spans="1:6">
      <c r="A36" s="290" t="s">
        <v>1715</v>
      </c>
      <c r="B36" s="299" t="s">
        <v>1723</v>
      </c>
      <c r="C36" s="377">
        <v>0.063</v>
      </c>
      <c r="D36" s="377">
        <v>0.1</v>
      </c>
      <c r="E36" s="377">
        <v>0.1</v>
      </c>
      <c r="F36" s="378">
        <v>0.1</v>
      </c>
    </row>
    <row r="37" ht="14.25" spans="1:6">
      <c r="A37" s="290" t="s">
        <v>1715</v>
      </c>
      <c r="B37" s="299" t="s">
        <v>1724</v>
      </c>
      <c r="C37" s="377">
        <v>0.074</v>
      </c>
      <c r="D37" s="377">
        <v>0.1</v>
      </c>
      <c r="E37" s="377">
        <v>0.1</v>
      </c>
      <c r="F37" s="378">
        <v>0.1</v>
      </c>
    </row>
    <row r="38" ht="14.25" spans="1:6">
      <c r="A38" s="290" t="s">
        <v>1715</v>
      </c>
      <c r="B38" s="299" t="s">
        <v>1725</v>
      </c>
      <c r="C38" s="377">
        <v>0.1</v>
      </c>
      <c r="D38" s="377">
        <v>0.096</v>
      </c>
      <c r="E38" s="377">
        <v>0.096</v>
      </c>
      <c r="F38" s="382"/>
    </row>
    <row r="39" ht="14.25" spans="1:6">
      <c r="A39" s="290" t="s">
        <v>1715</v>
      </c>
      <c r="B39" s="299" t="s">
        <v>1726</v>
      </c>
      <c r="C39" s="377">
        <v>0.1</v>
      </c>
      <c r="D39" s="377">
        <v>0.096</v>
      </c>
      <c r="E39" s="377">
        <v>0.096</v>
      </c>
      <c r="F39" s="382"/>
    </row>
    <row r="40" ht="14.25" spans="1:6">
      <c r="A40" s="290" t="s">
        <v>1715</v>
      </c>
      <c r="B40" s="299" t="s">
        <v>1727</v>
      </c>
      <c r="C40" s="377">
        <v>0.096</v>
      </c>
      <c r="D40" s="377">
        <v>0.1</v>
      </c>
      <c r="E40" s="377">
        <v>0.099</v>
      </c>
      <c r="F40" s="382"/>
    </row>
    <row r="41" ht="14.25" spans="1:6">
      <c r="A41" s="290" t="s">
        <v>1715</v>
      </c>
      <c r="B41" s="299" t="s">
        <v>1728</v>
      </c>
      <c r="C41" s="377">
        <v>0.096</v>
      </c>
      <c r="D41" s="377">
        <v>0.098</v>
      </c>
      <c r="E41" s="377">
        <v>0.098</v>
      </c>
      <c r="F41" s="382"/>
    </row>
    <row r="42" ht="14.25" spans="1:6">
      <c r="A42" s="290" t="s">
        <v>1715</v>
      </c>
      <c r="B42" s="299" t="s">
        <v>1729</v>
      </c>
      <c r="C42" s="377">
        <v>0.1</v>
      </c>
      <c r="D42" s="377">
        <v>0.088</v>
      </c>
      <c r="E42" s="377">
        <v>0.1</v>
      </c>
      <c r="F42" s="382"/>
    </row>
    <row r="43" ht="14.25" spans="1:6">
      <c r="A43" s="290" t="s">
        <v>1715</v>
      </c>
      <c r="B43" s="299" t="s">
        <v>1730</v>
      </c>
      <c r="C43" s="377">
        <v>0.098</v>
      </c>
      <c r="D43" s="377">
        <v>0.097</v>
      </c>
      <c r="E43" s="377">
        <v>0.096</v>
      </c>
      <c r="F43" s="382"/>
    </row>
    <row r="44" ht="14.25" spans="1:6">
      <c r="A44" s="290" t="s">
        <v>1715</v>
      </c>
      <c r="B44" s="299" t="s">
        <v>1731</v>
      </c>
      <c r="C44" s="377">
        <v>0.086</v>
      </c>
      <c r="D44" s="377">
        <v>0.079</v>
      </c>
      <c r="E44" s="377">
        <v>0.071</v>
      </c>
      <c r="F44" s="382"/>
    </row>
    <row r="45" ht="14.25" spans="1:6">
      <c r="A45" s="290" t="s">
        <v>1715</v>
      </c>
      <c r="B45" s="299" t="s">
        <v>1732</v>
      </c>
      <c r="C45" s="377">
        <v>0.098</v>
      </c>
      <c r="D45" s="377">
        <v>0.096</v>
      </c>
      <c r="E45" s="377">
        <v>0.096</v>
      </c>
      <c r="F45" s="382"/>
    </row>
    <row r="46" ht="14.25" spans="1:6">
      <c r="A46" s="290" t="s">
        <v>1715</v>
      </c>
      <c r="B46" s="299" t="s">
        <v>1733</v>
      </c>
      <c r="C46" s="377">
        <v>0.086</v>
      </c>
      <c r="D46" s="377">
        <v>0.098</v>
      </c>
      <c r="E46" s="377">
        <v>0.088</v>
      </c>
      <c r="F46" s="382"/>
    </row>
    <row r="47" ht="14.25" spans="1:6">
      <c r="A47" s="290" t="s">
        <v>1715</v>
      </c>
      <c r="B47" s="299" t="s">
        <v>1734</v>
      </c>
      <c r="C47" s="377">
        <v>0.096</v>
      </c>
      <c r="D47" s="383"/>
      <c r="E47" s="377">
        <v>0.069</v>
      </c>
      <c r="F47" s="382"/>
    </row>
    <row r="48" ht="14.25" spans="1:6">
      <c r="A48" s="308" t="s">
        <v>1715</v>
      </c>
      <c r="B48" s="300" t="s">
        <v>1735</v>
      </c>
      <c r="C48" s="379">
        <v>0.098</v>
      </c>
      <c r="D48" s="380"/>
      <c r="E48" s="379">
        <v>0.095</v>
      </c>
      <c r="F48" s="381"/>
    </row>
    <row r="49" ht="14.25" spans="1:6">
      <c r="A49" s="290" t="s">
        <v>1736</v>
      </c>
      <c r="B49" s="291" t="s">
        <v>1737</v>
      </c>
      <c r="C49" s="375">
        <v>0.097</v>
      </c>
      <c r="D49" s="375">
        <v>0.095</v>
      </c>
      <c r="E49" s="375">
        <v>0.097</v>
      </c>
      <c r="F49" s="376">
        <v>0.1</v>
      </c>
    </row>
    <row r="50" ht="14.25" spans="1:6">
      <c r="A50" s="290" t="s">
        <v>1736</v>
      </c>
      <c r="B50" s="295" t="s">
        <v>1738</v>
      </c>
      <c r="C50" s="377">
        <v>0.075</v>
      </c>
      <c r="D50" s="377">
        <v>0.095</v>
      </c>
      <c r="E50" s="377">
        <v>0.1</v>
      </c>
      <c r="F50" s="378">
        <v>0.1</v>
      </c>
    </row>
    <row r="51" ht="14.25" spans="1:6">
      <c r="A51" s="290" t="s">
        <v>1736</v>
      </c>
      <c r="B51" s="295" t="s">
        <v>1739</v>
      </c>
      <c r="C51" s="377">
        <v>0.098</v>
      </c>
      <c r="D51" s="377">
        <v>0.089</v>
      </c>
      <c r="E51" s="377">
        <v>0.1</v>
      </c>
      <c r="F51" s="378">
        <v>0.1</v>
      </c>
    </row>
    <row r="52" ht="14.25" spans="1:6">
      <c r="A52" s="290" t="s">
        <v>1736</v>
      </c>
      <c r="B52" s="295" t="s">
        <v>1740</v>
      </c>
      <c r="C52" s="377">
        <v>0.098</v>
      </c>
      <c r="D52" s="377">
        <v>0.097</v>
      </c>
      <c r="E52" s="377">
        <v>0.081</v>
      </c>
      <c r="F52" s="378">
        <v>0.1</v>
      </c>
    </row>
    <row r="53" ht="14.25" spans="1:6">
      <c r="A53" s="290" t="s">
        <v>1736</v>
      </c>
      <c r="B53" s="295" t="s">
        <v>1741</v>
      </c>
      <c r="C53" s="377">
        <v>0.097</v>
      </c>
      <c r="D53" s="377">
        <v>0.076</v>
      </c>
      <c r="E53" s="377">
        <v>0.071</v>
      </c>
      <c r="F53" s="378">
        <v>0.1</v>
      </c>
    </row>
    <row r="54" ht="14.25" spans="1:6">
      <c r="A54" s="290" t="s">
        <v>1736</v>
      </c>
      <c r="B54" s="295" t="s">
        <v>1742</v>
      </c>
      <c r="C54" s="377">
        <v>0.076</v>
      </c>
      <c r="D54" s="377">
        <v>0.1</v>
      </c>
      <c r="E54" s="377">
        <v>0.099</v>
      </c>
      <c r="F54" s="378">
        <v>0.1</v>
      </c>
    </row>
    <row r="55" ht="14.25" spans="1:6">
      <c r="A55" s="290" t="s">
        <v>1736</v>
      </c>
      <c r="B55" s="295" t="s">
        <v>1743</v>
      </c>
      <c r="C55" s="377">
        <v>0.1</v>
      </c>
      <c r="D55" s="377">
        <v>0.1</v>
      </c>
      <c r="E55" s="377">
        <v>0.096</v>
      </c>
      <c r="F55" s="378">
        <v>0.1</v>
      </c>
    </row>
    <row r="56" ht="14.25" spans="1:6">
      <c r="A56" s="290" t="s">
        <v>1736</v>
      </c>
      <c r="B56" s="295" t="s">
        <v>1744</v>
      </c>
      <c r="C56" s="377">
        <v>0.1</v>
      </c>
      <c r="D56" s="377">
        <v>0.096</v>
      </c>
      <c r="E56" s="377">
        <v>0.052</v>
      </c>
      <c r="F56" s="378">
        <v>0.1</v>
      </c>
    </row>
    <row r="57" ht="14.25" spans="1:6">
      <c r="A57" s="290" t="s">
        <v>1736</v>
      </c>
      <c r="B57" s="295" t="s">
        <v>1745</v>
      </c>
      <c r="C57" s="377">
        <v>0.097</v>
      </c>
      <c r="D57" s="377">
        <v>0.096</v>
      </c>
      <c r="E57" s="377">
        <v>0.096</v>
      </c>
      <c r="F57" s="378">
        <v>0.1</v>
      </c>
    </row>
    <row r="58" ht="14.25" spans="1:6">
      <c r="A58" s="290" t="s">
        <v>1736</v>
      </c>
      <c r="B58" s="295" t="s">
        <v>1746</v>
      </c>
      <c r="C58" s="377">
        <v>0.096</v>
      </c>
      <c r="D58" s="377">
        <v>0.099</v>
      </c>
      <c r="E58" s="377">
        <v>0.096</v>
      </c>
      <c r="F58" s="378">
        <v>0.1</v>
      </c>
    </row>
    <row r="59" ht="14.25" spans="1:6">
      <c r="A59" s="290" t="s">
        <v>1736</v>
      </c>
      <c r="B59" s="295" t="s">
        <v>1747</v>
      </c>
      <c r="C59" s="377">
        <v>0.072</v>
      </c>
      <c r="D59" s="377">
        <v>0.096</v>
      </c>
      <c r="E59" s="377">
        <v>0.071</v>
      </c>
      <c r="F59" s="378">
        <v>0.1</v>
      </c>
    </row>
    <row r="60" ht="14.25" spans="1:6">
      <c r="A60" s="290" t="s">
        <v>1736</v>
      </c>
      <c r="B60" s="295" t="s">
        <v>1748</v>
      </c>
      <c r="C60" s="377">
        <v>0.096</v>
      </c>
      <c r="D60" s="377">
        <v>0.089</v>
      </c>
      <c r="E60" s="377">
        <v>0.096</v>
      </c>
      <c r="F60" s="378">
        <v>0.1</v>
      </c>
    </row>
    <row r="61" ht="14.25" spans="1:6">
      <c r="A61" s="290" t="s">
        <v>1736</v>
      </c>
      <c r="B61" s="295" t="s">
        <v>1749</v>
      </c>
      <c r="C61" s="377">
        <v>0.089</v>
      </c>
      <c r="D61" s="377">
        <v>0.098</v>
      </c>
      <c r="E61" s="377">
        <v>0.088</v>
      </c>
      <c r="F61" s="382"/>
    </row>
    <row r="62" ht="14.25" spans="1:6">
      <c r="A62" s="290" t="s">
        <v>1736</v>
      </c>
      <c r="B62" s="295" t="s">
        <v>1750</v>
      </c>
      <c r="C62" s="377">
        <v>0.098</v>
      </c>
      <c r="D62" s="377">
        <v>0.093</v>
      </c>
      <c r="E62" s="377">
        <v>0.097</v>
      </c>
      <c r="F62" s="382"/>
    </row>
    <row r="63" ht="14.25" spans="1:6">
      <c r="A63" s="290" t="s">
        <v>1736</v>
      </c>
      <c r="B63" s="295" t="s">
        <v>1751</v>
      </c>
      <c r="C63" s="377">
        <v>0.096</v>
      </c>
      <c r="D63" s="377">
        <v>0.098</v>
      </c>
      <c r="E63" s="377">
        <v>0.09</v>
      </c>
      <c r="F63" s="382"/>
    </row>
    <row r="64" ht="14.25" spans="1:6">
      <c r="A64" s="290" t="s">
        <v>1736</v>
      </c>
      <c r="B64" s="295" t="s">
        <v>1752</v>
      </c>
      <c r="C64" s="377">
        <v>0.099</v>
      </c>
      <c r="D64" s="377">
        <v>0.097</v>
      </c>
      <c r="E64" s="377">
        <v>0.099</v>
      </c>
      <c r="F64" s="382"/>
    </row>
    <row r="65" ht="14.25" spans="1:6">
      <c r="A65" s="290" t="s">
        <v>1736</v>
      </c>
      <c r="B65" s="295" t="s">
        <v>1753</v>
      </c>
      <c r="C65" s="377">
        <v>0.098</v>
      </c>
      <c r="D65" s="377">
        <v>0.096</v>
      </c>
      <c r="E65" s="377">
        <v>0.096</v>
      </c>
      <c r="F65" s="382"/>
    </row>
    <row r="66" ht="14.25" spans="1:6">
      <c r="A66" s="290" t="s">
        <v>1736</v>
      </c>
      <c r="B66" s="295" t="s">
        <v>1754</v>
      </c>
      <c r="C66" s="377">
        <v>0.096</v>
      </c>
      <c r="D66" s="377">
        <v>0.092</v>
      </c>
      <c r="E66" s="377">
        <v>0.096</v>
      </c>
      <c r="F66" s="382"/>
    </row>
    <row r="67" ht="14.25" spans="1:6">
      <c r="A67" s="290" t="s">
        <v>1736</v>
      </c>
      <c r="B67" s="295" t="s">
        <v>1755</v>
      </c>
      <c r="C67" s="377">
        <v>0.094</v>
      </c>
      <c r="D67" s="377">
        <v>0.1</v>
      </c>
      <c r="E67" s="377">
        <v>0.088</v>
      </c>
      <c r="F67" s="382"/>
    </row>
    <row r="68" ht="14.25" spans="1:6">
      <c r="A68" s="290" t="s">
        <v>1736</v>
      </c>
      <c r="B68" s="295" t="s">
        <v>1756</v>
      </c>
      <c r="C68" s="377">
        <v>0.1</v>
      </c>
      <c r="D68" s="377">
        <v>0.088</v>
      </c>
      <c r="E68" s="377">
        <v>0.097</v>
      </c>
      <c r="F68" s="382"/>
    </row>
    <row r="69" ht="14.25" spans="1:6">
      <c r="A69" s="290" t="s">
        <v>1736</v>
      </c>
      <c r="B69" s="295" t="s">
        <v>1757</v>
      </c>
      <c r="C69" s="377">
        <v>0.064</v>
      </c>
      <c r="D69" s="377">
        <v>0.1</v>
      </c>
      <c r="E69" s="377">
        <v>0.1</v>
      </c>
      <c r="F69" s="382"/>
    </row>
    <row r="70" ht="14.25" spans="1:6">
      <c r="A70" s="290" t="s">
        <v>1736</v>
      </c>
      <c r="B70" s="295" t="s">
        <v>1758</v>
      </c>
      <c r="C70" s="377">
        <v>0.091</v>
      </c>
      <c r="D70" s="383"/>
      <c r="E70" s="383"/>
      <c r="F70" s="382"/>
    </row>
    <row r="71" ht="14.25" spans="1:6">
      <c r="A71" s="290" t="s">
        <v>1736</v>
      </c>
      <c r="B71" s="295" t="s">
        <v>1759</v>
      </c>
      <c r="C71" s="377">
        <v>0.1</v>
      </c>
      <c r="D71" s="383"/>
      <c r="E71" s="383"/>
      <c r="F71" s="382"/>
    </row>
    <row r="72" ht="14.25" spans="1:6">
      <c r="A72" s="290" t="s">
        <v>1736</v>
      </c>
      <c r="B72" s="295" t="s">
        <v>1760</v>
      </c>
      <c r="C72" s="383"/>
      <c r="D72" s="383"/>
      <c r="E72" s="383"/>
      <c r="F72" s="378">
        <v>0.05</v>
      </c>
    </row>
    <row r="73" ht="14.25" spans="1:6">
      <c r="A73" s="290" t="s">
        <v>1736</v>
      </c>
      <c r="B73" s="295" t="s">
        <v>1761</v>
      </c>
      <c r="C73" s="383"/>
      <c r="D73" s="383"/>
      <c r="E73" s="383"/>
      <c r="F73" s="378">
        <v>0.05</v>
      </c>
    </row>
    <row r="74" ht="14.25" spans="1:6">
      <c r="A74" s="290" t="s">
        <v>1736</v>
      </c>
      <c r="B74" s="295" t="s">
        <v>1762</v>
      </c>
      <c r="C74" s="383"/>
      <c r="D74" s="383"/>
      <c r="E74" s="383"/>
      <c r="F74" s="378">
        <v>0.05</v>
      </c>
    </row>
    <row r="75" ht="14.25" spans="1:6">
      <c r="A75" s="308" t="s">
        <v>1736</v>
      </c>
      <c r="B75" s="301" t="s">
        <v>1763</v>
      </c>
      <c r="C75" s="380"/>
      <c r="D75" s="380"/>
      <c r="E75" s="380"/>
      <c r="F75" s="384">
        <v>0.05</v>
      </c>
    </row>
    <row r="76" ht="14.25" spans="1:6">
      <c r="A76" s="290" t="s">
        <v>1764</v>
      </c>
      <c r="B76" s="291" t="s">
        <v>1765</v>
      </c>
      <c r="C76" s="375">
        <v>0.1</v>
      </c>
      <c r="D76" s="375">
        <v>0.1</v>
      </c>
      <c r="E76" s="375">
        <v>0.1</v>
      </c>
      <c r="F76" s="376">
        <v>0.1</v>
      </c>
    </row>
    <row r="77" ht="14.25" spans="1:6">
      <c r="A77" s="290" t="s">
        <v>1764</v>
      </c>
      <c r="B77" s="295" t="s">
        <v>1766</v>
      </c>
      <c r="C77" s="377">
        <v>0.088</v>
      </c>
      <c r="D77" s="377">
        <v>0.087</v>
      </c>
      <c r="E77" s="377">
        <v>0.079</v>
      </c>
      <c r="F77" s="378">
        <v>0.1</v>
      </c>
    </row>
    <row r="78" ht="14.25" spans="1:6">
      <c r="A78" s="290" t="s">
        <v>1764</v>
      </c>
      <c r="B78" s="295" t="s">
        <v>1767</v>
      </c>
      <c r="C78" s="377">
        <v>0.087</v>
      </c>
      <c r="D78" s="377">
        <v>0.084</v>
      </c>
      <c r="E78" s="377">
        <v>0.096</v>
      </c>
      <c r="F78" s="378">
        <v>0.1</v>
      </c>
    </row>
    <row r="79" ht="14.25" spans="1:6">
      <c r="A79" s="290" t="s">
        <v>1764</v>
      </c>
      <c r="B79" s="295" t="s">
        <v>1768</v>
      </c>
      <c r="C79" s="377">
        <v>0.098</v>
      </c>
      <c r="D79" s="377">
        <v>0.098</v>
      </c>
      <c r="E79" s="377">
        <v>0.091</v>
      </c>
      <c r="F79" s="378">
        <v>0.1</v>
      </c>
    </row>
    <row r="80" ht="14.25" spans="1:6">
      <c r="A80" s="290" t="s">
        <v>1764</v>
      </c>
      <c r="B80" s="295" t="s">
        <v>1769</v>
      </c>
      <c r="C80" s="377">
        <v>0.096</v>
      </c>
      <c r="D80" s="377">
        <v>0.096</v>
      </c>
      <c r="E80" s="377">
        <v>0.1</v>
      </c>
      <c r="F80" s="378">
        <v>0.1</v>
      </c>
    </row>
    <row r="81" ht="14.25" spans="1:6">
      <c r="A81" s="290" t="s">
        <v>1764</v>
      </c>
      <c r="B81" s="295" t="s">
        <v>1770</v>
      </c>
      <c r="C81" s="377">
        <v>0.099</v>
      </c>
      <c r="D81" s="377">
        <v>0.099</v>
      </c>
      <c r="E81" s="377">
        <v>0.098</v>
      </c>
      <c r="F81" s="378">
        <v>0.1</v>
      </c>
    </row>
    <row r="82" ht="14.25" spans="1:6">
      <c r="A82" s="290" t="s">
        <v>1764</v>
      </c>
      <c r="B82" s="295" t="s">
        <v>1771</v>
      </c>
      <c r="C82" s="377">
        <v>0.099</v>
      </c>
      <c r="D82" s="377">
        <v>0.099</v>
      </c>
      <c r="E82" s="377">
        <v>0.097</v>
      </c>
      <c r="F82" s="378">
        <v>0.1</v>
      </c>
    </row>
    <row r="83" ht="14.25" spans="1:6">
      <c r="A83" s="290" t="s">
        <v>1764</v>
      </c>
      <c r="B83" s="295" t="s">
        <v>1772</v>
      </c>
      <c r="C83" s="377">
        <v>0.098</v>
      </c>
      <c r="D83" s="377">
        <v>0.098</v>
      </c>
      <c r="E83" s="377">
        <v>0.098</v>
      </c>
      <c r="F83" s="378">
        <v>0.1</v>
      </c>
    </row>
    <row r="84" ht="14.25" spans="1:6">
      <c r="A84" s="290" t="s">
        <v>1764</v>
      </c>
      <c r="B84" s="295" t="s">
        <v>1773</v>
      </c>
      <c r="C84" s="377">
        <v>0.099</v>
      </c>
      <c r="D84" s="377">
        <v>0.099</v>
      </c>
      <c r="E84" s="377">
        <v>0.099</v>
      </c>
      <c r="F84" s="378">
        <v>0.1</v>
      </c>
    </row>
    <row r="85" ht="14.25" spans="1:6">
      <c r="A85" s="290" t="s">
        <v>1764</v>
      </c>
      <c r="B85" s="295" t="s">
        <v>1774</v>
      </c>
      <c r="C85" s="377">
        <v>0.099</v>
      </c>
      <c r="D85" s="377">
        <v>0.099</v>
      </c>
      <c r="E85" s="377">
        <v>0.099</v>
      </c>
      <c r="F85" s="378">
        <v>0.1</v>
      </c>
    </row>
    <row r="86" ht="14.25" spans="1:6">
      <c r="A86" s="290" t="s">
        <v>1764</v>
      </c>
      <c r="B86" s="295" t="s">
        <v>1775</v>
      </c>
      <c r="C86" s="377">
        <v>0.1</v>
      </c>
      <c r="D86" s="377">
        <v>0.1</v>
      </c>
      <c r="E86" s="377">
        <v>0.077</v>
      </c>
      <c r="F86" s="378">
        <v>0.1</v>
      </c>
    </row>
    <row r="87" ht="14.25" spans="1:6">
      <c r="A87" s="290" t="s">
        <v>1764</v>
      </c>
      <c r="B87" s="295" t="s">
        <v>1776</v>
      </c>
      <c r="C87" s="377">
        <v>0.1</v>
      </c>
      <c r="D87" s="377">
        <v>0.1</v>
      </c>
      <c r="E87" s="377">
        <v>0.098</v>
      </c>
      <c r="F87" s="382"/>
    </row>
    <row r="88" ht="14.25" spans="1:6">
      <c r="A88" s="290" t="s">
        <v>1764</v>
      </c>
      <c r="B88" s="295" t="s">
        <v>1777</v>
      </c>
      <c r="C88" s="377">
        <v>0.092</v>
      </c>
      <c r="D88" s="377">
        <v>0.085</v>
      </c>
      <c r="E88" s="377">
        <v>0.096</v>
      </c>
      <c r="F88" s="382"/>
    </row>
    <row r="89" ht="14.25" spans="1:6">
      <c r="A89" s="290" t="s">
        <v>1764</v>
      </c>
      <c r="B89" s="295" t="s">
        <v>1778</v>
      </c>
      <c r="C89" s="377">
        <v>0.1</v>
      </c>
      <c r="D89" s="377">
        <v>0.1</v>
      </c>
      <c r="E89" s="377">
        <v>0.097</v>
      </c>
      <c r="F89" s="382"/>
    </row>
    <row r="90" ht="14.25" spans="1:6">
      <c r="A90" s="290" t="s">
        <v>1764</v>
      </c>
      <c r="B90" s="295" t="s">
        <v>1779</v>
      </c>
      <c r="C90" s="377">
        <v>0.098</v>
      </c>
      <c r="D90" s="377">
        <v>0.098</v>
      </c>
      <c r="E90" s="377">
        <v>0.088</v>
      </c>
      <c r="F90" s="382"/>
    </row>
    <row r="91" ht="14.25" spans="1:6">
      <c r="A91" s="290" t="s">
        <v>1764</v>
      </c>
      <c r="B91" s="295" t="s">
        <v>1780</v>
      </c>
      <c r="C91" s="377">
        <v>0.099</v>
      </c>
      <c r="D91" s="377">
        <v>0.099</v>
      </c>
      <c r="E91" s="377">
        <v>0.091</v>
      </c>
      <c r="F91" s="382"/>
    </row>
    <row r="92" ht="14.25" spans="1:6">
      <c r="A92" s="290" t="s">
        <v>1764</v>
      </c>
      <c r="B92" s="295" t="s">
        <v>1781</v>
      </c>
      <c r="C92" s="377">
        <v>0.096</v>
      </c>
      <c r="D92" s="377">
        <v>0.096</v>
      </c>
      <c r="E92" s="377">
        <v>0.073</v>
      </c>
      <c r="F92" s="382"/>
    </row>
    <row r="93" ht="14.25" spans="1:6">
      <c r="A93" s="290" t="s">
        <v>1764</v>
      </c>
      <c r="B93" s="295" t="s">
        <v>1782</v>
      </c>
      <c r="C93" s="377">
        <v>0.096</v>
      </c>
      <c r="D93" s="377">
        <v>0.096</v>
      </c>
      <c r="E93" s="377">
        <v>0.099</v>
      </c>
      <c r="F93" s="382"/>
    </row>
    <row r="94" ht="14.25" spans="1:6">
      <c r="A94" s="290" t="s">
        <v>1764</v>
      </c>
      <c r="B94" s="295" t="s">
        <v>1783</v>
      </c>
      <c r="C94" s="377">
        <v>0.076</v>
      </c>
      <c r="D94" s="377">
        <v>0.074</v>
      </c>
      <c r="E94" s="377">
        <v>0.097</v>
      </c>
      <c r="F94" s="382"/>
    </row>
    <row r="95" ht="14.25" spans="1:6">
      <c r="A95" s="290" t="s">
        <v>1764</v>
      </c>
      <c r="B95" s="295" t="s">
        <v>1784</v>
      </c>
      <c r="C95" s="377">
        <v>0.099</v>
      </c>
      <c r="D95" s="377">
        <v>0.094</v>
      </c>
      <c r="E95" s="377">
        <v>0.096</v>
      </c>
      <c r="F95" s="382"/>
    </row>
    <row r="96" ht="14.25" spans="1:6">
      <c r="A96" s="290" t="s">
        <v>1764</v>
      </c>
      <c r="B96" s="295" t="s">
        <v>1785</v>
      </c>
      <c r="C96" s="377">
        <v>0.099</v>
      </c>
      <c r="D96" s="377">
        <v>0.099</v>
      </c>
      <c r="E96" s="377">
        <v>0.099</v>
      </c>
      <c r="F96" s="382"/>
    </row>
    <row r="97" ht="14.25" spans="1:6">
      <c r="A97" s="290" t="s">
        <v>1764</v>
      </c>
      <c r="B97" s="295" t="s">
        <v>1786</v>
      </c>
      <c r="C97" s="377">
        <v>0.098</v>
      </c>
      <c r="D97" s="377">
        <v>0.098</v>
      </c>
      <c r="E97" s="377">
        <v>0.097</v>
      </c>
      <c r="F97" s="382"/>
    </row>
    <row r="98" ht="14.25" spans="1:6">
      <c r="A98" s="290" t="s">
        <v>1764</v>
      </c>
      <c r="B98" s="295" t="s">
        <v>1787</v>
      </c>
      <c r="C98" s="377">
        <v>0.1</v>
      </c>
      <c r="D98" s="377">
        <v>0.1</v>
      </c>
      <c r="E98" s="377">
        <v>0.097</v>
      </c>
      <c r="F98" s="382"/>
    </row>
    <row r="99" ht="14.25" spans="1:6">
      <c r="A99" s="290" t="s">
        <v>1764</v>
      </c>
      <c r="B99" s="295" t="s">
        <v>1788</v>
      </c>
      <c r="C99" s="377">
        <v>0.1</v>
      </c>
      <c r="D99" s="377">
        <v>0.1</v>
      </c>
      <c r="E99" s="383"/>
      <c r="F99" s="382"/>
    </row>
    <row r="100" ht="14.25" spans="1:6">
      <c r="A100" s="290" t="s">
        <v>1764</v>
      </c>
      <c r="B100" s="295" t="s">
        <v>1789</v>
      </c>
      <c r="C100" s="377">
        <v>0.09</v>
      </c>
      <c r="D100" s="377">
        <v>0.089</v>
      </c>
      <c r="E100" s="383"/>
      <c r="F100" s="382"/>
    </row>
    <row r="101" ht="14.25" spans="1:6">
      <c r="A101" s="290" t="s">
        <v>1764</v>
      </c>
      <c r="B101" s="295" t="s">
        <v>1790</v>
      </c>
      <c r="C101" s="377">
        <v>0.098</v>
      </c>
      <c r="D101" s="377">
        <v>0.097</v>
      </c>
      <c r="E101" s="383"/>
      <c r="F101" s="382"/>
    </row>
    <row r="102" ht="14.25" spans="1:6">
      <c r="A102" s="290" t="s">
        <v>1764</v>
      </c>
      <c r="B102" s="295" t="s">
        <v>1791</v>
      </c>
      <c r="C102" s="383"/>
      <c r="D102" s="383"/>
      <c r="E102" s="383"/>
      <c r="F102" s="378">
        <v>0.05</v>
      </c>
    </row>
    <row r="103" ht="24.75" spans="1:6">
      <c r="A103" s="290" t="s">
        <v>1764</v>
      </c>
      <c r="B103" s="295" t="s">
        <v>1792</v>
      </c>
      <c r="C103" s="383"/>
      <c r="D103" s="383"/>
      <c r="E103" s="383"/>
      <c r="F103" s="378">
        <v>0.05</v>
      </c>
    </row>
    <row r="104" ht="14.25" spans="1:6">
      <c r="A104" s="290" t="s">
        <v>1764</v>
      </c>
      <c r="B104" s="295" t="s">
        <v>1793</v>
      </c>
      <c r="C104" s="383"/>
      <c r="D104" s="383"/>
      <c r="E104" s="383"/>
      <c r="F104" s="378">
        <v>0.05</v>
      </c>
    </row>
    <row r="105" ht="14.25" spans="1:6">
      <c r="A105" s="290" t="s">
        <v>1764</v>
      </c>
      <c r="B105" s="295" t="s">
        <v>1794</v>
      </c>
      <c r="C105" s="383"/>
      <c r="D105" s="383"/>
      <c r="E105" s="383"/>
      <c r="F105" s="378">
        <v>0.05</v>
      </c>
    </row>
    <row r="106" ht="14.25" spans="1:6">
      <c r="A106" s="290" t="s">
        <v>1764</v>
      </c>
      <c r="B106" s="295" t="s">
        <v>1795</v>
      </c>
      <c r="C106" s="383"/>
      <c r="D106" s="383"/>
      <c r="E106" s="383"/>
      <c r="F106" s="378">
        <v>0.05</v>
      </c>
    </row>
    <row r="107" ht="24.75" spans="1:6">
      <c r="A107" s="290" t="s">
        <v>1764</v>
      </c>
      <c r="B107" s="295" t="s">
        <v>1796</v>
      </c>
      <c r="C107" s="383"/>
      <c r="D107" s="383"/>
      <c r="E107" s="383"/>
      <c r="F107" s="378">
        <v>0.05</v>
      </c>
    </row>
    <row r="108" ht="24.75" spans="1:6">
      <c r="A108" s="290" t="s">
        <v>1764</v>
      </c>
      <c r="B108" s="295" t="s">
        <v>1797</v>
      </c>
      <c r="C108" s="383"/>
      <c r="D108" s="383"/>
      <c r="E108" s="383"/>
      <c r="F108" s="378">
        <v>0.05</v>
      </c>
    </row>
    <row r="109" ht="24.75" spans="1:6">
      <c r="A109" s="308" t="s">
        <v>1764</v>
      </c>
      <c r="B109" s="301" t="s">
        <v>1798</v>
      </c>
      <c r="C109" s="380"/>
      <c r="D109" s="380"/>
      <c r="E109" s="380"/>
      <c r="F109" s="384">
        <v>0.05</v>
      </c>
    </row>
    <row r="110" ht="14.25" spans="1:6">
      <c r="A110" s="290" t="s">
        <v>1799</v>
      </c>
      <c r="B110" s="291" t="s">
        <v>1800</v>
      </c>
      <c r="C110" s="375">
        <v>0.129</v>
      </c>
      <c r="D110" s="375">
        <v>0.129</v>
      </c>
      <c r="E110" s="375">
        <v>0.126</v>
      </c>
      <c r="F110" s="376">
        <v>0.13</v>
      </c>
    </row>
    <row r="111" ht="14.25" spans="1:6">
      <c r="A111" s="290" t="s">
        <v>1799</v>
      </c>
      <c r="B111" s="295" t="s">
        <v>1801</v>
      </c>
      <c r="C111" s="377">
        <v>0.11</v>
      </c>
      <c r="D111" s="377">
        <v>0.11</v>
      </c>
      <c r="E111" s="377">
        <v>0.099</v>
      </c>
      <c r="F111" s="378">
        <v>0.128</v>
      </c>
    </row>
    <row r="112" ht="14.25" spans="1:6">
      <c r="A112" s="290" t="s">
        <v>1799</v>
      </c>
      <c r="B112" s="295" t="s">
        <v>1802</v>
      </c>
      <c r="C112" s="377">
        <v>0.125</v>
      </c>
      <c r="D112" s="377">
        <v>0.125</v>
      </c>
      <c r="E112" s="377">
        <v>0.12</v>
      </c>
      <c r="F112" s="378">
        <v>0.125</v>
      </c>
    </row>
    <row r="113" ht="14.25" spans="1:6">
      <c r="A113" s="290" t="s">
        <v>1799</v>
      </c>
      <c r="B113" s="295" t="s">
        <v>1803</v>
      </c>
      <c r="C113" s="377">
        <v>0.13</v>
      </c>
      <c r="D113" s="377">
        <v>0.13</v>
      </c>
      <c r="E113" s="377">
        <v>0.13</v>
      </c>
      <c r="F113" s="378">
        <v>0.13</v>
      </c>
    </row>
    <row r="114" ht="14.25" spans="1:6">
      <c r="A114" s="290" t="s">
        <v>1799</v>
      </c>
      <c r="B114" s="295" t="s">
        <v>1804</v>
      </c>
      <c r="C114" s="377">
        <v>0.123</v>
      </c>
      <c r="D114" s="377">
        <v>0.123</v>
      </c>
      <c r="E114" s="377">
        <v>0.12</v>
      </c>
      <c r="F114" s="378">
        <v>0.13</v>
      </c>
    </row>
    <row r="115" ht="14.25" spans="1:6">
      <c r="A115" s="290" t="s">
        <v>1799</v>
      </c>
      <c r="B115" s="295" t="s">
        <v>1805</v>
      </c>
      <c r="C115" s="377">
        <v>0.125</v>
      </c>
      <c r="D115" s="377">
        <v>0.125</v>
      </c>
      <c r="E115" s="377">
        <v>0.117</v>
      </c>
      <c r="F115" s="378">
        <v>0.13</v>
      </c>
    </row>
    <row r="116" ht="14.25" spans="1:6">
      <c r="A116" s="290" t="s">
        <v>1799</v>
      </c>
      <c r="B116" s="295" t="s">
        <v>1806</v>
      </c>
      <c r="C116" s="377">
        <v>0.117</v>
      </c>
      <c r="D116" s="377">
        <v>0.117</v>
      </c>
      <c r="E116" s="377">
        <v>0.088</v>
      </c>
      <c r="F116" s="378">
        <v>0.13</v>
      </c>
    </row>
    <row r="117" ht="14.25" spans="1:6">
      <c r="A117" s="290" t="s">
        <v>1799</v>
      </c>
      <c r="B117" s="295" t="s">
        <v>1807</v>
      </c>
      <c r="C117" s="377">
        <v>0.13</v>
      </c>
      <c r="D117" s="377">
        <v>0.13</v>
      </c>
      <c r="E117" s="377">
        <v>0.129</v>
      </c>
      <c r="F117" s="378">
        <v>0.13</v>
      </c>
    </row>
    <row r="118" ht="14.25" spans="1:6">
      <c r="A118" s="290" t="s">
        <v>1799</v>
      </c>
      <c r="B118" s="295" t="s">
        <v>1808</v>
      </c>
      <c r="C118" s="377">
        <v>0.123</v>
      </c>
      <c r="D118" s="377">
        <v>0.123</v>
      </c>
      <c r="E118" s="377">
        <v>0.116</v>
      </c>
      <c r="F118" s="378">
        <v>0.13</v>
      </c>
    </row>
    <row r="119" ht="14.25" spans="1:6">
      <c r="A119" s="290" t="s">
        <v>1799</v>
      </c>
      <c r="B119" s="295" t="s">
        <v>1809</v>
      </c>
      <c r="C119" s="377">
        <v>0.127</v>
      </c>
      <c r="D119" s="377">
        <v>0.127</v>
      </c>
      <c r="E119" s="377">
        <v>0.124</v>
      </c>
      <c r="F119" s="378">
        <v>0.13</v>
      </c>
    </row>
    <row r="120" ht="14.25" spans="1:6">
      <c r="A120" s="290" t="s">
        <v>1799</v>
      </c>
      <c r="B120" s="295" t="s">
        <v>1810</v>
      </c>
      <c r="C120" s="377">
        <v>0.125</v>
      </c>
      <c r="D120" s="377">
        <v>0.125</v>
      </c>
      <c r="E120" s="377">
        <v>0.122</v>
      </c>
      <c r="F120" s="378">
        <v>0.13</v>
      </c>
    </row>
    <row r="121" ht="14.25" spans="1:6">
      <c r="A121" s="290" t="s">
        <v>1799</v>
      </c>
      <c r="B121" s="295" t="s">
        <v>1811</v>
      </c>
      <c r="C121" s="377">
        <v>0.13</v>
      </c>
      <c r="D121" s="377">
        <v>0.13</v>
      </c>
      <c r="E121" s="377">
        <v>0.13</v>
      </c>
      <c r="F121" s="378">
        <v>0.13</v>
      </c>
    </row>
    <row r="122" ht="14.25" spans="1:6">
      <c r="A122" s="290" t="s">
        <v>1799</v>
      </c>
      <c r="B122" s="295" t="s">
        <v>1812</v>
      </c>
      <c r="C122" s="377">
        <v>0.13</v>
      </c>
      <c r="D122" s="377">
        <v>0.13</v>
      </c>
      <c r="E122" s="377">
        <v>0.125</v>
      </c>
      <c r="F122" s="378">
        <v>0.13</v>
      </c>
    </row>
    <row r="123" ht="14.25" spans="1:6">
      <c r="A123" s="290" t="s">
        <v>1799</v>
      </c>
      <c r="B123" s="295" t="s">
        <v>1813</v>
      </c>
      <c r="C123" s="377">
        <v>0.129</v>
      </c>
      <c r="D123" s="377">
        <v>0.129</v>
      </c>
      <c r="E123" s="377">
        <v>0.123</v>
      </c>
      <c r="F123" s="378">
        <v>0.13</v>
      </c>
    </row>
    <row r="124" ht="14.25" spans="1:6">
      <c r="A124" s="290" t="s">
        <v>1799</v>
      </c>
      <c r="B124" s="295" t="s">
        <v>1814</v>
      </c>
      <c r="C124" s="377">
        <v>0.102</v>
      </c>
      <c r="D124" s="377">
        <v>0.101</v>
      </c>
      <c r="E124" s="377">
        <v>0.08</v>
      </c>
      <c r="F124" s="382"/>
    </row>
    <row r="125" ht="14.25" spans="1:6">
      <c r="A125" s="290" t="s">
        <v>1799</v>
      </c>
      <c r="B125" s="295" t="s">
        <v>1815</v>
      </c>
      <c r="C125" s="377">
        <v>0.13</v>
      </c>
      <c r="D125" s="377">
        <v>0.13</v>
      </c>
      <c r="E125" s="377">
        <v>0.129</v>
      </c>
      <c r="F125" s="382"/>
    </row>
    <row r="126" ht="14.25" spans="1:6">
      <c r="A126" s="290" t="s">
        <v>1799</v>
      </c>
      <c r="B126" s="295" t="s">
        <v>1816</v>
      </c>
      <c r="C126" s="377">
        <v>0.13</v>
      </c>
      <c r="D126" s="377">
        <v>0.13</v>
      </c>
      <c r="E126" s="377">
        <v>0.126</v>
      </c>
      <c r="F126" s="382"/>
    </row>
    <row r="127" ht="14.25" spans="1:6">
      <c r="A127" s="290" t="s">
        <v>1799</v>
      </c>
      <c r="B127" s="295" t="s">
        <v>1817</v>
      </c>
      <c r="C127" s="377">
        <v>0.125</v>
      </c>
      <c r="D127" s="377">
        <v>0.125</v>
      </c>
      <c r="E127" s="377">
        <v>0.121</v>
      </c>
      <c r="F127" s="382"/>
    </row>
    <row r="128" ht="14.25" spans="1:6">
      <c r="A128" s="290" t="s">
        <v>1799</v>
      </c>
      <c r="B128" s="295" t="s">
        <v>1818</v>
      </c>
      <c r="C128" s="377">
        <v>0.12</v>
      </c>
      <c r="D128" s="377">
        <v>0.12</v>
      </c>
      <c r="E128" s="377">
        <v>0.105</v>
      </c>
      <c r="F128" s="382"/>
    </row>
    <row r="129" ht="14.25" spans="1:6">
      <c r="A129" s="290" t="s">
        <v>1799</v>
      </c>
      <c r="B129" s="295" t="s">
        <v>1819</v>
      </c>
      <c r="C129" s="377">
        <v>0.13</v>
      </c>
      <c r="D129" s="377">
        <v>0.13</v>
      </c>
      <c r="E129" s="377">
        <v>0.126</v>
      </c>
      <c r="F129" s="382"/>
    </row>
    <row r="130" ht="14.25" spans="1:6">
      <c r="A130" s="290" t="s">
        <v>1799</v>
      </c>
      <c r="B130" s="295" t="s">
        <v>1820</v>
      </c>
      <c r="C130" s="377">
        <v>0.125</v>
      </c>
      <c r="D130" s="377">
        <v>0.125</v>
      </c>
      <c r="E130" s="377">
        <v>0.122</v>
      </c>
      <c r="F130" s="382"/>
    </row>
    <row r="131" ht="14.25" spans="1:6">
      <c r="A131" s="290" t="s">
        <v>1799</v>
      </c>
      <c r="B131" s="295" t="s">
        <v>1821</v>
      </c>
      <c r="C131" s="377">
        <v>0.127</v>
      </c>
      <c r="D131" s="377">
        <v>0.126</v>
      </c>
      <c r="E131" s="377">
        <v>0.123</v>
      </c>
      <c r="F131" s="382"/>
    </row>
    <row r="132" ht="14.25" spans="1:6">
      <c r="A132" s="290" t="s">
        <v>1799</v>
      </c>
      <c r="B132" s="295" t="s">
        <v>1822</v>
      </c>
      <c r="C132" s="377">
        <v>0.091</v>
      </c>
      <c r="D132" s="377">
        <v>0.121</v>
      </c>
      <c r="E132" s="377">
        <v>0.099</v>
      </c>
      <c r="F132" s="382"/>
    </row>
    <row r="133" ht="14.25" spans="1:6">
      <c r="A133" s="290" t="s">
        <v>1799</v>
      </c>
      <c r="B133" s="295" t="s">
        <v>1823</v>
      </c>
      <c r="C133" s="377">
        <v>0.13</v>
      </c>
      <c r="D133" s="377">
        <v>0.13</v>
      </c>
      <c r="E133" s="377">
        <v>0.129</v>
      </c>
      <c r="F133" s="382"/>
    </row>
    <row r="134" ht="14.25" spans="1:6">
      <c r="A134" s="290" t="s">
        <v>1799</v>
      </c>
      <c r="B134" s="295" t="s">
        <v>1824</v>
      </c>
      <c r="C134" s="377">
        <v>0.068</v>
      </c>
      <c r="D134" s="377">
        <v>0.065</v>
      </c>
      <c r="E134" s="377">
        <v>0.065</v>
      </c>
      <c r="F134" s="378">
        <v>0.13</v>
      </c>
    </row>
    <row r="135" ht="14.25" spans="1:6">
      <c r="A135" s="290" t="s">
        <v>1799</v>
      </c>
      <c r="B135" s="295" t="s">
        <v>1825</v>
      </c>
      <c r="C135" s="377">
        <v>0.123</v>
      </c>
      <c r="D135" s="377">
        <v>0.123</v>
      </c>
      <c r="E135" s="377">
        <v>0.11</v>
      </c>
      <c r="F135" s="382"/>
    </row>
    <row r="136" ht="14.25" spans="1:6">
      <c r="A136" s="290" t="s">
        <v>1799</v>
      </c>
      <c r="B136" s="295" t="s">
        <v>1826</v>
      </c>
      <c r="C136" s="377">
        <v>0.13</v>
      </c>
      <c r="D136" s="377">
        <v>0.13</v>
      </c>
      <c r="E136" s="377">
        <v>0.125</v>
      </c>
      <c r="F136" s="382"/>
    </row>
    <row r="137" ht="14.25" spans="1:6">
      <c r="A137" s="290" t="s">
        <v>1799</v>
      </c>
      <c r="B137" s="295" t="s">
        <v>1827</v>
      </c>
      <c r="C137" s="377">
        <v>0.121</v>
      </c>
      <c r="D137" s="377">
        <v>0.122</v>
      </c>
      <c r="E137" s="377">
        <v>0.115</v>
      </c>
      <c r="F137" s="382"/>
    </row>
    <row r="138" ht="14.25" spans="1:6">
      <c r="A138" s="290" t="s">
        <v>1799</v>
      </c>
      <c r="B138" s="295" t="s">
        <v>1828</v>
      </c>
      <c r="C138" s="377">
        <v>0.105</v>
      </c>
      <c r="D138" s="377">
        <v>0.125</v>
      </c>
      <c r="E138" s="377">
        <v>0.112</v>
      </c>
      <c r="F138" s="382"/>
    </row>
    <row r="139" ht="14.25" spans="1:6">
      <c r="A139" s="290" t="s">
        <v>1799</v>
      </c>
      <c r="B139" s="295" t="s">
        <v>1829</v>
      </c>
      <c r="C139" s="377">
        <v>0.127</v>
      </c>
      <c r="D139" s="377">
        <v>0.127</v>
      </c>
      <c r="E139" s="377">
        <v>0.122</v>
      </c>
      <c r="F139" s="378">
        <v>0.13</v>
      </c>
    </row>
    <row r="140" ht="14.25" spans="1:6">
      <c r="A140" s="290" t="s">
        <v>1799</v>
      </c>
      <c r="B140" s="295" t="s">
        <v>1830</v>
      </c>
      <c r="C140" s="377">
        <v>0.125</v>
      </c>
      <c r="D140" s="377">
        <v>0.125</v>
      </c>
      <c r="E140" s="377">
        <v>0.119</v>
      </c>
      <c r="F140" s="378">
        <v>0.13</v>
      </c>
    </row>
    <row r="141" ht="14.25" spans="1:6">
      <c r="A141" s="290" t="s">
        <v>1799</v>
      </c>
      <c r="B141" s="295" t="s">
        <v>1831</v>
      </c>
      <c r="C141" s="377">
        <v>0.125</v>
      </c>
      <c r="D141" s="377">
        <v>0.125</v>
      </c>
      <c r="E141" s="377">
        <v>0.117</v>
      </c>
      <c r="F141" s="382"/>
    </row>
    <row r="142" ht="14.25" spans="1:6">
      <c r="A142" s="290" t="s">
        <v>1799</v>
      </c>
      <c r="B142" s="295" t="s">
        <v>1832</v>
      </c>
      <c r="C142" s="377">
        <v>0.125</v>
      </c>
      <c r="D142" s="377">
        <v>0.125</v>
      </c>
      <c r="E142" s="377">
        <v>0.115</v>
      </c>
      <c r="F142" s="382"/>
    </row>
    <row r="143" ht="14.25" spans="1:6">
      <c r="A143" s="290" t="s">
        <v>1799</v>
      </c>
      <c r="B143" s="295" t="s">
        <v>1833</v>
      </c>
      <c r="C143" s="377">
        <v>0.121</v>
      </c>
      <c r="D143" s="377">
        <v>0.121</v>
      </c>
      <c r="E143" s="377">
        <v>0.108</v>
      </c>
      <c r="F143" s="382"/>
    </row>
    <row r="144" ht="14.25" spans="1:6">
      <c r="A144" s="290" t="s">
        <v>1799</v>
      </c>
      <c r="B144" s="385" t="s">
        <v>1834</v>
      </c>
      <c r="C144" s="386">
        <v>0.126</v>
      </c>
      <c r="D144" s="386">
        <v>0.126</v>
      </c>
      <c r="E144" s="386">
        <v>0.121</v>
      </c>
      <c r="F144" s="382"/>
    </row>
    <row r="145" ht="14.25" spans="1:6">
      <c r="A145" s="308" t="s">
        <v>1799</v>
      </c>
      <c r="B145" s="387" t="s">
        <v>1835</v>
      </c>
      <c r="C145" s="388"/>
      <c r="D145" s="388"/>
      <c r="E145" s="388"/>
      <c r="F145" s="389">
        <v>0.05</v>
      </c>
    </row>
    <row r="146" ht="24.75" spans="1:6">
      <c r="A146" s="390" t="s">
        <v>1799</v>
      </c>
      <c r="B146" s="299" t="s">
        <v>1836</v>
      </c>
      <c r="C146" s="383"/>
      <c r="D146" s="383"/>
      <c r="E146" s="383"/>
      <c r="F146" s="391">
        <v>0.05</v>
      </c>
    </row>
    <row r="147" ht="24.75" spans="1:6">
      <c r="A147" s="290" t="s">
        <v>1799</v>
      </c>
      <c r="B147" s="295" t="s">
        <v>1837</v>
      </c>
      <c r="C147" s="383"/>
      <c r="D147" s="383"/>
      <c r="E147" s="383"/>
      <c r="F147" s="378">
        <v>0.05</v>
      </c>
    </row>
    <row r="148" ht="24.75" spans="1:6">
      <c r="A148" s="290" t="s">
        <v>1799</v>
      </c>
      <c r="B148" s="295" t="s">
        <v>1838</v>
      </c>
      <c r="C148" s="383"/>
      <c r="D148" s="383"/>
      <c r="E148" s="383"/>
      <c r="F148" s="378">
        <v>0.05</v>
      </c>
    </row>
    <row r="149" ht="24.75" spans="1:6">
      <c r="A149" s="290" t="s">
        <v>1799</v>
      </c>
      <c r="B149" s="295" t="s">
        <v>1839</v>
      </c>
      <c r="C149" s="383"/>
      <c r="D149" s="383"/>
      <c r="E149" s="383"/>
      <c r="F149" s="378">
        <v>0.05</v>
      </c>
    </row>
    <row r="150" ht="24.75" spans="1:6">
      <c r="A150" s="290" t="s">
        <v>1799</v>
      </c>
      <c r="B150" s="295" t="s">
        <v>1840</v>
      </c>
      <c r="C150" s="383"/>
      <c r="D150" s="383"/>
      <c r="E150" s="383"/>
      <c r="F150" s="378">
        <v>0.05</v>
      </c>
    </row>
    <row r="151" ht="24.75" spans="1:6">
      <c r="A151" s="290" t="s">
        <v>1799</v>
      </c>
      <c r="B151" s="295" t="s">
        <v>1841</v>
      </c>
      <c r="C151" s="383"/>
      <c r="D151" s="383"/>
      <c r="E151" s="383"/>
      <c r="F151" s="378">
        <v>0.05</v>
      </c>
    </row>
    <row r="152" ht="24.75" spans="1:6">
      <c r="A152" s="290" t="s">
        <v>1799</v>
      </c>
      <c r="B152" s="295" t="s">
        <v>1842</v>
      </c>
      <c r="C152" s="383"/>
      <c r="D152" s="383"/>
      <c r="E152" s="383"/>
      <c r="F152" s="378">
        <v>0.05</v>
      </c>
    </row>
    <row r="153" ht="14.25" spans="1:6">
      <c r="A153" s="290" t="s">
        <v>1799</v>
      </c>
      <c r="B153" s="295" t="s">
        <v>1843</v>
      </c>
      <c r="C153" s="383"/>
      <c r="D153" s="383"/>
      <c r="E153" s="383"/>
      <c r="F153" s="378">
        <v>0.05</v>
      </c>
    </row>
    <row r="154" ht="14.25" spans="1:6">
      <c r="A154" s="290" t="s">
        <v>1799</v>
      </c>
      <c r="B154" s="295" t="s">
        <v>1844</v>
      </c>
      <c r="C154" s="383"/>
      <c r="D154" s="383"/>
      <c r="E154" s="383"/>
      <c r="F154" s="378">
        <v>0.05</v>
      </c>
    </row>
    <row r="155" ht="24.75" spans="1:6">
      <c r="A155" s="290" t="s">
        <v>1799</v>
      </c>
      <c r="B155" s="295" t="s">
        <v>1845</v>
      </c>
      <c r="C155" s="383"/>
      <c r="D155" s="383"/>
      <c r="E155" s="383"/>
      <c r="F155" s="378">
        <v>0.05</v>
      </c>
    </row>
    <row r="156" ht="24.75" spans="1:6">
      <c r="A156" s="290" t="s">
        <v>1799</v>
      </c>
      <c r="B156" s="295" t="s">
        <v>1846</v>
      </c>
      <c r="C156" s="383"/>
      <c r="D156" s="383"/>
      <c r="E156" s="383"/>
      <c r="F156" s="378">
        <v>0.05</v>
      </c>
    </row>
    <row r="157" ht="14.25" spans="1:6">
      <c r="A157" s="308" t="s">
        <v>1799</v>
      </c>
      <c r="B157" s="301" t="s">
        <v>1847</v>
      </c>
      <c r="C157" s="380"/>
      <c r="D157" s="380"/>
      <c r="E157" s="380"/>
      <c r="F157" s="384">
        <v>0.05</v>
      </c>
    </row>
    <row r="158" ht="14.25" spans="1:6">
      <c r="A158" s="290" t="s">
        <v>1848</v>
      </c>
      <c r="B158" s="291" t="s">
        <v>1849</v>
      </c>
      <c r="C158" s="375">
        <v>0.13</v>
      </c>
      <c r="D158" s="375">
        <v>0.13</v>
      </c>
      <c r="E158" s="375">
        <v>0.13</v>
      </c>
      <c r="F158" s="376">
        <v>0.13</v>
      </c>
    </row>
    <row r="159" ht="14.25" spans="1:6">
      <c r="A159" s="290" t="s">
        <v>1848</v>
      </c>
      <c r="B159" s="295" t="s">
        <v>1850</v>
      </c>
      <c r="C159" s="377">
        <v>0.13</v>
      </c>
      <c r="D159" s="377">
        <v>0.13</v>
      </c>
      <c r="E159" s="377">
        <v>0.13</v>
      </c>
      <c r="F159" s="378">
        <v>0.13</v>
      </c>
    </row>
    <row r="160" ht="14.25" spans="1:6">
      <c r="A160" s="290" t="s">
        <v>1848</v>
      </c>
      <c r="B160" s="295" t="s">
        <v>1851</v>
      </c>
      <c r="C160" s="377">
        <v>0.13</v>
      </c>
      <c r="D160" s="377">
        <v>0.13</v>
      </c>
      <c r="E160" s="377">
        <v>0.129</v>
      </c>
      <c r="F160" s="378">
        <v>0.13</v>
      </c>
    </row>
    <row r="161" ht="14.25" spans="1:6">
      <c r="A161" s="290" t="s">
        <v>1848</v>
      </c>
      <c r="B161" s="295" t="s">
        <v>1852</v>
      </c>
      <c r="C161" s="377">
        <v>0.128</v>
      </c>
      <c r="D161" s="377">
        <v>0.128</v>
      </c>
      <c r="E161" s="377">
        <v>0.125</v>
      </c>
      <c r="F161" s="378">
        <v>0.13</v>
      </c>
    </row>
    <row r="162" ht="14.25" spans="1:6">
      <c r="A162" s="290" t="s">
        <v>1848</v>
      </c>
      <c r="B162" s="295" t="s">
        <v>1853</v>
      </c>
      <c r="C162" s="377">
        <v>0.122</v>
      </c>
      <c r="D162" s="377">
        <v>0.122</v>
      </c>
      <c r="E162" s="377">
        <v>0.126</v>
      </c>
      <c r="F162" s="378">
        <v>0.122</v>
      </c>
    </row>
    <row r="163" ht="14.25" spans="1:6">
      <c r="A163" s="290" t="s">
        <v>1848</v>
      </c>
      <c r="B163" s="295" t="s">
        <v>1854</v>
      </c>
      <c r="C163" s="377">
        <v>0.13</v>
      </c>
      <c r="D163" s="377">
        <v>0.13</v>
      </c>
      <c r="E163" s="377">
        <v>0.125</v>
      </c>
      <c r="F163" s="378">
        <v>0.13</v>
      </c>
    </row>
    <row r="164" ht="14.25" spans="1:6">
      <c r="A164" s="290" t="s">
        <v>1848</v>
      </c>
      <c r="B164" s="295" t="s">
        <v>1855</v>
      </c>
      <c r="C164" s="377">
        <v>0.13</v>
      </c>
      <c r="D164" s="377">
        <v>0.13</v>
      </c>
      <c r="E164" s="377">
        <v>0.13</v>
      </c>
      <c r="F164" s="378">
        <v>0.13</v>
      </c>
    </row>
    <row r="165" ht="14.25" spans="1:6">
      <c r="A165" s="290" t="s">
        <v>1848</v>
      </c>
      <c r="B165" s="295" t="s">
        <v>1856</v>
      </c>
      <c r="C165" s="377">
        <v>0.13</v>
      </c>
      <c r="D165" s="377">
        <v>0.13</v>
      </c>
      <c r="E165" s="377">
        <v>0.124</v>
      </c>
      <c r="F165" s="378">
        <v>0.13</v>
      </c>
    </row>
    <row r="166" ht="14.25" spans="1:6">
      <c r="A166" s="290" t="s">
        <v>1848</v>
      </c>
      <c r="B166" s="295" t="s">
        <v>1857</v>
      </c>
      <c r="C166" s="377">
        <v>0.13</v>
      </c>
      <c r="D166" s="377">
        <v>0.13</v>
      </c>
      <c r="E166" s="377">
        <v>0.13</v>
      </c>
      <c r="F166" s="378">
        <v>0.13</v>
      </c>
    </row>
    <row r="167" ht="14.25" spans="1:6">
      <c r="A167" s="290" t="s">
        <v>1848</v>
      </c>
      <c r="B167" s="295" t="s">
        <v>1858</v>
      </c>
      <c r="C167" s="377">
        <v>0.125</v>
      </c>
      <c r="D167" s="377">
        <v>0.125</v>
      </c>
      <c r="E167" s="377">
        <v>0.121</v>
      </c>
      <c r="F167" s="382"/>
    </row>
    <row r="168" ht="14.25" spans="1:6">
      <c r="A168" s="290" t="s">
        <v>1848</v>
      </c>
      <c r="B168" s="295" t="s">
        <v>1859</v>
      </c>
      <c r="C168" s="377">
        <v>0.13</v>
      </c>
      <c r="D168" s="377">
        <v>0.13</v>
      </c>
      <c r="E168" s="377">
        <v>0.126</v>
      </c>
      <c r="F168" s="382"/>
    </row>
    <row r="169" ht="14.25" spans="1:6">
      <c r="A169" s="290" t="s">
        <v>1848</v>
      </c>
      <c r="B169" s="295" t="s">
        <v>1860</v>
      </c>
      <c r="C169" s="377">
        <v>0.128</v>
      </c>
      <c r="D169" s="377">
        <v>0.129</v>
      </c>
      <c r="E169" s="377">
        <v>0.13</v>
      </c>
      <c r="F169" s="382"/>
    </row>
    <row r="170" ht="14.25" spans="1:6">
      <c r="A170" s="290" t="s">
        <v>1848</v>
      </c>
      <c r="B170" s="295" t="s">
        <v>1861</v>
      </c>
      <c r="C170" s="377">
        <v>0.141</v>
      </c>
      <c r="D170" s="377">
        <v>0.13</v>
      </c>
      <c r="E170" s="377">
        <v>0.125</v>
      </c>
      <c r="F170" s="382"/>
    </row>
    <row r="171" ht="14.25" spans="1:6">
      <c r="A171" s="290" t="s">
        <v>1848</v>
      </c>
      <c r="B171" s="295" t="s">
        <v>1862</v>
      </c>
      <c r="C171" s="377">
        <v>0.127</v>
      </c>
      <c r="D171" s="377">
        <v>0.126</v>
      </c>
      <c r="E171" s="377">
        <v>0.126</v>
      </c>
      <c r="F171" s="378">
        <v>0.118</v>
      </c>
    </row>
    <row r="172" ht="14.25" spans="1:6">
      <c r="A172" s="290" t="s">
        <v>1848</v>
      </c>
      <c r="B172" s="295" t="s">
        <v>1863</v>
      </c>
      <c r="C172" s="377">
        <v>0.13</v>
      </c>
      <c r="D172" s="377">
        <v>0.13</v>
      </c>
      <c r="E172" s="377">
        <v>0.13</v>
      </c>
      <c r="F172" s="382"/>
    </row>
    <row r="173" ht="14.25" spans="1:6">
      <c r="A173" s="290" t="s">
        <v>1848</v>
      </c>
      <c r="B173" s="295" t="s">
        <v>1864</v>
      </c>
      <c r="C173" s="377">
        <v>0.13</v>
      </c>
      <c r="D173" s="377">
        <v>0.13</v>
      </c>
      <c r="E173" s="377">
        <v>0.13</v>
      </c>
      <c r="F173" s="382"/>
    </row>
    <row r="174" ht="14.25" spans="1:6">
      <c r="A174" s="290" t="s">
        <v>1848</v>
      </c>
      <c r="B174" s="295" t="s">
        <v>1865</v>
      </c>
      <c r="C174" s="377">
        <v>0.13</v>
      </c>
      <c r="D174" s="377">
        <v>0.13</v>
      </c>
      <c r="E174" s="377">
        <v>0.13</v>
      </c>
      <c r="F174" s="378">
        <v>0.13</v>
      </c>
    </row>
    <row r="175" ht="14.25" spans="1:6">
      <c r="A175" s="290" t="s">
        <v>1848</v>
      </c>
      <c r="B175" s="295" t="s">
        <v>1866</v>
      </c>
      <c r="C175" s="377">
        <v>0.13</v>
      </c>
      <c r="D175" s="377">
        <v>0.13</v>
      </c>
      <c r="E175" s="377">
        <v>0.13</v>
      </c>
      <c r="F175" s="378">
        <v>0.13</v>
      </c>
    </row>
    <row r="176" ht="14.25" spans="1:6">
      <c r="A176" s="290" t="s">
        <v>1848</v>
      </c>
      <c r="B176" s="295" t="s">
        <v>1867</v>
      </c>
      <c r="C176" s="377">
        <v>0.13</v>
      </c>
      <c r="D176" s="377">
        <v>0.13</v>
      </c>
      <c r="E176" s="377">
        <v>0.13</v>
      </c>
      <c r="F176" s="378">
        <v>0.13</v>
      </c>
    </row>
    <row r="177" ht="14.25" spans="1:6">
      <c r="A177" s="290" t="s">
        <v>1848</v>
      </c>
      <c r="B177" s="295" t="s">
        <v>1868</v>
      </c>
      <c r="C177" s="377">
        <v>0.13</v>
      </c>
      <c r="D177" s="377">
        <v>0.13</v>
      </c>
      <c r="E177" s="377">
        <v>0.13</v>
      </c>
      <c r="F177" s="378">
        <v>0.13</v>
      </c>
    </row>
    <row r="178" ht="14.25" spans="1:6">
      <c r="A178" s="290" t="s">
        <v>1848</v>
      </c>
      <c r="B178" s="295" t="s">
        <v>1869</v>
      </c>
      <c r="C178" s="377">
        <v>0.13</v>
      </c>
      <c r="D178" s="377">
        <v>0.13</v>
      </c>
      <c r="E178" s="377">
        <v>0.13</v>
      </c>
      <c r="F178" s="378">
        <v>0.127</v>
      </c>
    </row>
    <row r="179" ht="14.25" spans="1:6">
      <c r="A179" s="290" t="s">
        <v>1848</v>
      </c>
      <c r="B179" s="295" t="s">
        <v>1870</v>
      </c>
      <c r="C179" s="377">
        <v>0.13</v>
      </c>
      <c r="D179" s="377">
        <v>0.13</v>
      </c>
      <c r="E179" s="377">
        <v>0.13</v>
      </c>
      <c r="F179" s="382"/>
    </row>
    <row r="180" ht="14.25" spans="1:6">
      <c r="A180" s="290" t="s">
        <v>1848</v>
      </c>
      <c r="B180" s="295" t="s">
        <v>1871</v>
      </c>
      <c r="C180" s="377">
        <v>0.13</v>
      </c>
      <c r="D180" s="377">
        <v>0.13</v>
      </c>
      <c r="E180" s="377">
        <v>0.125</v>
      </c>
      <c r="F180" s="378">
        <v>0.13</v>
      </c>
    </row>
    <row r="181" ht="14.25" spans="1:6">
      <c r="A181" s="290" t="s">
        <v>1848</v>
      </c>
      <c r="B181" s="295" t="s">
        <v>1872</v>
      </c>
      <c r="C181" s="377">
        <v>0.122</v>
      </c>
      <c r="D181" s="377">
        <v>0.123</v>
      </c>
      <c r="E181" s="377">
        <v>0.126</v>
      </c>
      <c r="F181" s="378">
        <v>0.121</v>
      </c>
    </row>
    <row r="182" ht="14.25" spans="1:6">
      <c r="A182" s="290" t="s">
        <v>1848</v>
      </c>
      <c r="B182" s="295" t="s">
        <v>1873</v>
      </c>
      <c r="C182" s="377">
        <v>0.125</v>
      </c>
      <c r="D182" s="377">
        <v>0.125</v>
      </c>
      <c r="E182" s="377">
        <v>0.117</v>
      </c>
      <c r="F182" s="378">
        <v>0.13</v>
      </c>
    </row>
    <row r="183" ht="14.25" spans="1:6">
      <c r="A183" s="290" t="s">
        <v>1848</v>
      </c>
      <c r="B183" s="295" t="s">
        <v>1874</v>
      </c>
      <c r="C183" s="377">
        <v>0.127</v>
      </c>
      <c r="D183" s="377">
        <v>0.127</v>
      </c>
      <c r="E183" s="377">
        <v>0.128</v>
      </c>
      <c r="F183" s="382"/>
    </row>
    <row r="184" ht="14.25" spans="1:6">
      <c r="A184" s="290" t="s">
        <v>1848</v>
      </c>
      <c r="B184" s="295" t="s">
        <v>1875</v>
      </c>
      <c r="C184" s="377">
        <v>0.125</v>
      </c>
      <c r="D184" s="377">
        <v>0.125</v>
      </c>
      <c r="E184" s="377">
        <v>0.127</v>
      </c>
      <c r="F184" s="382"/>
    </row>
    <row r="185" ht="14.25" spans="1:6">
      <c r="A185" s="290" t="s">
        <v>1848</v>
      </c>
      <c r="B185" s="295" t="s">
        <v>1876</v>
      </c>
      <c r="C185" s="377">
        <v>0.127</v>
      </c>
      <c r="D185" s="377">
        <v>0.127</v>
      </c>
      <c r="E185" s="377">
        <v>0.128</v>
      </c>
      <c r="F185" s="378">
        <v>0.13</v>
      </c>
    </row>
    <row r="186" ht="24.75" spans="1:6">
      <c r="A186" s="290" t="s">
        <v>1848</v>
      </c>
      <c r="B186" s="295" t="s">
        <v>1877</v>
      </c>
      <c r="C186" s="383"/>
      <c r="D186" s="383"/>
      <c r="E186" s="383"/>
      <c r="F186" s="378">
        <v>0.05</v>
      </c>
    </row>
    <row r="187" ht="14.25" spans="1:6">
      <c r="A187" s="290" t="s">
        <v>1848</v>
      </c>
      <c r="B187" s="295" t="s">
        <v>1878</v>
      </c>
      <c r="C187" s="383"/>
      <c r="D187" s="383"/>
      <c r="E187" s="383"/>
      <c r="F187" s="378">
        <v>0.05</v>
      </c>
    </row>
    <row r="188" ht="14.25" spans="1:6">
      <c r="A188" s="290" t="s">
        <v>1848</v>
      </c>
      <c r="B188" s="295" t="s">
        <v>1879</v>
      </c>
      <c r="C188" s="383"/>
      <c r="D188" s="383"/>
      <c r="E188" s="383"/>
      <c r="F188" s="378">
        <v>0.05</v>
      </c>
    </row>
    <row r="189" ht="24.75" spans="1:6">
      <c r="A189" s="290" t="s">
        <v>1848</v>
      </c>
      <c r="B189" s="295" t="s">
        <v>1880</v>
      </c>
      <c r="C189" s="383"/>
      <c r="D189" s="383"/>
      <c r="E189" s="383"/>
      <c r="F189" s="378">
        <v>0.05</v>
      </c>
    </row>
    <row r="190" ht="24.75" spans="1:6">
      <c r="A190" s="290" t="s">
        <v>1848</v>
      </c>
      <c r="B190" s="295" t="s">
        <v>1881</v>
      </c>
      <c r="C190" s="383"/>
      <c r="D190" s="383"/>
      <c r="E190" s="383"/>
      <c r="F190" s="378">
        <v>0.05</v>
      </c>
    </row>
    <row r="191" ht="24.75" spans="1:6">
      <c r="A191" s="290" t="s">
        <v>1848</v>
      </c>
      <c r="B191" s="295" t="s">
        <v>1882</v>
      </c>
      <c r="C191" s="383"/>
      <c r="D191" s="383"/>
      <c r="E191" s="383"/>
      <c r="F191" s="378">
        <v>0.05</v>
      </c>
    </row>
    <row r="192" ht="24.75" spans="1:6">
      <c r="A192" s="290" t="s">
        <v>1848</v>
      </c>
      <c r="B192" s="295" t="s">
        <v>1883</v>
      </c>
      <c r="C192" s="383"/>
      <c r="D192" s="383"/>
      <c r="E192" s="383"/>
      <c r="F192" s="378">
        <v>0.05</v>
      </c>
    </row>
    <row r="193" ht="24.75" spans="1:6">
      <c r="A193" s="290" t="s">
        <v>1848</v>
      </c>
      <c r="B193" s="295" t="s">
        <v>1884</v>
      </c>
      <c r="C193" s="383"/>
      <c r="D193" s="383"/>
      <c r="E193" s="383"/>
      <c r="F193" s="378">
        <v>0.05</v>
      </c>
    </row>
    <row r="194" ht="24.75" spans="1:6">
      <c r="A194" s="290" t="s">
        <v>1848</v>
      </c>
      <c r="B194" s="295" t="s">
        <v>1885</v>
      </c>
      <c r="C194" s="383"/>
      <c r="D194" s="383"/>
      <c r="E194" s="383"/>
      <c r="F194" s="378">
        <v>0.05</v>
      </c>
    </row>
    <row r="195" ht="14.25" spans="1:6">
      <c r="A195" s="290" t="s">
        <v>1848</v>
      </c>
      <c r="B195" s="295" t="s">
        <v>1886</v>
      </c>
      <c r="C195" s="383"/>
      <c r="D195" s="383"/>
      <c r="E195" s="383"/>
      <c r="F195" s="378">
        <v>0.05</v>
      </c>
    </row>
    <row r="196" ht="24.75" spans="1:6">
      <c r="A196" s="290" t="s">
        <v>1848</v>
      </c>
      <c r="B196" s="295" t="s">
        <v>1887</v>
      </c>
      <c r="C196" s="383"/>
      <c r="D196" s="383"/>
      <c r="E196" s="383"/>
      <c r="F196" s="378">
        <v>0.05</v>
      </c>
    </row>
    <row r="197" ht="24.75" spans="1:6">
      <c r="A197" s="290" t="s">
        <v>1848</v>
      </c>
      <c r="B197" s="295" t="s">
        <v>1888</v>
      </c>
      <c r="C197" s="383"/>
      <c r="D197" s="383"/>
      <c r="E197" s="383"/>
      <c r="F197" s="378">
        <v>0.05</v>
      </c>
    </row>
    <row r="198" ht="24.75" spans="1:6">
      <c r="A198" s="290" t="s">
        <v>1848</v>
      </c>
      <c r="B198" s="295" t="s">
        <v>1889</v>
      </c>
      <c r="C198" s="383"/>
      <c r="D198" s="383"/>
      <c r="E198" s="383"/>
      <c r="F198" s="378">
        <v>0.05</v>
      </c>
    </row>
    <row r="199" ht="24.75" spans="1:6">
      <c r="A199" s="290" t="s">
        <v>1848</v>
      </c>
      <c r="B199" s="295" t="s">
        <v>1890</v>
      </c>
      <c r="C199" s="383"/>
      <c r="D199" s="383"/>
      <c r="E199" s="383"/>
      <c r="F199" s="378">
        <v>0.05</v>
      </c>
    </row>
    <row r="200" ht="24.75" spans="1:6">
      <c r="A200" s="290" t="s">
        <v>1848</v>
      </c>
      <c r="B200" s="295" t="s">
        <v>1891</v>
      </c>
      <c r="C200" s="383"/>
      <c r="D200" s="383"/>
      <c r="E200" s="383"/>
      <c r="F200" s="378">
        <v>0.05</v>
      </c>
    </row>
    <row r="201" ht="24.75" spans="1:6">
      <c r="A201" s="290" t="s">
        <v>1848</v>
      </c>
      <c r="B201" s="295" t="s">
        <v>1892</v>
      </c>
      <c r="C201" s="383"/>
      <c r="D201" s="383"/>
      <c r="E201" s="383"/>
      <c r="F201" s="378">
        <v>0.05</v>
      </c>
    </row>
    <row r="202" ht="24.75" spans="1:6">
      <c r="A202" s="290" t="s">
        <v>1848</v>
      </c>
      <c r="B202" s="295" t="s">
        <v>1893</v>
      </c>
      <c r="C202" s="383"/>
      <c r="D202" s="383"/>
      <c r="E202" s="383"/>
      <c r="F202" s="378">
        <v>0.05</v>
      </c>
    </row>
    <row r="203" ht="24.75" spans="1:6">
      <c r="A203" s="290" t="s">
        <v>1848</v>
      </c>
      <c r="B203" s="295" t="s">
        <v>1894</v>
      </c>
      <c r="C203" s="383"/>
      <c r="D203" s="383"/>
      <c r="E203" s="383"/>
      <c r="F203" s="378">
        <v>0.05</v>
      </c>
    </row>
    <row r="204" ht="14.25" spans="1:6">
      <c r="A204" s="290" t="s">
        <v>1848</v>
      </c>
      <c r="B204" s="295" t="s">
        <v>1895</v>
      </c>
      <c r="C204" s="383"/>
      <c r="D204" s="383"/>
      <c r="E204" s="383"/>
      <c r="F204" s="378">
        <v>0.05</v>
      </c>
    </row>
    <row r="205" ht="14.25" spans="1:6">
      <c r="A205" s="308" t="s">
        <v>1848</v>
      </c>
      <c r="B205" s="301" t="s">
        <v>1896</v>
      </c>
      <c r="C205" s="380"/>
      <c r="D205" s="380"/>
      <c r="E205" s="380"/>
      <c r="F205" s="384">
        <v>0.05</v>
      </c>
    </row>
    <row r="206" ht="14.25" spans="1:6">
      <c r="A206" s="290" t="s">
        <v>1897</v>
      </c>
      <c r="B206" s="291" t="s">
        <v>1898</v>
      </c>
      <c r="C206" s="375">
        <v>0.15</v>
      </c>
      <c r="D206" s="375">
        <v>0.15</v>
      </c>
      <c r="E206" s="375">
        <v>0.15</v>
      </c>
      <c r="F206" s="376">
        <v>0.15</v>
      </c>
    </row>
    <row r="207" ht="14.25" spans="1:6">
      <c r="A207" s="290" t="s">
        <v>1897</v>
      </c>
      <c r="B207" s="295" t="s">
        <v>1899</v>
      </c>
      <c r="C207" s="377">
        <v>0.15</v>
      </c>
      <c r="D207" s="377">
        <v>0.15</v>
      </c>
      <c r="E207" s="377">
        <v>0.15</v>
      </c>
      <c r="F207" s="378">
        <v>0.144</v>
      </c>
    </row>
    <row r="208" ht="14.25" spans="1:6">
      <c r="A208" s="290" t="s">
        <v>1897</v>
      </c>
      <c r="B208" s="295" t="s">
        <v>1900</v>
      </c>
      <c r="C208" s="377">
        <v>0.15</v>
      </c>
      <c r="D208" s="377">
        <v>0.15</v>
      </c>
      <c r="E208" s="377">
        <v>0.15</v>
      </c>
      <c r="F208" s="378">
        <v>0.15</v>
      </c>
    </row>
    <row r="209" ht="14.25" spans="1:6">
      <c r="A209" s="290" t="s">
        <v>1897</v>
      </c>
      <c r="B209" s="295" t="s">
        <v>1901</v>
      </c>
      <c r="C209" s="377">
        <v>0.137</v>
      </c>
      <c r="D209" s="377">
        <v>0.137</v>
      </c>
      <c r="E209" s="377">
        <v>0.14</v>
      </c>
      <c r="F209" s="378">
        <v>0.117</v>
      </c>
    </row>
    <row r="210" ht="14.25" spans="1:6">
      <c r="A210" s="290" t="s">
        <v>1897</v>
      </c>
      <c r="B210" s="295" t="s">
        <v>1902</v>
      </c>
      <c r="C210" s="377">
        <v>0.15</v>
      </c>
      <c r="D210" s="377">
        <v>0.15</v>
      </c>
      <c r="E210" s="377">
        <v>0.15</v>
      </c>
      <c r="F210" s="378">
        <v>0.138</v>
      </c>
    </row>
    <row r="211" ht="14.25" spans="1:6">
      <c r="A211" s="290" t="s">
        <v>1897</v>
      </c>
      <c r="B211" s="295" t="s">
        <v>1903</v>
      </c>
      <c r="C211" s="377">
        <v>0.137</v>
      </c>
      <c r="D211" s="377">
        <v>0.135</v>
      </c>
      <c r="E211" s="377">
        <v>0.136</v>
      </c>
      <c r="F211" s="378">
        <v>0.1</v>
      </c>
    </row>
    <row r="212" ht="14.25" spans="1:6">
      <c r="A212" s="290" t="s">
        <v>1897</v>
      </c>
      <c r="B212" s="295" t="s">
        <v>1904</v>
      </c>
      <c r="C212" s="377">
        <v>0.15</v>
      </c>
      <c r="D212" s="377">
        <v>0.15</v>
      </c>
      <c r="E212" s="377">
        <v>0.148</v>
      </c>
      <c r="F212" s="378">
        <v>0.136</v>
      </c>
    </row>
    <row r="213" ht="14.25" spans="1:6">
      <c r="A213" s="290" t="s">
        <v>1897</v>
      </c>
      <c r="B213" s="295" t="s">
        <v>1905</v>
      </c>
      <c r="C213" s="377">
        <v>0.15</v>
      </c>
      <c r="D213" s="377">
        <v>0.15</v>
      </c>
      <c r="E213" s="377">
        <v>0.15</v>
      </c>
      <c r="F213" s="378">
        <v>0.138</v>
      </c>
    </row>
    <row r="214" ht="14.25" spans="1:6">
      <c r="A214" s="290" t="s">
        <v>1897</v>
      </c>
      <c r="B214" s="295" t="s">
        <v>1906</v>
      </c>
      <c r="C214" s="377">
        <v>0.091</v>
      </c>
      <c r="D214" s="377">
        <v>0.09</v>
      </c>
      <c r="E214" s="377">
        <v>0.092</v>
      </c>
      <c r="F214" s="382"/>
    </row>
    <row r="215" ht="14.25" spans="1:6">
      <c r="A215" s="290" t="s">
        <v>1897</v>
      </c>
      <c r="B215" s="295" t="s">
        <v>1907</v>
      </c>
      <c r="C215" s="377">
        <v>0.15</v>
      </c>
      <c r="D215" s="377">
        <v>0.15</v>
      </c>
      <c r="E215" s="377">
        <v>0.15</v>
      </c>
      <c r="F215" s="378">
        <v>0.15</v>
      </c>
    </row>
    <row r="216" ht="14.25" spans="1:6">
      <c r="A216" s="290" t="s">
        <v>1897</v>
      </c>
      <c r="B216" s="295" t="s">
        <v>1908</v>
      </c>
      <c r="C216" s="377">
        <v>0.147</v>
      </c>
      <c r="D216" s="377">
        <v>0.147</v>
      </c>
      <c r="E216" s="377">
        <v>0.15</v>
      </c>
      <c r="F216" s="378">
        <v>0.14</v>
      </c>
    </row>
    <row r="217" ht="14.25" spans="1:6">
      <c r="A217" s="290" t="s">
        <v>1897</v>
      </c>
      <c r="B217" s="295" t="s">
        <v>1909</v>
      </c>
      <c r="C217" s="377">
        <v>0.15</v>
      </c>
      <c r="D217" s="377">
        <v>0.15</v>
      </c>
      <c r="E217" s="377">
        <v>0.15</v>
      </c>
      <c r="F217" s="378">
        <v>0.15</v>
      </c>
    </row>
    <row r="218" ht="14.25" spans="1:6">
      <c r="A218" s="290" t="s">
        <v>1897</v>
      </c>
      <c r="B218" s="295" t="s">
        <v>1910</v>
      </c>
      <c r="C218" s="377">
        <v>0.15</v>
      </c>
      <c r="D218" s="377">
        <v>0.15</v>
      </c>
      <c r="E218" s="377">
        <v>0.15</v>
      </c>
      <c r="F218" s="378">
        <v>0.15</v>
      </c>
    </row>
    <row r="219" ht="14.25" spans="1:6">
      <c r="A219" s="290" t="s">
        <v>1897</v>
      </c>
      <c r="B219" s="295" t="s">
        <v>1911</v>
      </c>
      <c r="C219" s="377">
        <v>0.15</v>
      </c>
      <c r="D219" s="377">
        <v>0.15</v>
      </c>
      <c r="E219" s="377">
        <v>0.15</v>
      </c>
      <c r="F219" s="378">
        <v>0.148</v>
      </c>
    </row>
    <row r="220" ht="14.25" spans="1:6">
      <c r="A220" s="290" t="s">
        <v>1897</v>
      </c>
      <c r="B220" s="295" t="s">
        <v>1912</v>
      </c>
      <c r="C220" s="377">
        <v>0.15</v>
      </c>
      <c r="D220" s="377">
        <v>0.15</v>
      </c>
      <c r="E220" s="377">
        <v>0.15</v>
      </c>
      <c r="F220" s="378">
        <v>0.15</v>
      </c>
    </row>
    <row r="221" ht="14.25" spans="1:6">
      <c r="A221" s="290" t="s">
        <v>1897</v>
      </c>
      <c r="B221" s="295" t="s">
        <v>1913</v>
      </c>
      <c r="C221" s="377"/>
      <c r="D221" s="383"/>
      <c r="E221" s="383"/>
      <c r="F221" s="378">
        <v>0.148</v>
      </c>
    </row>
    <row r="222" ht="14.25" spans="1:6">
      <c r="A222" s="290" t="s">
        <v>1897</v>
      </c>
      <c r="B222" s="295" t="s">
        <v>1914</v>
      </c>
      <c r="C222" s="377"/>
      <c r="D222" s="383"/>
      <c r="E222" s="383"/>
      <c r="F222" s="378">
        <v>0.1</v>
      </c>
    </row>
    <row r="223" ht="14.25" spans="1:6">
      <c r="A223" s="290" t="s">
        <v>1897</v>
      </c>
      <c r="B223" s="295" t="s">
        <v>1915</v>
      </c>
      <c r="C223" s="377"/>
      <c r="D223" s="383"/>
      <c r="E223" s="383"/>
      <c r="F223" s="378">
        <v>0.15</v>
      </c>
    </row>
    <row r="224" ht="14.25" spans="1:6">
      <c r="A224" s="290" t="s">
        <v>1897</v>
      </c>
      <c r="B224" s="295" t="s">
        <v>1916</v>
      </c>
      <c r="C224" s="377"/>
      <c r="D224" s="383"/>
      <c r="E224" s="383"/>
      <c r="F224" s="378">
        <v>0.15</v>
      </c>
    </row>
    <row r="225" ht="14.25" spans="1:6">
      <c r="A225" s="290" t="s">
        <v>1897</v>
      </c>
      <c r="B225" s="295" t="s">
        <v>1917</v>
      </c>
      <c r="C225" s="377">
        <v>0.15</v>
      </c>
      <c r="D225" s="377">
        <v>0.15</v>
      </c>
      <c r="E225" s="377">
        <v>0.15</v>
      </c>
      <c r="F225" s="378">
        <v>0.15</v>
      </c>
    </row>
    <row r="226" ht="14.25" spans="1:6">
      <c r="A226" s="290" t="s">
        <v>1897</v>
      </c>
      <c r="B226" s="295" t="s">
        <v>1918</v>
      </c>
      <c r="C226" s="377">
        <v>0.15</v>
      </c>
      <c r="D226" s="377">
        <v>0.15</v>
      </c>
      <c r="E226" s="377">
        <v>0.15</v>
      </c>
      <c r="F226" s="378">
        <v>0.148</v>
      </c>
    </row>
    <row r="227" ht="14.25" spans="1:6">
      <c r="A227" s="290" t="s">
        <v>1897</v>
      </c>
      <c r="B227" s="295" t="s">
        <v>1919</v>
      </c>
      <c r="C227" s="377">
        <v>0.15</v>
      </c>
      <c r="D227" s="377">
        <v>0.15</v>
      </c>
      <c r="E227" s="377">
        <v>0.15</v>
      </c>
      <c r="F227" s="378">
        <v>0.15</v>
      </c>
    </row>
    <row r="228" ht="14.25" spans="1:6">
      <c r="A228" s="290" t="s">
        <v>1897</v>
      </c>
      <c r="B228" s="295" t="s">
        <v>1920</v>
      </c>
      <c r="C228" s="377">
        <v>0.15</v>
      </c>
      <c r="D228" s="377">
        <v>0.15</v>
      </c>
      <c r="E228" s="377">
        <v>0.15</v>
      </c>
      <c r="F228" s="378">
        <v>0.15</v>
      </c>
    </row>
    <row r="229" ht="14.25" spans="1:6">
      <c r="A229" s="290" t="s">
        <v>1897</v>
      </c>
      <c r="B229" s="295" t="s">
        <v>1921</v>
      </c>
      <c r="C229" s="377">
        <v>0.15</v>
      </c>
      <c r="D229" s="377">
        <v>0.15</v>
      </c>
      <c r="E229" s="377">
        <v>0.15</v>
      </c>
      <c r="F229" s="382"/>
    </row>
    <row r="230" ht="14.25" spans="1:6">
      <c r="A230" s="290" t="s">
        <v>1897</v>
      </c>
      <c r="B230" s="295" t="s">
        <v>1922</v>
      </c>
      <c r="C230" s="377">
        <v>0.145</v>
      </c>
      <c r="D230" s="377">
        <v>0.145</v>
      </c>
      <c r="E230" s="377">
        <v>0.144</v>
      </c>
      <c r="F230" s="382"/>
    </row>
    <row r="231" ht="14.25" spans="1:6">
      <c r="A231" s="290" t="s">
        <v>1897</v>
      </c>
      <c r="B231" s="295" t="s">
        <v>1923</v>
      </c>
      <c r="C231" s="377">
        <v>0.128</v>
      </c>
      <c r="D231" s="377">
        <v>0.125</v>
      </c>
      <c r="E231" s="377">
        <v>0.132</v>
      </c>
      <c r="F231" s="382"/>
    </row>
    <row r="232" ht="14.25" spans="1:6">
      <c r="A232" s="290" t="s">
        <v>1897</v>
      </c>
      <c r="B232" s="295" t="s">
        <v>1924</v>
      </c>
      <c r="C232" s="377">
        <v>0.145</v>
      </c>
      <c r="D232" s="377">
        <v>0.144</v>
      </c>
      <c r="E232" s="377">
        <v>0.146</v>
      </c>
      <c r="F232" s="378">
        <v>0.138</v>
      </c>
    </row>
    <row r="233" ht="14.25" spans="1:6">
      <c r="A233" s="290" t="s">
        <v>1897</v>
      </c>
      <c r="B233" s="295" t="s">
        <v>1925</v>
      </c>
      <c r="C233" s="377">
        <v>0.145</v>
      </c>
      <c r="D233" s="377">
        <v>0.143</v>
      </c>
      <c r="E233" s="377">
        <v>0.142</v>
      </c>
      <c r="F233" s="382"/>
    </row>
    <row r="234" ht="14.25" spans="1:6">
      <c r="A234" s="290" t="s">
        <v>1897</v>
      </c>
      <c r="B234" s="295" t="s">
        <v>1926</v>
      </c>
      <c r="C234" s="377">
        <v>0.14</v>
      </c>
      <c r="D234" s="377">
        <v>0.14</v>
      </c>
      <c r="E234" s="377">
        <v>0.144</v>
      </c>
      <c r="F234" s="382"/>
    </row>
    <row r="235" ht="14.25" spans="1:6">
      <c r="A235" s="290" t="s">
        <v>1897</v>
      </c>
      <c r="B235" s="295" t="s">
        <v>1927</v>
      </c>
      <c r="C235" s="377">
        <v>0.141</v>
      </c>
      <c r="D235" s="377">
        <v>0.142</v>
      </c>
      <c r="E235" s="377">
        <v>0.145</v>
      </c>
      <c r="F235" s="378">
        <v>0.15</v>
      </c>
    </row>
    <row r="236" ht="14.25" spans="1:6">
      <c r="A236" s="290" t="s">
        <v>1897</v>
      </c>
      <c r="B236" s="295" t="s">
        <v>1928</v>
      </c>
      <c r="C236" s="383"/>
      <c r="D236" s="383"/>
      <c r="E236" s="383"/>
      <c r="F236" s="378">
        <v>0.143</v>
      </c>
    </row>
    <row r="237" ht="24.75" spans="1:6">
      <c r="A237" s="290" t="s">
        <v>1897</v>
      </c>
      <c r="B237" s="295" t="s">
        <v>1929</v>
      </c>
      <c r="C237" s="383"/>
      <c r="D237" s="383"/>
      <c r="E237" s="383"/>
      <c r="F237" s="378">
        <v>0.05</v>
      </c>
    </row>
    <row r="238" ht="24.75" spans="1:6">
      <c r="A238" s="290" t="s">
        <v>1897</v>
      </c>
      <c r="B238" s="295" t="s">
        <v>1930</v>
      </c>
      <c r="C238" s="383"/>
      <c r="D238" s="383"/>
      <c r="E238" s="383"/>
      <c r="F238" s="378">
        <v>0.05</v>
      </c>
    </row>
    <row r="239" ht="24.75" spans="1:6">
      <c r="A239" s="290" t="s">
        <v>1897</v>
      </c>
      <c r="B239" s="295" t="s">
        <v>1931</v>
      </c>
      <c r="C239" s="383"/>
      <c r="D239" s="383"/>
      <c r="E239" s="383"/>
      <c r="F239" s="378">
        <v>0.05</v>
      </c>
    </row>
    <row r="240" ht="24.75" spans="1:6">
      <c r="A240" s="290" t="s">
        <v>1897</v>
      </c>
      <c r="B240" s="295" t="s">
        <v>1932</v>
      </c>
      <c r="C240" s="383"/>
      <c r="D240" s="383"/>
      <c r="E240" s="383"/>
      <c r="F240" s="378">
        <v>0.05</v>
      </c>
    </row>
    <row r="241" ht="24.75" spans="1:6">
      <c r="A241" s="290" t="s">
        <v>1897</v>
      </c>
      <c r="B241" s="295" t="s">
        <v>1933</v>
      </c>
      <c r="C241" s="383"/>
      <c r="D241" s="383"/>
      <c r="E241" s="383"/>
      <c r="F241" s="378">
        <v>0.05</v>
      </c>
    </row>
    <row r="242" ht="24.75" spans="1:6">
      <c r="A242" s="290" t="s">
        <v>1897</v>
      </c>
      <c r="B242" s="295" t="s">
        <v>1934</v>
      </c>
      <c r="C242" s="383"/>
      <c r="D242" s="383"/>
      <c r="E242" s="383"/>
      <c r="F242" s="378">
        <v>0.05</v>
      </c>
    </row>
    <row r="243" ht="24.75" spans="1:6">
      <c r="A243" s="290" t="s">
        <v>1897</v>
      </c>
      <c r="B243" s="295" t="s">
        <v>1935</v>
      </c>
      <c r="C243" s="383"/>
      <c r="D243" s="383"/>
      <c r="E243" s="383"/>
      <c r="F243" s="378">
        <v>0.05</v>
      </c>
    </row>
    <row r="244" ht="24.75" spans="1:6">
      <c r="A244" s="308" t="s">
        <v>1897</v>
      </c>
      <c r="B244" s="301" t="s">
        <v>1936</v>
      </c>
      <c r="C244" s="380"/>
      <c r="D244" s="380"/>
      <c r="E244" s="380"/>
      <c r="F244" s="384">
        <v>0.05</v>
      </c>
    </row>
    <row r="245" ht="14.25" spans="1:6">
      <c r="A245" s="290" t="s">
        <v>1937</v>
      </c>
      <c r="B245" s="291" t="s">
        <v>1938</v>
      </c>
      <c r="C245" s="375">
        <v>0.15</v>
      </c>
      <c r="D245" s="375">
        <v>0.15</v>
      </c>
      <c r="E245" s="375">
        <v>0.15</v>
      </c>
      <c r="F245" s="376">
        <v>0.143</v>
      </c>
    </row>
    <row r="246" ht="14.25" spans="1:6">
      <c r="A246" s="290" t="s">
        <v>1937</v>
      </c>
      <c r="B246" s="295" t="s">
        <v>1939</v>
      </c>
      <c r="C246" s="377">
        <v>0.15</v>
      </c>
      <c r="D246" s="377">
        <v>0.15</v>
      </c>
      <c r="E246" s="377">
        <v>0.15</v>
      </c>
      <c r="F246" s="378">
        <v>0.114</v>
      </c>
    </row>
    <row r="247" ht="14.25" spans="1:6">
      <c r="A247" s="290" t="s">
        <v>1937</v>
      </c>
      <c r="B247" s="295" t="s">
        <v>1940</v>
      </c>
      <c r="C247" s="377">
        <v>0.15</v>
      </c>
      <c r="D247" s="377">
        <v>0.15</v>
      </c>
      <c r="E247" s="377">
        <v>0.15</v>
      </c>
      <c r="F247" s="378">
        <v>0.15</v>
      </c>
    </row>
    <row r="248" ht="14.25" spans="1:6">
      <c r="A248" s="290" t="s">
        <v>1937</v>
      </c>
      <c r="B248" s="295" t="s">
        <v>1941</v>
      </c>
      <c r="C248" s="377">
        <v>0.15</v>
      </c>
      <c r="D248" s="377">
        <v>0.15</v>
      </c>
      <c r="E248" s="377">
        <v>0.15</v>
      </c>
      <c r="F248" s="378">
        <v>0.14</v>
      </c>
    </row>
    <row r="249" ht="14.25" spans="1:6">
      <c r="A249" s="290" t="s">
        <v>1937</v>
      </c>
      <c r="B249" s="295" t="s">
        <v>1942</v>
      </c>
      <c r="C249" s="377">
        <v>0.15</v>
      </c>
      <c r="D249" s="377">
        <v>0.149</v>
      </c>
      <c r="E249" s="377">
        <v>0.15</v>
      </c>
      <c r="F249" s="378">
        <v>0.1</v>
      </c>
    </row>
    <row r="250" ht="14.25" spans="1:6">
      <c r="A250" s="290" t="s">
        <v>1937</v>
      </c>
      <c r="B250" s="295" t="s">
        <v>1943</v>
      </c>
      <c r="C250" s="377">
        <v>0.15</v>
      </c>
      <c r="D250" s="377">
        <v>0.15</v>
      </c>
      <c r="E250" s="377">
        <v>0.15</v>
      </c>
      <c r="F250" s="378">
        <v>0.144</v>
      </c>
    </row>
    <row r="251" ht="14.25" spans="1:6">
      <c r="A251" s="290" t="s">
        <v>1937</v>
      </c>
      <c r="B251" s="295" t="s">
        <v>1944</v>
      </c>
      <c r="C251" s="377">
        <v>0.15</v>
      </c>
      <c r="D251" s="377">
        <v>0.15</v>
      </c>
      <c r="E251" s="377">
        <v>0.15</v>
      </c>
      <c r="F251" s="378">
        <v>0.143</v>
      </c>
    </row>
    <row r="252" ht="14.25" spans="1:6">
      <c r="A252" s="290" t="s">
        <v>1937</v>
      </c>
      <c r="B252" s="295" t="s">
        <v>1945</v>
      </c>
      <c r="C252" s="377">
        <v>0.15</v>
      </c>
      <c r="D252" s="377">
        <v>0.15</v>
      </c>
      <c r="E252" s="377">
        <v>0.15</v>
      </c>
      <c r="F252" s="378">
        <v>0.1</v>
      </c>
    </row>
    <row r="253" ht="14.25" spans="1:6">
      <c r="A253" s="290" t="s">
        <v>1937</v>
      </c>
      <c r="B253" s="295" t="s">
        <v>1946</v>
      </c>
      <c r="C253" s="377">
        <v>0.15</v>
      </c>
      <c r="D253" s="377">
        <v>0.15</v>
      </c>
      <c r="E253" s="377">
        <v>0.15</v>
      </c>
      <c r="F253" s="378">
        <v>0.1</v>
      </c>
    </row>
    <row r="254" ht="14.25" spans="1:6">
      <c r="A254" s="290" t="s">
        <v>1937</v>
      </c>
      <c r="B254" s="295" t="s">
        <v>1947</v>
      </c>
      <c r="C254" s="383"/>
      <c r="D254" s="383"/>
      <c r="E254" s="383"/>
      <c r="F254" s="378">
        <v>0.15</v>
      </c>
    </row>
    <row r="255" ht="14.25" spans="1:6">
      <c r="A255" s="290" t="s">
        <v>1937</v>
      </c>
      <c r="B255" s="295" t="s">
        <v>1948</v>
      </c>
      <c r="C255" s="383"/>
      <c r="D255" s="383"/>
      <c r="E255" s="383"/>
      <c r="F255" s="378">
        <v>0.143</v>
      </c>
    </row>
    <row r="256" ht="14.25" spans="1:6">
      <c r="A256" s="290" t="s">
        <v>1937</v>
      </c>
      <c r="B256" s="295" t="s">
        <v>1949</v>
      </c>
      <c r="C256" s="377">
        <v>0.146</v>
      </c>
      <c r="D256" s="377">
        <v>0.147</v>
      </c>
      <c r="E256" s="377">
        <v>0.15</v>
      </c>
      <c r="F256" s="378">
        <v>0.132</v>
      </c>
    </row>
    <row r="257" ht="14.25" spans="1:6">
      <c r="A257" s="290" t="s">
        <v>1937</v>
      </c>
      <c r="B257" s="295" t="s">
        <v>1950</v>
      </c>
      <c r="C257" s="377">
        <v>0.15</v>
      </c>
      <c r="D257" s="377">
        <v>0.15</v>
      </c>
      <c r="E257" s="377">
        <v>0.15</v>
      </c>
      <c r="F257" s="378">
        <v>0.139</v>
      </c>
    </row>
    <row r="258" ht="14.25" spans="1:6">
      <c r="A258" s="290" t="s">
        <v>1937</v>
      </c>
      <c r="B258" s="295" t="s">
        <v>1951</v>
      </c>
      <c r="C258" s="377">
        <v>0.15</v>
      </c>
      <c r="D258" s="377">
        <v>0.15</v>
      </c>
      <c r="E258" s="377">
        <v>0.15</v>
      </c>
      <c r="F258" s="378">
        <v>0.13</v>
      </c>
    </row>
    <row r="259" ht="14.25" spans="1:6">
      <c r="A259" s="290" t="s">
        <v>1937</v>
      </c>
      <c r="B259" s="295" t="s">
        <v>1952</v>
      </c>
      <c r="C259" s="377">
        <v>0.148</v>
      </c>
      <c r="D259" s="377">
        <v>0.149</v>
      </c>
      <c r="E259" s="377">
        <v>0.15</v>
      </c>
      <c r="F259" s="378">
        <v>0.137</v>
      </c>
    </row>
    <row r="260" ht="14.25" spans="1:6">
      <c r="A260" s="290" t="s">
        <v>1937</v>
      </c>
      <c r="B260" s="295" t="s">
        <v>1953</v>
      </c>
      <c r="C260" s="377">
        <v>0.15</v>
      </c>
      <c r="D260" s="377">
        <v>0.15</v>
      </c>
      <c r="E260" s="377">
        <v>0.15</v>
      </c>
      <c r="F260" s="378">
        <v>0.142</v>
      </c>
    </row>
    <row r="261" ht="14.25" spans="1:6">
      <c r="A261" s="290" t="s">
        <v>1937</v>
      </c>
      <c r="B261" s="295" t="s">
        <v>1954</v>
      </c>
      <c r="C261" s="377">
        <v>0.15</v>
      </c>
      <c r="D261" s="377">
        <v>0.15</v>
      </c>
      <c r="E261" s="377">
        <v>0.149</v>
      </c>
      <c r="F261" s="378">
        <v>0.148</v>
      </c>
    </row>
    <row r="262" ht="14.25" spans="1:6">
      <c r="A262" s="290" t="s">
        <v>1937</v>
      </c>
      <c r="B262" s="295" t="s">
        <v>1955</v>
      </c>
      <c r="C262" s="377">
        <v>0.15</v>
      </c>
      <c r="D262" s="377">
        <v>0.15</v>
      </c>
      <c r="E262" s="377">
        <v>0.15</v>
      </c>
      <c r="F262" s="382"/>
    </row>
    <row r="263" ht="14.25" spans="1:6">
      <c r="A263" s="290" t="s">
        <v>1937</v>
      </c>
      <c r="B263" s="295" t="s">
        <v>1956</v>
      </c>
      <c r="C263" s="377">
        <v>0.149</v>
      </c>
      <c r="D263" s="377">
        <v>0.149</v>
      </c>
      <c r="E263" s="377">
        <v>0.15</v>
      </c>
      <c r="F263" s="378">
        <v>0.13</v>
      </c>
    </row>
    <row r="264" ht="14.25" spans="1:6">
      <c r="A264" s="290" t="s">
        <v>1937</v>
      </c>
      <c r="B264" s="295" t="s">
        <v>1957</v>
      </c>
      <c r="C264" s="377">
        <v>0.148</v>
      </c>
      <c r="D264" s="377">
        <v>0.147</v>
      </c>
      <c r="E264" s="377">
        <v>0.15</v>
      </c>
      <c r="F264" s="378">
        <v>0.078</v>
      </c>
    </row>
    <row r="265" ht="14.25" spans="1:6">
      <c r="A265" s="290" t="s">
        <v>1937</v>
      </c>
      <c r="B265" s="295" t="s">
        <v>1958</v>
      </c>
      <c r="C265" s="377">
        <v>0.15</v>
      </c>
      <c r="D265" s="377">
        <v>0.15</v>
      </c>
      <c r="E265" s="377">
        <v>0.15</v>
      </c>
      <c r="F265" s="378">
        <v>0.074</v>
      </c>
    </row>
    <row r="266" ht="14.25" spans="1:6">
      <c r="A266" s="290" t="s">
        <v>1937</v>
      </c>
      <c r="B266" s="295" t="s">
        <v>1959</v>
      </c>
      <c r="C266" s="377">
        <v>0.147</v>
      </c>
      <c r="D266" s="377">
        <v>0.147</v>
      </c>
      <c r="E266" s="377">
        <v>0.15</v>
      </c>
      <c r="F266" s="378">
        <v>0.143</v>
      </c>
    </row>
    <row r="267" ht="14.25" spans="1:6">
      <c r="A267" s="290" t="s">
        <v>1937</v>
      </c>
      <c r="B267" s="295" t="s">
        <v>1960</v>
      </c>
      <c r="C267" s="377">
        <v>0.142</v>
      </c>
      <c r="D267" s="377">
        <v>0.143</v>
      </c>
      <c r="E267" s="377">
        <v>0.15</v>
      </c>
      <c r="F267" s="382"/>
    </row>
    <row r="268" ht="14.25" spans="1:6">
      <c r="A268" s="290" t="s">
        <v>1937</v>
      </c>
      <c r="B268" s="295" t="s">
        <v>1961</v>
      </c>
      <c r="C268" s="377">
        <v>0.15</v>
      </c>
      <c r="D268" s="377">
        <v>0.15</v>
      </c>
      <c r="E268" s="377">
        <v>0.15</v>
      </c>
      <c r="F268" s="378">
        <v>0.13</v>
      </c>
    </row>
    <row r="269" ht="14.25" spans="1:6">
      <c r="A269" s="290" t="s">
        <v>1937</v>
      </c>
      <c r="B269" s="295" t="s">
        <v>1962</v>
      </c>
      <c r="C269" s="377">
        <v>0.15</v>
      </c>
      <c r="D269" s="377">
        <v>0.15</v>
      </c>
      <c r="E269" s="377">
        <v>0.15</v>
      </c>
      <c r="F269" s="378">
        <v>0.143</v>
      </c>
    </row>
    <row r="270" ht="14.25" spans="1:6">
      <c r="A270" s="290" t="s">
        <v>1937</v>
      </c>
      <c r="B270" s="295" t="s">
        <v>1963</v>
      </c>
      <c r="C270" s="377">
        <v>0.145</v>
      </c>
      <c r="D270" s="377">
        <v>0.145</v>
      </c>
      <c r="E270" s="377">
        <v>0.15</v>
      </c>
      <c r="F270" s="378">
        <v>0.147</v>
      </c>
    </row>
    <row r="271" ht="14.25" spans="1:6">
      <c r="A271" s="290" t="s">
        <v>1937</v>
      </c>
      <c r="B271" s="295" t="s">
        <v>1964</v>
      </c>
      <c r="C271" s="377">
        <v>0.15</v>
      </c>
      <c r="D271" s="377">
        <v>0.15</v>
      </c>
      <c r="E271" s="377">
        <v>0.15</v>
      </c>
      <c r="F271" s="378">
        <v>0.138</v>
      </c>
    </row>
    <row r="272" ht="14.25" spans="1:6">
      <c r="A272" s="290" t="s">
        <v>1937</v>
      </c>
      <c r="B272" s="295" t="s">
        <v>1965</v>
      </c>
      <c r="C272" s="383"/>
      <c r="D272" s="383"/>
      <c r="E272" s="383"/>
      <c r="F272" s="378">
        <v>0.14</v>
      </c>
    </row>
    <row r="273" ht="14.25" spans="1:6">
      <c r="A273" s="290" t="s">
        <v>1937</v>
      </c>
      <c r="B273" s="295" t="s">
        <v>1966</v>
      </c>
      <c r="C273" s="377">
        <v>0.142</v>
      </c>
      <c r="D273" s="377">
        <v>0.143</v>
      </c>
      <c r="E273" s="377">
        <v>0.15</v>
      </c>
      <c r="F273" s="378">
        <v>0.1</v>
      </c>
    </row>
    <row r="274" ht="14.25" spans="1:6">
      <c r="A274" s="290" t="s">
        <v>1937</v>
      </c>
      <c r="B274" s="295" t="s">
        <v>1967</v>
      </c>
      <c r="C274" s="377">
        <v>0.148</v>
      </c>
      <c r="D274" s="377">
        <v>0.148</v>
      </c>
      <c r="E274" s="377">
        <v>0.15</v>
      </c>
      <c r="F274" s="378">
        <v>0.067</v>
      </c>
    </row>
    <row r="275" ht="14.25" spans="1:6">
      <c r="A275" s="290" t="s">
        <v>1937</v>
      </c>
      <c r="B275" s="295" t="s">
        <v>1968</v>
      </c>
      <c r="C275" s="377">
        <v>0.15</v>
      </c>
      <c r="D275" s="377">
        <v>0.15</v>
      </c>
      <c r="E275" s="377">
        <v>0.15</v>
      </c>
      <c r="F275" s="378">
        <v>0.15</v>
      </c>
    </row>
    <row r="276" ht="14.25" spans="1:6">
      <c r="A276" s="290" t="s">
        <v>1937</v>
      </c>
      <c r="B276" s="295" t="s">
        <v>1969</v>
      </c>
      <c r="C276" s="377">
        <v>0.145</v>
      </c>
      <c r="D276" s="377">
        <v>0.143</v>
      </c>
      <c r="E276" s="377">
        <v>0.15</v>
      </c>
      <c r="F276" s="378">
        <v>0.059</v>
      </c>
    </row>
    <row r="277" ht="14.25" spans="1:6">
      <c r="A277" s="290" t="s">
        <v>1937</v>
      </c>
      <c r="B277" s="295" t="s">
        <v>1970</v>
      </c>
      <c r="C277" s="377">
        <v>0.15</v>
      </c>
      <c r="D277" s="377">
        <v>0.15</v>
      </c>
      <c r="E277" s="377">
        <v>0.15</v>
      </c>
      <c r="F277" s="378">
        <v>0.121</v>
      </c>
    </row>
    <row r="278" ht="14.25" spans="1:6">
      <c r="A278" s="290" t="s">
        <v>1937</v>
      </c>
      <c r="B278" s="295" t="s">
        <v>1971</v>
      </c>
      <c r="C278" s="377">
        <v>0.15</v>
      </c>
      <c r="D278" s="377">
        <v>0.15</v>
      </c>
      <c r="E278" s="377">
        <v>0.15</v>
      </c>
      <c r="F278" s="378">
        <v>0.138</v>
      </c>
    </row>
    <row r="279" ht="24.75" spans="1:6">
      <c r="A279" s="290" t="s">
        <v>1937</v>
      </c>
      <c r="B279" s="295" t="s">
        <v>1972</v>
      </c>
      <c r="C279" s="383"/>
      <c r="D279" s="383"/>
      <c r="E279" s="383"/>
      <c r="F279" s="378">
        <v>0.05</v>
      </c>
    </row>
    <row r="280" ht="24.75" spans="1:6">
      <c r="A280" s="290" t="s">
        <v>1937</v>
      </c>
      <c r="B280" s="295" t="s">
        <v>1973</v>
      </c>
      <c r="C280" s="383"/>
      <c r="D280" s="383"/>
      <c r="E280" s="383"/>
      <c r="F280" s="378">
        <v>0.05</v>
      </c>
    </row>
    <row r="281" ht="24.75" spans="1:6">
      <c r="A281" s="290" t="s">
        <v>1937</v>
      </c>
      <c r="B281" s="295" t="s">
        <v>1974</v>
      </c>
      <c r="C281" s="383"/>
      <c r="D281" s="383"/>
      <c r="E281" s="383"/>
      <c r="F281" s="378">
        <v>0.05</v>
      </c>
    </row>
    <row r="282" ht="24.75" spans="1:6">
      <c r="A282" s="290" t="s">
        <v>1937</v>
      </c>
      <c r="B282" s="295" t="s">
        <v>1975</v>
      </c>
      <c r="C282" s="383"/>
      <c r="D282" s="383"/>
      <c r="E282" s="383"/>
      <c r="F282" s="378">
        <v>0.05</v>
      </c>
    </row>
    <row r="283" ht="24.75" spans="1:6">
      <c r="A283" s="290" t="s">
        <v>1937</v>
      </c>
      <c r="B283" s="295" t="s">
        <v>1976</v>
      </c>
      <c r="C283" s="383"/>
      <c r="D283" s="383"/>
      <c r="E283" s="383"/>
      <c r="F283" s="378">
        <v>0.05</v>
      </c>
    </row>
    <row r="284" ht="24.75" spans="1:6">
      <c r="A284" s="290" t="s">
        <v>1937</v>
      </c>
      <c r="B284" s="295" t="s">
        <v>1977</v>
      </c>
      <c r="C284" s="383"/>
      <c r="D284" s="383"/>
      <c r="E284" s="383"/>
      <c r="F284" s="378">
        <v>0.05</v>
      </c>
    </row>
    <row r="285" ht="24.75" spans="1:6">
      <c r="A285" s="290" t="s">
        <v>1937</v>
      </c>
      <c r="B285" s="295" t="s">
        <v>1978</v>
      </c>
      <c r="C285" s="383"/>
      <c r="D285" s="383"/>
      <c r="E285" s="383"/>
      <c r="F285" s="378">
        <v>0.05</v>
      </c>
    </row>
    <row r="286" ht="24.75" spans="1:6">
      <c r="A286" s="290" t="s">
        <v>1937</v>
      </c>
      <c r="B286" s="295" t="s">
        <v>1979</v>
      </c>
      <c r="C286" s="383"/>
      <c r="D286" s="383"/>
      <c r="E286" s="383"/>
      <c r="F286" s="378">
        <v>0.05</v>
      </c>
    </row>
    <row r="287" ht="24.75" spans="1:6">
      <c r="A287" s="290" t="s">
        <v>1937</v>
      </c>
      <c r="B287" s="295" t="s">
        <v>1980</v>
      </c>
      <c r="C287" s="383"/>
      <c r="D287" s="383"/>
      <c r="E287" s="383"/>
      <c r="F287" s="378">
        <v>0.05</v>
      </c>
    </row>
    <row r="288" ht="24.75" spans="1:6">
      <c r="A288" s="290" t="s">
        <v>1937</v>
      </c>
      <c r="B288" s="295" t="s">
        <v>1981</v>
      </c>
      <c r="C288" s="383"/>
      <c r="D288" s="383"/>
      <c r="E288" s="383"/>
      <c r="F288" s="378">
        <v>0.05</v>
      </c>
    </row>
    <row r="289" ht="24.75" spans="1:6">
      <c r="A289" s="308" t="s">
        <v>1937</v>
      </c>
      <c r="B289" s="301" t="s">
        <v>1982</v>
      </c>
      <c r="C289" s="380"/>
      <c r="D289" s="380"/>
      <c r="E289" s="380"/>
      <c r="F289" s="384">
        <v>0.05</v>
      </c>
    </row>
    <row r="290" ht="14.25" spans="1:6">
      <c r="A290" s="290" t="s">
        <v>1983</v>
      </c>
      <c r="B290" s="291" t="s">
        <v>1984</v>
      </c>
      <c r="C290" s="375">
        <v>0.15</v>
      </c>
      <c r="D290" s="375">
        <v>0.15</v>
      </c>
      <c r="E290" s="375">
        <v>0.15</v>
      </c>
      <c r="F290" s="392"/>
    </row>
    <row r="291" ht="14.25" spans="1:6">
      <c r="A291" s="290" t="s">
        <v>1983</v>
      </c>
      <c r="B291" s="295" t="s">
        <v>1985</v>
      </c>
      <c r="C291" s="377">
        <v>0.15</v>
      </c>
      <c r="D291" s="377">
        <v>0.15</v>
      </c>
      <c r="E291" s="377">
        <v>0.15</v>
      </c>
      <c r="F291" s="382"/>
    </row>
    <row r="292" ht="14.25" spans="1:6">
      <c r="A292" s="290" t="s">
        <v>1983</v>
      </c>
      <c r="B292" s="295" t="s">
        <v>1986</v>
      </c>
      <c r="C292" s="377">
        <v>0.15</v>
      </c>
      <c r="D292" s="377">
        <v>0.15</v>
      </c>
      <c r="E292" s="377">
        <v>0.15</v>
      </c>
      <c r="F292" s="378">
        <v>0.147</v>
      </c>
    </row>
    <row r="293" ht="14.25" spans="1:6">
      <c r="A293" s="290" t="s">
        <v>1983</v>
      </c>
      <c r="B293" s="295" t="s">
        <v>1987</v>
      </c>
      <c r="C293" s="383"/>
      <c r="D293" s="383"/>
      <c r="E293" s="383"/>
      <c r="F293" s="378">
        <v>0.1</v>
      </c>
    </row>
    <row r="294" ht="14.25" spans="1:6">
      <c r="A294" s="290" t="s">
        <v>1983</v>
      </c>
      <c r="B294" s="295" t="s">
        <v>1988</v>
      </c>
      <c r="C294" s="377">
        <v>0.15</v>
      </c>
      <c r="D294" s="377">
        <v>0.15</v>
      </c>
      <c r="E294" s="377">
        <v>0.15</v>
      </c>
      <c r="F294" s="378">
        <v>0.15</v>
      </c>
    </row>
    <row r="295" ht="14.25" spans="1:6">
      <c r="A295" s="290" t="s">
        <v>1983</v>
      </c>
      <c r="B295" s="295" t="s">
        <v>1989</v>
      </c>
      <c r="C295" s="377">
        <v>0.15</v>
      </c>
      <c r="D295" s="377">
        <v>0.15</v>
      </c>
      <c r="E295" s="377">
        <v>0.15</v>
      </c>
      <c r="F295" s="378">
        <v>0.15</v>
      </c>
    </row>
    <row r="296" ht="14.25" spans="1:6">
      <c r="A296" s="290" t="s">
        <v>1983</v>
      </c>
      <c r="B296" s="295" t="s">
        <v>1990</v>
      </c>
      <c r="C296" s="377">
        <v>0.15</v>
      </c>
      <c r="D296" s="377">
        <v>0.15</v>
      </c>
      <c r="E296" s="377">
        <v>0.15</v>
      </c>
      <c r="F296" s="378">
        <v>0.15</v>
      </c>
    </row>
    <row r="297" ht="14.25" spans="1:6">
      <c r="A297" s="290" t="s">
        <v>1983</v>
      </c>
      <c r="B297" s="295" t="s">
        <v>1991</v>
      </c>
      <c r="C297" s="377">
        <v>0.148</v>
      </c>
      <c r="D297" s="377">
        <v>0.149</v>
      </c>
      <c r="E297" s="377">
        <v>0.15</v>
      </c>
      <c r="F297" s="378">
        <v>0.137</v>
      </c>
    </row>
    <row r="298" ht="14.25" spans="1:6">
      <c r="A298" s="290" t="s">
        <v>1983</v>
      </c>
      <c r="B298" s="295" t="s">
        <v>1992</v>
      </c>
      <c r="C298" s="377">
        <v>0.134</v>
      </c>
      <c r="D298" s="377">
        <v>0.134</v>
      </c>
      <c r="E298" s="377">
        <v>0.145</v>
      </c>
      <c r="F298" s="378">
        <v>0.148</v>
      </c>
    </row>
    <row r="299" ht="14.25" spans="1:6">
      <c r="A299" s="290" t="s">
        <v>1983</v>
      </c>
      <c r="B299" s="295" t="s">
        <v>1993</v>
      </c>
      <c r="C299" s="377">
        <v>0.15</v>
      </c>
      <c r="D299" s="377">
        <v>0.15</v>
      </c>
      <c r="E299" s="377">
        <v>0.15</v>
      </c>
      <c r="F299" s="382"/>
    </row>
    <row r="300" ht="14.25" spans="1:6">
      <c r="A300" s="290" t="s">
        <v>1983</v>
      </c>
      <c r="B300" s="295" t="s">
        <v>1994</v>
      </c>
      <c r="C300" s="377">
        <v>0.15</v>
      </c>
      <c r="D300" s="377">
        <v>0.15</v>
      </c>
      <c r="E300" s="377">
        <v>0.15</v>
      </c>
      <c r="F300" s="378">
        <v>0.15</v>
      </c>
    </row>
    <row r="301" ht="14.25" spans="1:6">
      <c r="A301" s="290" t="s">
        <v>1983</v>
      </c>
      <c r="B301" s="295" t="s">
        <v>1995</v>
      </c>
      <c r="C301" s="377">
        <v>0.15</v>
      </c>
      <c r="D301" s="377">
        <v>0.15</v>
      </c>
      <c r="E301" s="377">
        <v>0.15</v>
      </c>
      <c r="F301" s="382"/>
    </row>
    <row r="302" ht="14.25" spans="1:6">
      <c r="A302" s="290" t="s">
        <v>1983</v>
      </c>
      <c r="B302" s="295" t="s">
        <v>1996</v>
      </c>
      <c r="C302" s="377">
        <v>0.15</v>
      </c>
      <c r="D302" s="377">
        <v>0.15</v>
      </c>
      <c r="E302" s="377">
        <v>0.15</v>
      </c>
      <c r="F302" s="378">
        <v>0.15</v>
      </c>
    </row>
    <row r="303" ht="14.25" spans="1:6">
      <c r="A303" s="290" t="s">
        <v>1983</v>
      </c>
      <c r="B303" s="295" t="s">
        <v>1997</v>
      </c>
      <c r="C303" s="377">
        <v>0.15</v>
      </c>
      <c r="D303" s="377">
        <v>0.15</v>
      </c>
      <c r="E303" s="377">
        <v>0.15</v>
      </c>
      <c r="F303" s="378">
        <v>0.15</v>
      </c>
    </row>
    <row r="304" ht="14.25" spans="1:6">
      <c r="A304" s="290" t="s">
        <v>1983</v>
      </c>
      <c r="B304" s="295" t="s">
        <v>1998</v>
      </c>
      <c r="C304" s="377">
        <v>0.15</v>
      </c>
      <c r="D304" s="377">
        <v>0.15</v>
      </c>
      <c r="E304" s="377">
        <v>0.15</v>
      </c>
      <c r="F304" s="382"/>
    </row>
    <row r="305" ht="14.25" spans="1:6">
      <c r="A305" s="290" t="s">
        <v>1983</v>
      </c>
      <c r="B305" s="295" t="s">
        <v>1999</v>
      </c>
      <c r="C305" s="377">
        <v>0.15</v>
      </c>
      <c r="D305" s="377">
        <v>0.15</v>
      </c>
      <c r="E305" s="377">
        <v>0.15</v>
      </c>
      <c r="F305" s="378">
        <v>0.14</v>
      </c>
    </row>
    <row r="306" ht="14.25" spans="1:6">
      <c r="A306" s="290" t="s">
        <v>1983</v>
      </c>
      <c r="B306" s="295" t="s">
        <v>2000</v>
      </c>
      <c r="C306" s="377">
        <v>0.15</v>
      </c>
      <c r="D306" s="377">
        <v>0.15</v>
      </c>
      <c r="E306" s="377">
        <v>0.15</v>
      </c>
      <c r="F306" s="382"/>
    </row>
    <row r="307" ht="14.25" spans="1:6">
      <c r="A307" s="290" t="s">
        <v>1983</v>
      </c>
      <c r="B307" s="295" t="s">
        <v>2001</v>
      </c>
      <c r="C307" s="377">
        <v>0.15</v>
      </c>
      <c r="D307" s="377">
        <v>0.15</v>
      </c>
      <c r="E307" s="377">
        <v>0.15</v>
      </c>
      <c r="F307" s="378">
        <v>0.143</v>
      </c>
    </row>
    <row r="308" ht="14.25" spans="1:6">
      <c r="A308" s="290" t="s">
        <v>1983</v>
      </c>
      <c r="B308" s="295" t="s">
        <v>2002</v>
      </c>
      <c r="C308" s="377">
        <v>0.15</v>
      </c>
      <c r="D308" s="377">
        <v>0.15</v>
      </c>
      <c r="E308" s="377">
        <v>0.15</v>
      </c>
      <c r="F308" s="378">
        <v>0.15</v>
      </c>
    </row>
    <row r="309" ht="14.25" spans="1:6">
      <c r="A309" s="290" t="s">
        <v>1983</v>
      </c>
      <c r="B309" s="295" t="s">
        <v>2003</v>
      </c>
      <c r="C309" s="377">
        <v>0.15</v>
      </c>
      <c r="D309" s="377">
        <v>0.15</v>
      </c>
      <c r="E309" s="377">
        <v>0.15</v>
      </c>
      <c r="F309" s="382"/>
    </row>
    <row r="310" ht="14.25" spans="1:6">
      <c r="A310" s="290" t="s">
        <v>1983</v>
      </c>
      <c r="B310" s="295" t="s">
        <v>2004</v>
      </c>
      <c r="C310" s="377">
        <v>0.15</v>
      </c>
      <c r="D310" s="377">
        <v>0.15</v>
      </c>
      <c r="E310" s="377">
        <v>0.15</v>
      </c>
      <c r="F310" s="378">
        <v>0.137</v>
      </c>
    </row>
    <row r="311" ht="14.25" spans="1:6">
      <c r="A311" s="290" t="s">
        <v>1983</v>
      </c>
      <c r="B311" s="295" t="s">
        <v>2005</v>
      </c>
      <c r="C311" s="377">
        <v>0.15</v>
      </c>
      <c r="D311" s="377">
        <v>0.15</v>
      </c>
      <c r="E311" s="377">
        <v>0.15</v>
      </c>
      <c r="F311" s="378">
        <v>0.15</v>
      </c>
    </row>
    <row r="312" ht="14.25" spans="1:6">
      <c r="A312" s="290" t="s">
        <v>1983</v>
      </c>
      <c r="B312" s="295" t="s">
        <v>2006</v>
      </c>
      <c r="C312" s="377">
        <v>0.15</v>
      </c>
      <c r="D312" s="377">
        <v>0.15</v>
      </c>
      <c r="E312" s="377">
        <v>0.15</v>
      </c>
      <c r="F312" s="378">
        <v>0.1</v>
      </c>
    </row>
    <row r="313" ht="14.25" spans="1:6">
      <c r="A313" s="290" t="s">
        <v>1983</v>
      </c>
      <c r="B313" s="295" t="s">
        <v>2007</v>
      </c>
      <c r="C313" s="377">
        <v>0.15</v>
      </c>
      <c r="D313" s="377">
        <v>0.15</v>
      </c>
      <c r="E313" s="377">
        <v>0.15</v>
      </c>
      <c r="F313" s="378">
        <v>0.15</v>
      </c>
    </row>
    <row r="314" ht="24.75" spans="1:6">
      <c r="A314" s="290" t="s">
        <v>1983</v>
      </c>
      <c r="B314" s="295" t="s">
        <v>2008</v>
      </c>
      <c r="C314" s="383"/>
      <c r="D314" s="383"/>
      <c r="E314" s="383"/>
      <c r="F314" s="378">
        <v>0.05</v>
      </c>
    </row>
    <row r="315" ht="24.75" spans="1:6">
      <c r="A315" s="290" t="s">
        <v>1983</v>
      </c>
      <c r="B315" s="295" t="s">
        <v>2009</v>
      </c>
      <c r="C315" s="383"/>
      <c r="D315" s="383"/>
      <c r="E315" s="383"/>
      <c r="F315" s="378">
        <v>0.05</v>
      </c>
    </row>
    <row r="316" ht="24.75" spans="1:6">
      <c r="A316" s="308" t="s">
        <v>1983</v>
      </c>
      <c r="B316" s="301" t="s">
        <v>2010</v>
      </c>
      <c r="C316" s="380"/>
      <c r="D316" s="380"/>
      <c r="E316" s="380"/>
      <c r="F316" s="384">
        <v>0.05</v>
      </c>
    </row>
    <row r="317" ht="14.25" spans="1:6">
      <c r="A317" s="290" t="s">
        <v>2011</v>
      </c>
      <c r="B317" s="291" t="s">
        <v>2012</v>
      </c>
      <c r="C317" s="375">
        <v>0.15</v>
      </c>
      <c r="D317" s="375">
        <v>0.15</v>
      </c>
      <c r="E317" s="375">
        <v>0.15</v>
      </c>
      <c r="F317" s="376">
        <v>0.15</v>
      </c>
    </row>
    <row r="318" ht="14.25" spans="1:6">
      <c r="A318" s="290" t="s">
        <v>2011</v>
      </c>
      <c r="B318" s="295" t="s">
        <v>2013</v>
      </c>
      <c r="C318" s="377">
        <v>0.107</v>
      </c>
      <c r="D318" s="377">
        <v>0.11</v>
      </c>
      <c r="E318" s="377">
        <v>0.112</v>
      </c>
      <c r="F318" s="382"/>
    </row>
    <row r="319" ht="14.25" spans="1:6">
      <c r="A319" s="290" t="s">
        <v>2011</v>
      </c>
      <c r="B319" s="295" t="s">
        <v>2014</v>
      </c>
      <c r="C319" s="377">
        <v>0.15</v>
      </c>
      <c r="D319" s="377">
        <v>0.15</v>
      </c>
      <c r="E319" s="377">
        <v>0.15</v>
      </c>
      <c r="F319" s="378">
        <v>0.15</v>
      </c>
    </row>
    <row r="320" ht="14.25" spans="1:6">
      <c r="A320" s="290" t="s">
        <v>2011</v>
      </c>
      <c r="B320" s="295" t="s">
        <v>2015</v>
      </c>
      <c r="C320" s="377">
        <v>0.15</v>
      </c>
      <c r="D320" s="377">
        <v>0.15</v>
      </c>
      <c r="E320" s="377">
        <v>0.15</v>
      </c>
      <c r="F320" s="382"/>
    </row>
    <row r="321" ht="14.25" spans="1:6">
      <c r="A321" s="290" t="s">
        <v>2011</v>
      </c>
      <c r="B321" s="295" t="s">
        <v>2016</v>
      </c>
      <c r="C321" s="377">
        <v>0.15</v>
      </c>
      <c r="D321" s="377">
        <v>0.15</v>
      </c>
      <c r="E321" s="377">
        <v>0.15</v>
      </c>
      <c r="F321" s="382"/>
    </row>
    <row r="322" ht="14.25" spans="1:6">
      <c r="A322" s="290" t="s">
        <v>2011</v>
      </c>
      <c r="B322" s="295" t="s">
        <v>2017</v>
      </c>
      <c r="C322" s="377">
        <v>0.15</v>
      </c>
      <c r="D322" s="377">
        <v>0.15</v>
      </c>
      <c r="E322" s="377">
        <v>0.15</v>
      </c>
      <c r="F322" s="378">
        <v>0.15</v>
      </c>
    </row>
    <row r="323" ht="14.25" spans="1:6">
      <c r="A323" s="290" t="s">
        <v>2011</v>
      </c>
      <c r="B323" s="295" t="s">
        <v>2018</v>
      </c>
      <c r="C323" s="377">
        <v>0.15</v>
      </c>
      <c r="D323" s="377">
        <v>0.15</v>
      </c>
      <c r="E323" s="377">
        <v>0.15</v>
      </c>
      <c r="F323" s="382"/>
    </row>
    <row r="324" ht="14.25" spans="1:6">
      <c r="A324" s="290" t="s">
        <v>2011</v>
      </c>
      <c r="B324" s="295" t="s">
        <v>2019</v>
      </c>
      <c r="C324" s="377">
        <v>0.15</v>
      </c>
      <c r="D324" s="377">
        <v>0.15</v>
      </c>
      <c r="E324" s="377">
        <v>0.15</v>
      </c>
      <c r="F324" s="382"/>
    </row>
    <row r="325" ht="14.25" spans="1:6">
      <c r="A325" s="290" t="s">
        <v>2011</v>
      </c>
      <c r="B325" s="295" t="s">
        <v>2020</v>
      </c>
      <c r="C325" s="377">
        <v>0.15</v>
      </c>
      <c r="D325" s="377">
        <v>0.15</v>
      </c>
      <c r="E325" s="377">
        <v>0.15</v>
      </c>
      <c r="F325" s="378">
        <v>0.147</v>
      </c>
    </row>
    <row r="326" ht="14.25" spans="1:6">
      <c r="A326" s="290" t="s">
        <v>2011</v>
      </c>
      <c r="B326" s="295" t="s">
        <v>2021</v>
      </c>
      <c r="C326" s="377">
        <v>0.15</v>
      </c>
      <c r="D326" s="377">
        <v>0.15</v>
      </c>
      <c r="E326" s="377">
        <v>0.15</v>
      </c>
      <c r="F326" s="382"/>
    </row>
    <row r="327" ht="14.25" spans="1:6">
      <c r="A327" s="290" t="s">
        <v>2011</v>
      </c>
      <c r="B327" s="295" t="s">
        <v>2022</v>
      </c>
      <c r="C327" s="377">
        <v>0.15</v>
      </c>
      <c r="D327" s="377">
        <v>0.15</v>
      </c>
      <c r="E327" s="377">
        <v>0.15</v>
      </c>
      <c r="F327" s="378">
        <v>0.15</v>
      </c>
    </row>
    <row r="328" ht="14.25" spans="1:6">
      <c r="A328" s="290" t="s">
        <v>2011</v>
      </c>
      <c r="B328" s="295" t="s">
        <v>2023</v>
      </c>
      <c r="C328" s="377">
        <v>0.15</v>
      </c>
      <c r="D328" s="377">
        <v>0.15</v>
      </c>
      <c r="E328" s="377">
        <v>0.15</v>
      </c>
      <c r="F328" s="378">
        <v>0.141</v>
      </c>
    </row>
    <row r="329" ht="14.25" spans="1:6">
      <c r="A329" s="290" t="s">
        <v>2011</v>
      </c>
      <c r="B329" s="295" t="s">
        <v>2024</v>
      </c>
      <c r="C329" s="377">
        <v>0.15</v>
      </c>
      <c r="D329" s="377">
        <v>0.15</v>
      </c>
      <c r="E329" s="377">
        <v>0.15</v>
      </c>
      <c r="F329" s="378">
        <v>0.15</v>
      </c>
    </row>
    <row r="330" ht="14.25" spans="1:6">
      <c r="A330" s="290" t="s">
        <v>2011</v>
      </c>
      <c r="B330" s="295" t="s">
        <v>2025</v>
      </c>
      <c r="C330" s="377">
        <v>0.15</v>
      </c>
      <c r="D330" s="377">
        <v>0.15</v>
      </c>
      <c r="E330" s="377">
        <v>0.15</v>
      </c>
      <c r="F330" s="382"/>
    </row>
    <row r="331" ht="14.25" spans="1:6">
      <c r="A331" s="290" t="s">
        <v>2011</v>
      </c>
      <c r="B331" s="295" t="s">
        <v>2026</v>
      </c>
      <c r="C331" s="377">
        <v>0.15</v>
      </c>
      <c r="D331" s="377">
        <v>0.15</v>
      </c>
      <c r="E331" s="377">
        <v>0.15</v>
      </c>
      <c r="F331" s="378">
        <v>0.15</v>
      </c>
    </row>
    <row r="332" ht="14.25" spans="1:6">
      <c r="A332" s="290" t="s">
        <v>2011</v>
      </c>
      <c r="B332" s="295" t="s">
        <v>2027</v>
      </c>
      <c r="C332" s="377">
        <v>0.15</v>
      </c>
      <c r="D332" s="377">
        <v>0.15</v>
      </c>
      <c r="E332" s="377">
        <v>0.15</v>
      </c>
      <c r="F332" s="378">
        <v>0.15</v>
      </c>
    </row>
    <row r="333" ht="14.25" spans="1:6">
      <c r="A333" s="290" t="s">
        <v>2011</v>
      </c>
      <c r="B333" s="295" t="s">
        <v>2028</v>
      </c>
      <c r="C333" s="377">
        <v>0.15</v>
      </c>
      <c r="D333" s="377">
        <v>0.15</v>
      </c>
      <c r="E333" s="377">
        <v>0.15</v>
      </c>
      <c r="F333" s="378">
        <v>0.141</v>
      </c>
    </row>
    <row r="334" ht="14.25" spans="1:6">
      <c r="A334" s="290" t="s">
        <v>2011</v>
      </c>
      <c r="B334" s="295" t="s">
        <v>2029</v>
      </c>
      <c r="C334" s="377">
        <v>0.15</v>
      </c>
      <c r="D334" s="377">
        <v>0.15</v>
      </c>
      <c r="E334" s="377">
        <v>0.15</v>
      </c>
      <c r="F334" s="378">
        <v>0.15</v>
      </c>
    </row>
    <row r="335" ht="14.25" spans="1:6">
      <c r="A335" s="290" t="s">
        <v>2011</v>
      </c>
      <c r="B335" s="295" t="s">
        <v>2030</v>
      </c>
      <c r="C335" s="377">
        <v>0.15</v>
      </c>
      <c r="D335" s="377">
        <v>0.15</v>
      </c>
      <c r="E335" s="377">
        <v>0.15</v>
      </c>
      <c r="F335" s="382"/>
    </row>
    <row r="336" ht="14.25" spans="1:6">
      <c r="A336" s="290" t="s">
        <v>2011</v>
      </c>
      <c r="B336" s="295" t="s">
        <v>2031</v>
      </c>
      <c r="C336" s="377">
        <v>0.15</v>
      </c>
      <c r="D336" s="377">
        <v>0.15</v>
      </c>
      <c r="E336" s="377">
        <v>0.15</v>
      </c>
      <c r="F336" s="378">
        <v>0.118</v>
      </c>
    </row>
    <row r="337" ht="14.25" spans="1:6">
      <c r="A337" s="308" t="s">
        <v>2011</v>
      </c>
      <c r="B337" s="301" t="s">
        <v>2032</v>
      </c>
      <c r="C337" s="380"/>
      <c r="D337" s="380"/>
      <c r="E337" s="380"/>
      <c r="F337" s="384">
        <v>0.143</v>
      </c>
    </row>
    <row r="338" ht="14.25" spans="1:6">
      <c r="A338" s="290" t="s">
        <v>2033</v>
      </c>
      <c r="B338" s="291" t="s">
        <v>2034</v>
      </c>
      <c r="C338" s="375">
        <v>0.15</v>
      </c>
      <c r="D338" s="375">
        <v>0.15</v>
      </c>
      <c r="E338" s="375">
        <v>0.15</v>
      </c>
      <c r="F338" s="392"/>
    </row>
    <row r="339" ht="14.25" spans="1:6">
      <c r="A339" s="290" t="s">
        <v>2033</v>
      </c>
      <c r="B339" s="295" t="s">
        <v>2035</v>
      </c>
      <c r="C339" s="377">
        <v>0.15</v>
      </c>
      <c r="D339" s="377">
        <v>0.15</v>
      </c>
      <c r="E339" s="377">
        <v>0.15</v>
      </c>
      <c r="F339" s="382"/>
    </row>
    <row r="340" ht="14.25" spans="1:6">
      <c r="A340" s="290" t="s">
        <v>2033</v>
      </c>
      <c r="B340" s="295" t="s">
        <v>2036</v>
      </c>
      <c r="C340" s="377">
        <v>0.15</v>
      </c>
      <c r="D340" s="377">
        <v>0.15</v>
      </c>
      <c r="E340" s="377">
        <v>0.15</v>
      </c>
      <c r="F340" s="382"/>
    </row>
    <row r="341" ht="14.25" spans="1:6">
      <c r="A341" s="290" t="s">
        <v>2033</v>
      </c>
      <c r="B341" s="295" t="s">
        <v>2037</v>
      </c>
      <c r="C341" s="377">
        <v>0.15</v>
      </c>
      <c r="D341" s="377">
        <v>0.15</v>
      </c>
      <c r="E341" s="377">
        <v>0.15</v>
      </c>
      <c r="F341" s="378">
        <v>0.15</v>
      </c>
    </row>
    <row r="342" ht="14.25" spans="1:6">
      <c r="A342" s="290" t="s">
        <v>2033</v>
      </c>
      <c r="B342" s="295" t="s">
        <v>2038</v>
      </c>
      <c r="C342" s="377">
        <v>0.15</v>
      </c>
      <c r="D342" s="377">
        <v>0.15</v>
      </c>
      <c r="E342" s="377">
        <v>0.15</v>
      </c>
      <c r="F342" s="378">
        <v>0.15</v>
      </c>
    </row>
    <row r="343" ht="14.25" spans="1:6">
      <c r="A343" s="290" t="s">
        <v>2033</v>
      </c>
      <c r="B343" s="295" t="s">
        <v>2039</v>
      </c>
      <c r="C343" s="377">
        <v>0.15</v>
      </c>
      <c r="D343" s="377">
        <v>0.15</v>
      </c>
      <c r="E343" s="377">
        <v>0.15</v>
      </c>
      <c r="F343" s="378">
        <v>0.15</v>
      </c>
    </row>
    <row r="344" ht="14.25" spans="1:6">
      <c r="A344" s="308" t="s">
        <v>2033</v>
      </c>
      <c r="B344" s="301" t="s">
        <v>2040</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2041</v>
      </c>
      <c r="B1" s="325"/>
      <c r="C1" s="326"/>
      <c r="D1" s="327"/>
      <c r="E1" s="327"/>
      <c r="F1" s="328"/>
      <c r="G1" s="329"/>
      <c r="H1" s="328"/>
      <c r="I1" s="329"/>
      <c r="J1" s="329"/>
      <c r="K1" s="329"/>
      <c r="L1" s="329"/>
      <c r="M1" s="329"/>
      <c r="N1" s="318"/>
      <c r="O1" s="318"/>
      <c r="P1" s="318"/>
      <c r="Q1" s="318"/>
      <c r="R1" s="318"/>
      <c r="S1" s="318"/>
      <c r="T1" s="318"/>
    </row>
    <row r="2" customHeight="1" spans="1:13">
      <c r="A2" s="330" t="s">
        <v>1684</v>
      </c>
      <c r="B2" s="331">
        <f>1+F4</f>
        <v>1.0129</v>
      </c>
      <c r="C2" s="332"/>
      <c r="D2" s="333"/>
      <c r="E2" s="333"/>
      <c r="F2" s="334"/>
      <c r="G2" s="335"/>
      <c r="H2" s="328"/>
      <c r="I2" s="329"/>
      <c r="J2" s="329"/>
      <c r="K2" s="329"/>
      <c r="L2" s="329"/>
      <c r="M2" s="329"/>
    </row>
    <row r="3" ht="13.5" spans="1:13">
      <c r="A3" s="247" t="s">
        <v>2042</v>
      </c>
      <c r="B3" s="248" t="s">
        <v>2043</v>
      </c>
      <c r="C3" s="336" t="s">
        <v>2044</v>
      </c>
      <c r="D3" s="337" t="s">
        <v>2045</v>
      </c>
      <c r="E3" s="337" t="s">
        <v>2046</v>
      </c>
      <c r="F3" s="338" t="s">
        <v>2047</v>
      </c>
      <c r="G3" s="339" t="s">
        <v>2048</v>
      </c>
      <c r="H3" s="337" t="s">
        <v>1394</v>
      </c>
      <c r="I3" s="369" t="s">
        <v>2049</v>
      </c>
      <c r="J3" s="369" t="s">
        <v>2050</v>
      </c>
      <c r="K3" s="369" t="s">
        <v>2051</v>
      </c>
      <c r="L3" s="369" t="s">
        <v>2052</v>
      </c>
      <c r="M3" s="369" t="s">
        <v>2053</v>
      </c>
    </row>
    <row r="4" ht="24" spans="1:13">
      <c r="A4" s="247" t="s">
        <v>2054</v>
      </c>
      <c r="B4" s="340" t="str">
        <f>估价对象房地状况!C4</f>
        <v>估价对象位于XX商圈，周边商业氛围成熟，人流量大，商业繁华度好</v>
      </c>
      <c r="C4" s="341" t="s">
        <v>899</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2055</v>
      </c>
      <c r="B5" s="347" t="str">
        <f>估价对象房地状况!C6</f>
        <v>估价对象周边道路状况、公共交通通达情况、停车便捷程度，综合评价交通便捷度较好</v>
      </c>
      <c r="C5" s="341" t="s">
        <v>2056</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2057</v>
      </c>
      <c r="B6" s="248">
        <f>估价对象房地状况!C19</f>
        <v>0</v>
      </c>
      <c r="C6" s="341" t="s">
        <v>899</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2058</v>
      </c>
      <c r="B7" s="350" t="s">
        <v>2059</v>
      </c>
      <c r="C7" s="341" t="s">
        <v>2060</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2061</v>
      </c>
      <c r="B8" s="248">
        <f>估价对象房地状况!C10</f>
        <v>0</v>
      </c>
      <c r="C8" s="341" t="s">
        <v>899</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2062</v>
      </c>
      <c r="B9" s="351" t="s">
        <v>2063</v>
      </c>
      <c r="C9" s="341" t="s">
        <v>899</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2064</v>
      </c>
      <c r="B10" s="250" t="str">
        <f>估价对象房地状况!C7</f>
        <v>估价对象所在区域公共配套设施齐备情况</v>
      </c>
      <c r="C10" s="341" t="s">
        <v>900</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2065</v>
      </c>
      <c r="B11" s="353"/>
      <c r="C11" s="341" t="s">
        <v>2056</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2066</v>
      </c>
      <c r="B12" s="355" t="str">
        <f>估价对象房地状况!C9</f>
        <v>区域自然环境：；人文环境；综合评价环境状况一般</v>
      </c>
      <c r="C12" s="341" t="s">
        <v>900</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1685</v>
      </c>
      <c r="B13" s="331">
        <f>1+F15</f>
        <v>1.0149</v>
      </c>
      <c r="C13" s="358"/>
      <c r="D13" s="333"/>
      <c r="E13" s="333"/>
      <c r="F13" s="334"/>
      <c r="G13" s="335"/>
      <c r="H13" s="328"/>
      <c r="I13" s="280"/>
      <c r="J13" s="280"/>
      <c r="K13" s="280"/>
      <c r="L13" s="280"/>
      <c r="M13" s="280"/>
    </row>
    <row r="14" customHeight="1" spans="1:13">
      <c r="A14" s="247" t="s">
        <v>2042</v>
      </c>
      <c r="B14" s="248"/>
      <c r="C14" s="336" t="s">
        <v>2044</v>
      </c>
      <c r="D14" s="337" t="s">
        <v>2045</v>
      </c>
      <c r="E14" s="337" t="s">
        <v>2046</v>
      </c>
      <c r="F14" s="338" t="s">
        <v>2047</v>
      </c>
      <c r="G14" s="339" t="s">
        <v>2048</v>
      </c>
      <c r="H14" s="337" t="s">
        <v>1394</v>
      </c>
      <c r="I14" s="369" t="s">
        <v>2049</v>
      </c>
      <c r="J14" s="369" t="s">
        <v>2050</v>
      </c>
      <c r="K14" s="369" t="s">
        <v>2051</v>
      </c>
      <c r="L14" s="369" t="s">
        <v>2052</v>
      </c>
      <c r="M14" s="369" t="s">
        <v>2053</v>
      </c>
    </row>
    <row r="15" ht="24" spans="1:13">
      <c r="A15" s="247" t="s">
        <v>2067</v>
      </c>
      <c r="B15" s="340" t="str">
        <f>估价对象房地状况!C5</f>
        <v>估价对象位于XX商圈，周边办公楼项目较多，入驻率高，办公集聚程度较好</v>
      </c>
      <c r="C15" s="341" t="s">
        <v>899</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2055</v>
      </c>
      <c r="B16" s="248" t="str">
        <f>估价对象房地状况!C6</f>
        <v>估价对象周边道路状况、公共交通通达情况、停车便捷程度，综合评价交通便捷度较好</v>
      </c>
      <c r="C16" s="341" t="s">
        <v>899</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2057</v>
      </c>
      <c r="B17" s="248">
        <f>估价对象房地状况!C19</f>
        <v>0</v>
      </c>
      <c r="C17" s="341" t="s">
        <v>899</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2058</v>
      </c>
      <c r="B18" s="350" t="s">
        <v>2059</v>
      </c>
      <c r="C18" s="341" t="s">
        <v>899</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2061</v>
      </c>
      <c r="B19" s="248">
        <f>估价对象房地状况!C10</f>
        <v>0</v>
      </c>
      <c r="C19" s="341" t="s">
        <v>899</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2062</v>
      </c>
      <c r="B20" s="351" t="s">
        <v>2063</v>
      </c>
      <c r="C20" s="341" t="s">
        <v>899</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2064</v>
      </c>
      <c r="B21" s="250" t="str">
        <f>估价对象房地状况!C7</f>
        <v>估价对象所在区域公共配套设施齐备情况</v>
      </c>
      <c r="C21" s="341" t="s">
        <v>899</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2065</v>
      </c>
      <c r="B22" s="353"/>
      <c r="C22" s="341" t="s">
        <v>899</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2066</v>
      </c>
      <c r="B23" s="359" t="str">
        <f>估价对象房地状况!C9</f>
        <v>区域自然环境：；人文环境；综合评价环境状况一般</v>
      </c>
      <c r="C23" s="341" t="s">
        <v>899</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2042</v>
      </c>
      <c r="B25" s="248"/>
      <c r="C25" s="336" t="s">
        <v>2044</v>
      </c>
      <c r="D25" s="337" t="s">
        <v>2045</v>
      </c>
      <c r="E25" s="337" t="s">
        <v>2046</v>
      </c>
      <c r="F25" s="338" t="s">
        <v>2047</v>
      </c>
      <c r="G25" s="339" t="s">
        <v>2048</v>
      </c>
      <c r="H25" s="337" t="s">
        <v>1394</v>
      </c>
      <c r="I25" s="369" t="s">
        <v>2049</v>
      </c>
      <c r="J25" s="369" t="s">
        <v>2050</v>
      </c>
      <c r="K25" s="369" t="s">
        <v>2051</v>
      </c>
      <c r="L25" s="369" t="s">
        <v>2052</v>
      </c>
      <c r="M25" s="369" t="s">
        <v>2053</v>
      </c>
    </row>
    <row r="26" ht="24" spans="1:13">
      <c r="A26" s="247" t="s">
        <v>897</v>
      </c>
      <c r="B26" s="340" t="str">
        <f>估价对象房地状况!C3</f>
        <v>估价对象周边居住用地比例、居住小区规模和社区发展完善程度，综合评价居住社区成熟度一般</v>
      </c>
      <c r="C26" s="341" t="s">
        <v>899</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2055</v>
      </c>
      <c r="B27" s="248" t="str">
        <f>估价对象房地状况!C6</f>
        <v>估价对象周边道路状况、公共交通通达情况、停车便捷程度，综合评价交通便捷度较好</v>
      </c>
      <c r="C27" s="341" t="s">
        <v>899</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2057</v>
      </c>
      <c r="B28" s="248">
        <f>估价对象房地状况!C19</f>
        <v>0</v>
      </c>
      <c r="C28" s="341" t="s">
        <v>899</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2068</v>
      </c>
      <c r="B29" s="248">
        <f>估价对象房地状况!C10</f>
        <v>0</v>
      </c>
      <c r="C29" s="341" t="s">
        <v>900</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2064</v>
      </c>
      <c r="B30" s="250" t="str">
        <f>估价对象房地状况!C7</f>
        <v>估价对象所在区域公共配套设施齐备情况</v>
      </c>
      <c r="C30" s="341" t="s">
        <v>899</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2065</v>
      </c>
      <c r="B31" s="353"/>
      <c r="C31" s="341" t="s">
        <v>900</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2062</v>
      </c>
      <c r="B32" s="351" t="s">
        <v>2063</v>
      </c>
      <c r="C32" s="341" t="s">
        <v>899</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2066</v>
      </c>
      <c r="B33" s="340" t="str">
        <f>估价对象房地状况!C9</f>
        <v>区域自然环境：；人文环境；综合评价环境状况一般</v>
      </c>
      <c r="C33" s="341" t="s">
        <v>899</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2069</v>
      </c>
      <c r="B34" s="362" t="s">
        <v>2070</v>
      </c>
      <c r="C34" s="341" t="s">
        <v>2056</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1686</v>
      </c>
      <c r="B35" s="331">
        <f>1+F37</f>
        <v>1.0128</v>
      </c>
      <c r="C35" s="358"/>
      <c r="D35" s="333"/>
      <c r="E35" s="333"/>
      <c r="F35" s="334"/>
      <c r="G35" s="335"/>
      <c r="H35" s="328"/>
      <c r="I35" s="280"/>
      <c r="J35" s="280"/>
      <c r="K35" s="280"/>
      <c r="L35" s="280"/>
      <c r="M35" s="280"/>
    </row>
    <row r="36" ht="13.5" spans="1:13">
      <c r="A36" s="247" t="s">
        <v>2042</v>
      </c>
      <c r="B36" s="248"/>
      <c r="C36" s="336" t="s">
        <v>2044</v>
      </c>
      <c r="D36" s="337" t="s">
        <v>2045</v>
      </c>
      <c r="E36" s="337" t="s">
        <v>2046</v>
      </c>
      <c r="F36" s="338" t="s">
        <v>2047</v>
      </c>
      <c r="G36" s="339" t="s">
        <v>2048</v>
      </c>
      <c r="H36" s="337" t="s">
        <v>1394</v>
      </c>
      <c r="I36" s="369" t="s">
        <v>2049</v>
      </c>
      <c r="J36" s="369" t="s">
        <v>2050</v>
      </c>
      <c r="K36" s="369" t="s">
        <v>2051</v>
      </c>
      <c r="L36" s="369" t="s">
        <v>2052</v>
      </c>
      <c r="M36" s="369" t="s">
        <v>2053</v>
      </c>
    </row>
    <row r="37" ht="24" spans="1:13">
      <c r="A37" s="247" t="s">
        <v>2071</v>
      </c>
      <c r="B37" s="248" t="str">
        <f>估价对象房地状况!G3</f>
        <v>估价对象位于XX开发区，园区建设成熟度XX，产业集聚程度XX</v>
      </c>
      <c r="C37" s="341" t="s">
        <v>899</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2055</v>
      </c>
      <c r="B38" s="248" t="str">
        <f>估价对象房地状况!G4</f>
        <v>估价对象周边道路状况、公共交通通达情况、停车便捷程度，综合评价交通便捷度较好</v>
      </c>
      <c r="C38" s="341" t="s">
        <v>899</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2057</v>
      </c>
      <c r="B39" s="248">
        <f>估价对象房地状况!G17</f>
        <v>0</v>
      </c>
      <c r="C39" s="341" t="s">
        <v>899</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2068</v>
      </c>
      <c r="B40" s="248">
        <f>估价对象房地状况!G22</f>
        <v>0</v>
      </c>
      <c r="C40" s="341" t="s">
        <v>899</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2064</v>
      </c>
      <c r="B41" s="250" t="str">
        <f>估价对象房地状况!G19</f>
        <v>估价对象所在区域公共配套设施齐备情况</v>
      </c>
      <c r="C41" s="341" t="s">
        <v>899</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2065</v>
      </c>
      <c r="B42" s="353"/>
      <c r="C42" s="341" t="s">
        <v>899</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2062</v>
      </c>
      <c r="B43" s="351" t="s">
        <v>2063</v>
      </c>
      <c r="C43" s="341" t="s">
        <v>2072</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2073</v>
      </c>
      <c r="B44" s="364" t="str">
        <f>估价对象房地状况!G18</f>
        <v>该园区内是否有污染型企业，绿化情况，卫生条件，整体环境状况判断</v>
      </c>
      <c r="C44" s="341" t="s">
        <v>900</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2074</v>
      </c>
      <c r="B1" s="281"/>
      <c r="C1" s="281"/>
      <c r="D1" s="281"/>
      <c r="E1" s="281"/>
      <c r="F1" s="281"/>
      <c r="H1" s="277"/>
      <c r="I1" s="313" t="s">
        <v>1689</v>
      </c>
      <c r="J1" s="235" t="s">
        <v>1695</v>
      </c>
      <c r="K1" s="235" t="s">
        <v>1715</v>
      </c>
      <c r="L1" s="235" t="s">
        <v>1736</v>
      </c>
      <c r="M1" s="235" t="s">
        <v>1764</v>
      </c>
      <c r="N1" s="235" t="s">
        <v>1799</v>
      </c>
      <c r="O1" s="235" t="s">
        <v>1848</v>
      </c>
      <c r="P1" s="235" t="s">
        <v>1897</v>
      </c>
      <c r="Q1" s="235" t="s">
        <v>1937</v>
      </c>
      <c r="R1" s="235" t="s">
        <v>1983</v>
      </c>
      <c r="S1" s="235" t="s">
        <v>2011</v>
      </c>
      <c r="T1" s="270" t="s">
        <v>2033</v>
      </c>
    </row>
    <row r="2" ht="14.25" spans="1:20">
      <c r="A2" s="282" t="s">
        <v>2075</v>
      </c>
      <c r="B2" s="282"/>
      <c r="C2" s="282"/>
      <c r="D2" s="282"/>
      <c r="E2" s="282"/>
      <c r="F2" s="282"/>
      <c r="I2" s="314" t="s">
        <v>1690</v>
      </c>
      <c r="J2" s="295" t="s">
        <v>1696</v>
      </c>
      <c r="K2" s="295" t="s">
        <v>1716</v>
      </c>
      <c r="L2" s="295" t="s">
        <v>1737</v>
      </c>
      <c r="M2" s="295" t="s">
        <v>1765</v>
      </c>
      <c r="N2" s="295" t="s">
        <v>1800</v>
      </c>
      <c r="O2" s="295" t="s">
        <v>1849</v>
      </c>
      <c r="P2" s="295" t="s">
        <v>1898</v>
      </c>
      <c r="Q2" s="295" t="s">
        <v>1938</v>
      </c>
      <c r="R2" s="295" t="s">
        <v>1984</v>
      </c>
      <c r="S2" s="295" t="s">
        <v>2012</v>
      </c>
      <c r="T2" s="295" t="s">
        <v>2034</v>
      </c>
    </row>
    <row r="3" s="277" customFormat="1" ht="19.5" customHeight="1" spans="1:20">
      <c r="A3" s="283" t="s">
        <v>1687</v>
      </c>
      <c r="B3" s="284"/>
      <c r="C3" s="285" t="s">
        <v>1684</v>
      </c>
      <c r="D3" s="285" t="s">
        <v>1685</v>
      </c>
      <c r="E3" s="285" t="s">
        <v>461</v>
      </c>
      <c r="F3" s="285" t="s">
        <v>1686</v>
      </c>
      <c r="G3" s="286"/>
      <c r="I3" s="314" t="s">
        <v>1691</v>
      </c>
      <c r="J3" s="295" t="s">
        <v>1697</v>
      </c>
      <c r="K3" s="295" t="s">
        <v>1717</v>
      </c>
      <c r="L3" s="295" t="s">
        <v>1738</v>
      </c>
      <c r="M3" s="295" t="s">
        <v>1766</v>
      </c>
      <c r="N3" s="295" t="s">
        <v>1801</v>
      </c>
      <c r="O3" s="295" t="s">
        <v>1850</v>
      </c>
      <c r="P3" s="295" t="s">
        <v>1899</v>
      </c>
      <c r="Q3" s="295" t="s">
        <v>1939</v>
      </c>
      <c r="R3" s="295" t="s">
        <v>1985</v>
      </c>
      <c r="S3" s="295" t="s">
        <v>2013</v>
      </c>
      <c r="T3" s="295" t="s">
        <v>2035</v>
      </c>
    </row>
    <row r="4" s="277" customFormat="1" ht="19.5" customHeight="1" spans="1:20">
      <c r="A4" s="287"/>
      <c r="B4" s="288" t="s">
        <v>1688</v>
      </c>
      <c r="C4" s="288" t="s">
        <v>2076</v>
      </c>
      <c r="D4" s="288" t="s">
        <v>2076</v>
      </c>
      <c r="E4" s="288" t="s">
        <v>2076</v>
      </c>
      <c r="F4" s="289" t="s">
        <v>2076</v>
      </c>
      <c r="G4" s="286"/>
      <c r="I4" s="314" t="s">
        <v>1692</v>
      </c>
      <c r="J4" s="295" t="s">
        <v>1698</v>
      </c>
      <c r="K4" s="295" t="s">
        <v>1718</v>
      </c>
      <c r="L4" s="295" t="s">
        <v>1739</v>
      </c>
      <c r="M4" s="295" t="s">
        <v>1767</v>
      </c>
      <c r="N4" s="295" t="s">
        <v>1802</v>
      </c>
      <c r="O4" s="295" t="s">
        <v>1851</v>
      </c>
      <c r="P4" s="295" t="s">
        <v>1900</v>
      </c>
      <c r="Q4" s="295" t="s">
        <v>1940</v>
      </c>
      <c r="R4" s="295" t="s">
        <v>1986</v>
      </c>
      <c r="S4" s="295" t="s">
        <v>2014</v>
      </c>
      <c r="T4" s="295" t="s">
        <v>2036</v>
      </c>
    </row>
    <row r="5" ht="14.25" customHeight="1" spans="1:20">
      <c r="A5" s="290" t="s">
        <v>1689</v>
      </c>
      <c r="B5" s="291" t="s">
        <v>1690</v>
      </c>
      <c r="C5" s="291">
        <v>29530</v>
      </c>
      <c r="D5" s="291">
        <v>28130</v>
      </c>
      <c r="E5" s="291">
        <v>27930</v>
      </c>
      <c r="F5" s="292">
        <v>11300</v>
      </c>
      <c r="G5" s="293" t="s">
        <v>1689</v>
      </c>
      <c r="H5" s="294">
        <f>SUMPRODUCT((B5:B9=基准地价修正!I2)*(C3:F3=基准地价修正!E2)*(C5:F9))</f>
        <v>0</v>
      </c>
      <c r="I5" s="314" t="s">
        <v>1693</v>
      </c>
      <c r="J5" s="295" t="s">
        <v>1699</v>
      </c>
      <c r="K5" s="295" t="s">
        <v>1719</v>
      </c>
      <c r="L5" s="295" t="s">
        <v>1740</v>
      </c>
      <c r="M5" s="295" t="s">
        <v>1768</v>
      </c>
      <c r="N5" s="295" t="s">
        <v>1803</v>
      </c>
      <c r="O5" s="295" t="s">
        <v>1852</v>
      </c>
      <c r="P5" s="295" t="s">
        <v>1901</v>
      </c>
      <c r="Q5" s="295" t="s">
        <v>1941</v>
      </c>
      <c r="R5" s="295" t="s">
        <v>1988</v>
      </c>
      <c r="S5" s="295" t="s">
        <v>2015</v>
      </c>
      <c r="T5" s="295" t="s">
        <v>2037</v>
      </c>
    </row>
    <row r="6" ht="14.25" customHeight="1" spans="1:20">
      <c r="A6" s="290" t="s">
        <v>1689</v>
      </c>
      <c r="B6" s="295" t="s">
        <v>1691</v>
      </c>
      <c r="C6" s="295">
        <v>30290</v>
      </c>
      <c r="D6" s="295">
        <v>29210</v>
      </c>
      <c r="E6" s="295">
        <v>28860</v>
      </c>
      <c r="F6" s="296">
        <v>12600</v>
      </c>
      <c r="G6" s="297" t="s">
        <v>1695</v>
      </c>
      <c r="H6" s="298">
        <f>SUMPRODUCT((B10:B28=基准地价修正!I2)*(C3:F3=基准地价修正!E2)*(C10:F28))</f>
        <v>0</v>
      </c>
      <c r="I6" s="314" t="s">
        <v>1694</v>
      </c>
      <c r="J6" s="295" t="s">
        <v>1700</v>
      </c>
      <c r="K6" s="295" t="s">
        <v>1720</v>
      </c>
      <c r="L6" s="295" t="s">
        <v>1741</v>
      </c>
      <c r="M6" s="295" t="s">
        <v>1769</v>
      </c>
      <c r="N6" s="295" t="s">
        <v>1804</v>
      </c>
      <c r="O6" s="295" t="s">
        <v>1853</v>
      </c>
      <c r="P6" s="295" t="s">
        <v>1902</v>
      </c>
      <c r="Q6" s="295" t="s">
        <v>1942</v>
      </c>
      <c r="R6" s="295" t="s">
        <v>1989</v>
      </c>
      <c r="S6" s="295" t="s">
        <v>2016</v>
      </c>
      <c r="T6" s="295" t="s">
        <v>2038</v>
      </c>
    </row>
    <row r="7" ht="14.25" customHeight="1" spans="1:20">
      <c r="A7" s="290" t="s">
        <v>1689</v>
      </c>
      <c r="B7" s="299" t="s">
        <v>1692</v>
      </c>
      <c r="C7" s="295">
        <v>29350</v>
      </c>
      <c r="D7" s="295">
        <v>28410</v>
      </c>
      <c r="E7" s="295">
        <v>27990</v>
      </c>
      <c r="F7" s="296">
        <v>12300</v>
      </c>
      <c r="G7" s="297" t="s">
        <v>1715</v>
      </c>
      <c r="H7" s="298">
        <f>SUMPRODUCT((B29:B48=基准地价修正!I2)*(C3:F3=基准地价修正!E2)*(C29:F48))</f>
        <v>0</v>
      </c>
      <c r="J7" s="295" t="s">
        <v>1701</v>
      </c>
      <c r="K7" s="295" t="s">
        <v>1721</v>
      </c>
      <c r="L7" s="295" t="s">
        <v>1742</v>
      </c>
      <c r="M7" s="295" t="s">
        <v>1770</v>
      </c>
      <c r="N7" s="295" t="s">
        <v>1805</v>
      </c>
      <c r="O7" s="295" t="s">
        <v>1854</v>
      </c>
      <c r="P7" s="295" t="s">
        <v>1903</v>
      </c>
      <c r="Q7" s="295" t="s">
        <v>1943</v>
      </c>
      <c r="R7" s="295" t="s">
        <v>1990</v>
      </c>
      <c r="S7" s="295" t="s">
        <v>2017</v>
      </c>
      <c r="T7" s="299" t="s">
        <v>2039</v>
      </c>
    </row>
    <row r="8" ht="14.25" customHeight="1" spans="1:20">
      <c r="A8" s="290" t="s">
        <v>1689</v>
      </c>
      <c r="B8" s="295" t="s">
        <v>1693</v>
      </c>
      <c r="C8" s="295">
        <v>30890</v>
      </c>
      <c r="D8" s="295">
        <v>29780</v>
      </c>
      <c r="E8" s="295">
        <v>29270</v>
      </c>
      <c r="F8" s="296">
        <v>11600</v>
      </c>
      <c r="G8" s="297" t="s">
        <v>1736</v>
      </c>
      <c r="H8" s="298">
        <f>SUMPRODUCT((B49:B75=基准地价修正!I2)*(C3:F3=基准地价修正!E2)*(C49:F75))</f>
        <v>0</v>
      </c>
      <c r="J8" s="295" t="s">
        <v>1702</v>
      </c>
      <c r="K8" s="295" t="s">
        <v>1722</v>
      </c>
      <c r="L8" s="295" t="s">
        <v>1743</v>
      </c>
      <c r="M8" s="295" t="s">
        <v>1771</v>
      </c>
      <c r="N8" s="295" t="s">
        <v>1806</v>
      </c>
      <c r="O8" s="295" t="s">
        <v>1855</v>
      </c>
      <c r="P8" s="295" t="s">
        <v>1904</v>
      </c>
      <c r="Q8" s="295" t="s">
        <v>1944</v>
      </c>
      <c r="R8" s="295" t="s">
        <v>1991</v>
      </c>
      <c r="S8" s="295" t="s">
        <v>2018</v>
      </c>
      <c r="T8" s="295" t="s">
        <v>2040</v>
      </c>
    </row>
    <row r="9" ht="14.25" customHeight="1" spans="1:19">
      <c r="A9" s="290" t="s">
        <v>1689</v>
      </c>
      <c r="B9" s="300" t="s">
        <v>1694</v>
      </c>
      <c r="C9" s="301">
        <v>28140</v>
      </c>
      <c r="D9" s="301"/>
      <c r="E9" s="301"/>
      <c r="F9" s="302"/>
      <c r="G9" s="297" t="s">
        <v>1764</v>
      </c>
      <c r="H9" s="298">
        <f>SUMPRODUCT((B76:B109=基准地价修正!I2)*(C3:F3=基准地价修正!E2)*(C76:F109))</f>
        <v>0</v>
      </c>
      <c r="J9" s="295" t="s">
        <v>1703</v>
      </c>
      <c r="K9" s="295" t="s">
        <v>1723</v>
      </c>
      <c r="L9" s="295" t="s">
        <v>1744</v>
      </c>
      <c r="M9" s="295" t="s">
        <v>1772</v>
      </c>
      <c r="N9" s="295" t="s">
        <v>1807</v>
      </c>
      <c r="O9" s="295" t="s">
        <v>1856</v>
      </c>
      <c r="P9" s="295" t="s">
        <v>1905</v>
      </c>
      <c r="Q9" s="295" t="s">
        <v>1945</v>
      </c>
      <c r="R9" s="295" t="s">
        <v>1992</v>
      </c>
      <c r="S9" s="295" t="s">
        <v>2019</v>
      </c>
    </row>
    <row r="10" ht="14.25" customHeight="1" spans="1:19">
      <c r="A10" s="290" t="s">
        <v>1695</v>
      </c>
      <c r="B10" s="291" t="s">
        <v>1696</v>
      </c>
      <c r="C10" s="291">
        <v>27450</v>
      </c>
      <c r="D10" s="291">
        <v>26180</v>
      </c>
      <c r="E10" s="291">
        <v>25980</v>
      </c>
      <c r="F10" s="292">
        <v>8910</v>
      </c>
      <c r="G10" s="297" t="s">
        <v>1799</v>
      </c>
      <c r="H10" s="298">
        <f>SUMPRODUCT((B110:B157=基准地价修正!I2)*(C3:F3=基准地价修正!E2)*(C110:F157))</f>
        <v>0</v>
      </c>
      <c r="J10" s="295" t="s">
        <v>1704</v>
      </c>
      <c r="K10" s="295" t="s">
        <v>1724</v>
      </c>
      <c r="L10" s="295" t="s">
        <v>1745</v>
      </c>
      <c r="M10" s="295" t="s">
        <v>1773</v>
      </c>
      <c r="N10" s="295" t="s">
        <v>1808</v>
      </c>
      <c r="O10" s="295" t="s">
        <v>1857</v>
      </c>
      <c r="P10" s="295" t="s">
        <v>1906</v>
      </c>
      <c r="Q10" s="295" t="s">
        <v>1946</v>
      </c>
      <c r="R10" s="295" t="s">
        <v>1993</v>
      </c>
      <c r="S10" s="295" t="s">
        <v>2020</v>
      </c>
    </row>
    <row r="11" ht="14.25" customHeight="1" spans="1:19">
      <c r="A11" s="290" t="s">
        <v>1695</v>
      </c>
      <c r="B11" s="299" t="s">
        <v>1697</v>
      </c>
      <c r="C11" s="295">
        <v>22950</v>
      </c>
      <c r="D11" s="295">
        <v>22630</v>
      </c>
      <c r="E11" s="295">
        <v>22030</v>
      </c>
      <c r="F11" s="303">
        <v>8330</v>
      </c>
      <c r="G11" s="297" t="s">
        <v>1848</v>
      </c>
      <c r="H11" s="298">
        <f>SUMPRODUCT((B158:B205=基准地价修正!I2)*(C3:F3=基准地价修正!E2)*(C158:F205))</f>
        <v>0</v>
      </c>
      <c r="J11" s="295" t="s">
        <v>1705</v>
      </c>
      <c r="K11" s="295" t="s">
        <v>1725</v>
      </c>
      <c r="L11" s="295" t="s">
        <v>1746</v>
      </c>
      <c r="M11" s="295" t="s">
        <v>1774</v>
      </c>
      <c r="N11" s="295" t="s">
        <v>1809</v>
      </c>
      <c r="O11" s="295" t="s">
        <v>1858</v>
      </c>
      <c r="P11" s="295" t="s">
        <v>1907</v>
      </c>
      <c r="Q11" s="295" t="s">
        <v>1947</v>
      </c>
      <c r="R11" s="295" t="s">
        <v>1994</v>
      </c>
      <c r="S11" s="295" t="s">
        <v>2021</v>
      </c>
    </row>
    <row r="12" ht="14.25" customHeight="1" spans="1:19">
      <c r="A12" s="290" t="s">
        <v>1695</v>
      </c>
      <c r="B12" s="299" t="s">
        <v>1698</v>
      </c>
      <c r="C12" s="295">
        <v>24940</v>
      </c>
      <c r="D12" s="295">
        <v>23180</v>
      </c>
      <c r="E12" s="295">
        <v>22910</v>
      </c>
      <c r="F12" s="303">
        <v>7180</v>
      </c>
      <c r="G12" s="297" t="s">
        <v>1897</v>
      </c>
      <c r="H12" s="298">
        <f>SUMPRODUCT((B206:B244=基准地价修正!I2)*(C3:F3=基准地价修正!E2)*(C206:F244))</f>
        <v>0</v>
      </c>
      <c r="J12" s="295" t="s">
        <v>1706</v>
      </c>
      <c r="K12" s="295" t="s">
        <v>1726</v>
      </c>
      <c r="L12" s="295" t="s">
        <v>1747</v>
      </c>
      <c r="M12" s="295" t="s">
        <v>1775</v>
      </c>
      <c r="N12" s="295" t="s">
        <v>1810</v>
      </c>
      <c r="O12" s="295" t="s">
        <v>1859</v>
      </c>
      <c r="P12" s="295" t="s">
        <v>1908</v>
      </c>
      <c r="Q12" s="295" t="s">
        <v>1948</v>
      </c>
      <c r="R12" s="295" t="s">
        <v>1995</v>
      </c>
      <c r="S12" s="295" t="s">
        <v>2022</v>
      </c>
    </row>
    <row r="13" ht="14.25" customHeight="1" spans="1:19">
      <c r="A13" s="290" t="s">
        <v>1695</v>
      </c>
      <c r="B13" s="299" t="s">
        <v>1699</v>
      </c>
      <c r="C13" s="295">
        <v>24140</v>
      </c>
      <c r="D13" s="295">
        <v>22270</v>
      </c>
      <c r="E13" s="295">
        <v>21950</v>
      </c>
      <c r="F13" s="303">
        <v>7600</v>
      </c>
      <c r="G13" s="297" t="s">
        <v>1937</v>
      </c>
      <c r="H13" s="298">
        <f>SUMPRODUCT((B245:B289=基准地价修正!I2)*(C3:F3=基准地价修正!E2)*(C245:F289))</f>
        <v>0</v>
      </c>
      <c r="J13" s="295" t="s">
        <v>1707</v>
      </c>
      <c r="K13" s="295" t="s">
        <v>1727</v>
      </c>
      <c r="L13" s="295" t="s">
        <v>1748</v>
      </c>
      <c r="M13" s="295" t="s">
        <v>1776</v>
      </c>
      <c r="N13" s="295" t="s">
        <v>1811</v>
      </c>
      <c r="O13" s="295" t="s">
        <v>1860</v>
      </c>
      <c r="P13" s="295" t="s">
        <v>1909</v>
      </c>
      <c r="Q13" s="295" t="s">
        <v>1949</v>
      </c>
      <c r="R13" s="295" t="s">
        <v>1996</v>
      </c>
      <c r="S13" s="295" t="s">
        <v>2023</v>
      </c>
    </row>
    <row r="14" ht="14.25" customHeight="1" spans="1:19">
      <c r="A14" s="290" t="s">
        <v>1695</v>
      </c>
      <c r="B14" s="299" t="s">
        <v>1700</v>
      </c>
      <c r="C14" s="295">
        <v>25600</v>
      </c>
      <c r="D14" s="295">
        <v>22260</v>
      </c>
      <c r="E14" s="295">
        <v>22110</v>
      </c>
      <c r="F14" s="303">
        <v>7630</v>
      </c>
      <c r="G14" s="297" t="s">
        <v>1983</v>
      </c>
      <c r="H14" s="298">
        <f>SUMPRODUCT((B290:B316=基准地价修正!I2)*(C3:F3=基准地价修正!E2)*(C290:F316))</f>
        <v>0</v>
      </c>
      <c r="J14" s="295" t="s">
        <v>1708</v>
      </c>
      <c r="K14" s="295" t="s">
        <v>1728</v>
      </c>
      <c r="L14" s="295" t="s">
        <v>1749</v>
      </c>
      <c r="M14" s="295" t="s">
        <v>1777</v>
      </c>
      <c r="N14" s="295" t="s">
        <v>1812</v>
      </c>
      <c r="O14" s="295" t="s">
        <v>1861</v>
      </c>
      <c r="P14" s="295" t="s">
        <v>1910</v>
      </c>
      <c r="Q14" s="295" t="s">
        <v>1950</v>
      </c>
      <c r="R14" s="295" t="s">
        <v>1997</v>
      </c>
      <c r="S14" s="295" t="s">
        <v>2024</v>
      </c>
    </row>
    <row r="15" ht="14.25" customHeight="1" spans="1:19">
      <c r="A15" s="290" t="s">
        <v>1695</v>
      </c>
      <c r="B15" s="299" t="s">
        <v>1701</v>
      </c>
      <c r="C15" s="295">
        <v>24760</v>
      </c>
      <c r="D15" s="295">
        <v>24440</v>
      </c>
      <c r="E15" s="295">
        <v>24130</v>
      </c>
      <c r="F15" s="303">
        <v>9480</v>
      </c>
      <c r="G15" s="297" t="s">
        <v>2011</v>
      </c>
      <c r="H15" s="298">
        <f>SUMPRODUCT((B317:B337=基准地价修正!I2)*(C3:F3=基准地价修正!E2)*(C317:F337))</f>
        <v>0</v>
      </c>
      <c r="J15" s="295" t="s">
        <v>1709</v>
      </c>
      <c r="K15" s="295" t="s">
        <v>1729</v>
      </c>
      <c r="L15" s="295" t="s">
        <v>1750</v>
      </c>
      <c r="M15" s="295" t="s">
        <v>1778</v>
      </c>
      <c r="N15" s="295" t="s">
        <v>1813</v>
      </c>
      <c r="O15" s="295" t="s">
        <v>1862</v>
      </c>
      <c r="P15" s="295" t="s">
        <v>1911</v>
      </c>
      <c r="Q15" s="295" t="s">
        <v>1951</v>
      </c>
      <c r="R15" s="295" t="s">
        <v>1998</v>
      </c>
      <c r="S15" s="295" t="s">
        <v>2025</v>
      </c>
    </row>
    <row r="16" ht="14.25" customHeight="1" spans="1:19">
      <c r="A16" s="290" t="s">
        <v>1695</v>
      </c>
      <c r="B16" s="299" t="s">
        <v>1702</v>
      </c>
      <c r="C16" s="295">
        <v>22220</v>
      </c>
      <c r="D16" s="295">
        <v>22310</v>
      </c>
      <c r="E16" s="295">
        <v>22000</v>
      </c>
      <c r="F16" s="303">
        <v>8900</v>
      </c>
      <c r="G16" s="304" t="s">
        <v>2033</v>
      </c>
      <c r="H16" s="305">
        <f>SUMPRODUCT((B338:B344=基准地价修正!I2)*(C3:F3=基准地价修正!E2)*(C338:F344))</f>
        <v>0</v>
      </c>
      <c r="J16" s="295" t="s">
        <v>1710</v>
      </c>
      <c r="K16" s="295" t="s">
        <v>1730</v>
      </c>
      <c r="L16" s="295" t="s">
        <v>1751</v>
      </c>
      <c r="M16" s="295" t="s">
        <v>1779</v>
      </c>
      <c r="N16" s="295" t="s">
        <v>1814</v>
      </c>
      <c r="O16" s="295" t="s">
        <v>1863</v>
      </c>
      <c r="P16" s="295" t="s">
        <v>1912</v>
      </c>
      <c r="Q16" s="295" t="s">
        <v>1952</v>
      </c>
      <c r="R16" s="295" t="s">
        <v>1999</v>
      </c>
      <c r="S16" s="295" t="s">
        <v>2026</v>
      </c>
    </row>
    <row r="17" ht="14.25" customHeight="1" spans="1:19">
      <c r="A17" s="290" t="s">
        <v>1695</v>
      </c>
      <c r="B17" s="299" t="s">
        <v>1703</v>
      </c>
      <c r="C17" s="295">
        <v>24700</v>
      </c>
      <c r="D17" s="295">
        <v>25150</v>
      </c>
      <c r="E17" s="295">
        <v>24700</v>
      </c>
      <c r="F17" s="306"/>
      <c r="H17" s="307"/>
      <c r="J17" s="295" t="s">
        <v>1711</v>
      </c>
      <c r="K17" s="295" t="s">
        <v>1731</v>
      </c>
      <c r="L17" s="295" t="s">
        <v>1752</v>
      </c>
      <c r="M17" s="295" t="s">
        <v>1780</v>
      </c>
      <c r="N17" s="295" t="s">
        <v>1815</v>
      </c>
      <c r="O17" s="295" t="s">
        <v>1864</v>
      </c>
      <c r="P17" s="295" t="s">
        <v>1913</v>
      </c>
      <c r="Q17" s="295" t="s">
        <v>1953</v>
      </c>
      <c r="R17" s="295" t="s">
        <v>2000</v>
      </c>
      <c r="S17" s="295" t="s">
        <v>2027</v>
      </c>
    </row>
    <row r="18" ht="14.25" customHeight="1" spans="1:19">
      <c r="A18" s="290" t="s">
        <v>1695</v>
      </c>
      <c r="B18" s="299" t="s">
        <v>1704</v>
      </c>
      <c r="C18" s="295">
        <v>22350</v>
      </c>
      <c r="D18" s="295">
        <v>24340</v>
      </c>
      <c r="E18" s="295">
        <v>24100</v>
      </c>
      <c r="F18" s="306"/>
      <c r="H18" s="307"/>
      <c r="J18" s="295" t="s">
        <v>1712</v>
      </c>
      <c r="K18" s="295" t="s">
        <v>1732</v>
      </c>
      <c r="L18" s="295" t="s">
        <v>1753</v>
      </c>
      <c r="M18" s="295" t="s">
        <v>1781</v>
      </c>
      <c r="N18" s="295" t="s">
        <v>1816</v>
      </c>
      <c r="O18" s="295" t="s">
        <v>1865</v>
      </c>
      <c r="P18" s="295" t="s">
        <v>1914</v>
      </c>
      <c r="Q18" s="295" t="s">
        <v>1954</v>
      </c>
      <c r="R18" s="295" t="s">
        <v>2001</v>
      </c>
      <c r="S18" s="295" t="s">
        <v>2028</v>
      </c>
    </row>
    <row r="19" ht="14.25" customHeight="1" spans="1:19">
      <c r="A19" s="290" t="s">
        <v>1695</v>
      </c>
      <c r="B19" s="299" t="s">
        <v>1705</v>
      </c>
      <c r="C19" s="295">
        <v>23430</v>
      </c>
      <c r="D19" s="295">
        <v>21580</v>
      </c>
      <c r="E19" s="295">
        <v>21350</v>
      </c>
      <c r="F19" s="306"/>
      <c r="H19" s="307"/>
      <c r="J19" s="295" t="s">
        <v>1713</v>
      </c>
      <c r="K19" s="295" t="s">
        <v>1733</v>
      </c>
      <c r="L19" s="295" t="s">
        <v>1754</v>
      </c>
      <c r="M19" s="295" t="s">
        <v>1782</v>
      </c>
      <c r="N19" s="295" t="s">
        <v>1817</v>
      </c>
      <c r="O19" s="295" t="s">
        <v>1866</v>
      </c>
      <c r="P19" s="295" t="s">
        <v>1915</v>
      </c>
      <c r="Q19" s="295" t="s">
        <v>1955</v>
      </c>
      <c r="R19" s="295" t="s">
        <v>2002</v>
      </c>
      <c r="S19" s="295" t="s">
        <v>2029</v>
      </c>
    </row>
    <row r="20" ht="14.25" customHeight="1" spans="1:19">
      <c r="A20" s="290" t="s">
        <v>1695</v>
      </c>
      <c r="B20" s="299" t="s">
        <v>1706</v>
      </c>
      <c r="C20" s="295">
        <v>27660</v>
      </c>
      <c r="D20" s="295">
        <v>24240</v>
      </c>
      <c r="E20" s="295">
        <v>24020</v>
      </c>
      <c r="F20" s="306"/>
      <c r="J20" s="295" t="s">
        <v>1714</v>
      </c>
      <c r="K20" s="295" t="s">
        <v>1734</v>
      </c>
      <c r="L20" s="295" t="s">
        <v>1755</v>
      </c>
      <c r="M20" s="295" t="s">
        <v>1783</v>
      </c>
      <c r="N20" s="295" t="s">
        <v>1818</v>
      </c>
      <c r="O20" s="295" t="s">
        <v>1867</v>
      </c>
      <c r="P20" s="295" t="s">
        <v>1916</v>
      </c>
      <c r="Q20" s="295" t="s">
        <v>1956</v>
      </c>
      <c r="R20" s="295" t="s">
        <v>2003</v>
      </c>
      <c r="S20" s="295" t="s">
        <v>2030</v>
      </c>
    </row>
    <row r="21" ht="14.25" customHeight="1" spans="1:19">
      <c r="A21" s="290" t="s">
        <v>1695</v>
      </c>
      <c r="B21" s="299" t="s">
        <v>1707</v>
      </c>
      <c r="C21" s="295">
        <v>24720</v>
      </c>
      <c r="D21" s="295">
        <v>21670</v>
      </c>
      <c r="E21" s="295">
        <v>21510</v>
      </c>
      <c r="F21" s="306"/>
      <c r="K21" s="295" t="s">
        <v>1735</v>
      </c>
      <c r="L21" s="295" t="s">
        <v>1756</v>
      </c>
      <c r="M21" s="295" t="s">
        <v>1784</v>
      </c>
      <c r="N21" s="295" t="s">
        <v>1819</v>
      </c>
      <c r="O21" s="295" t="s">
        <v>1868</v>
      </c>
      <c r="P21" s="295" t="s">
        <v>1917</v>
      </c>
      <c r="Q21" s="295" t="s">
        <v>1957</v>
      </c>
      <c r="R21" s="295" t="s">
        <v>2004</v>
      </c>
      <c r="S21" s="295" t="s">
        <v>2031</v>
      </c>
    </row>
    <row r="22" ht="14.25" customHeight="1" spans="1:19">
      <c r="A22" s="290" t="s">
        <v>1695</v>
      </c>
      <c r="B22" s="299" t="s">
        <v>1708</v>
      </c>
      <c r="C22" s="295">
        <v>26530</v>
      </c>
      <c r="D22" s="295">
        <v>22980</v>
      </c>
      <c r="E22" s="295">
        <v>22650</v>
      </c>
      <c r="F22" s="306"/>
      <c r="L22" s="295" t="s">
        <v>1757</v>
      </c>
      <c r="M22" s="295" t="s">
        <v>1785</v>
      </c>
      <c r="N22" s="295" t="s">
        <v>1820</v>
      </c>
      <c r="O22" s="295" t="s">
        <v>1869</v>
      </c>
      <c r="P22" s="295" t="s">
        <v>1918</v>
      </c>
      <c r="Q22" s="295" t="s">
        <v>1958</v>
      </c>
      <c r="R22" s="295" t="s">
        <v>2005</v>
      </c>
      <c r="S22" s="299" t="s">
        <v>2032</v>
      </c>
    </row>
    <row r="23" ht="14.25" customHeight="1" spans="1:18">
      <c r="A23" s="290" t="s">
        <v>1695</v>
      </c>
      <c r="B23" s="299" t="s">
        <v>1709</v>
      </c>
      <c r="C23" s="295">
        <v>24700</v>
      </c>
      <c r="D23" s="295">
        <v>27290</v>
      </c>
      <c r="E23" s="295">
        <v>26710</v>
      </c>
      <c r="F23" s="306"/>
      <c r="L23" s="295" t="s">
        <v>1758</v>
      </c>
      <c r="M23" s="295" t="s">
        <v>1786</v>
      </c>
      <c r="N23" s="295" t="s">
        <v>1821</v>
      </c>
      <c r="O23" s="295" t="s">
        <v>1870</v>
      </c>
      <c r="P23" s="295" t="s">
        <v>1919</v>
      </c>
      <c r="Q23" s="295" t="s">
        <v>1959</v>
      </c>
      <c r="R23" s="295" t="s">
        <v>2006</v>
      </c>
    </row>
    <row r="24" ht="14.25" customHeight="1" spans="1:18">
      <c r="A24" s="290" t="s">
        <v>1695</v>
      </c>
      <c r="B24" s="299" t="s">
        <v>1710</v>
      </c>
      <c r="C24" s="295">
        <v>23070</v>
      </c>
      <c r="D24" s="295">
        <v>24130</v>
      </c>
      <c r="E24" s="295">
        <v>23860</v>
      </c>
      <c r="F24" s="306"/>
      <c r="L24" s="295" t="s">
        <v>1759</v>
      </c>
      <c r="M24" s="295" t="s">
        <v>1787</v>
      </c>
      <c r="N24" s="295" t="s">
        <v>1822</v>
      </c>
      <c r="O24" s="295" t="s">
        <v>1871</v>
      </c>
      <c r="P24" s="295" t="s">
        <v>1920</v>
      </c>
      <c r="Q24" s="295" t="s">
        <v>1960</v>
      </c>
      <c r="R24" s="295" t="s">
        <v>2007</v>
      </c>
    </row>
    <row r="25" ht="14.25" customHeight="1" spans="1:18">
      <c r="A25" s="290" t="s">
        <v>1695</v>
      </c>
      <c r="B25" s="299" t="s">
        <v>1711</v>
      </c>
      <c r="C25" s="295">
        <v>27550</v>
      </c>
      <c r="D25" s="295">
        <v>25850</v>
      </c>
      <c r="E25" s="295">
        <v>25340</v>
      </c>
      <c r="F25" s="306"/>
      <c r="L25" s="295" t="s">
        <v>1760</v>
      </c>
      <c r="M25" s="295" t="s">
        <v>1788</v>
      </c>
      <c r="N25" s="295" t="s">
        <v>1823</v>
      </c>
      <c r="O25" s="295" t="s">
        <v>1872</v>
      </c>
      <c r="P25" s="295" t="s">
        <v>1921</v>
      </c>
      <c r="Q25" s="295" t="s">
        <v>1961</v>
      </c>
      <c r="R25" s="295" t="s">
        <v>2008</v>
      </c>
    </row>
    <row r="26" ht="14.25" customHeight="1" spans="1:18">
      <c r="A26" s="290" t="s">
        <v>1695</v>
      </c>
      <c r="B26" s="299" t="s">
        <v>1712</v>
      </c>
      <c r="C26" s="295"/>
      <c r="D26" s="295">
        <v>23900</v>
      </c>
      <c r="E26" s="295">
        <v>23590</v>
      </c>
      <c r="F26" s="306"/>
      <c r="L26" s="295" t="s">
        <v>1761</v>
      </c>
      <c r="M26" s="295" t="s">
        <v>1789</v>
      </c>
      <c r="N26" s="295" t="s">
        <v>1824</v>
      </c>
      <c r="O26" s="295" t="s">
        <v>1873</v>
      </c>
      <c r="P26" s="295" t="s">
        <v>1922</v>
      </c>
      <c r="Q26" s="295" t="s">
        <v>1962</v>
      </c>
      <c r="R26" s="295" t="s">
        <v>2009</v>
      </c>
    </row>
    <row r="27" ht="14.25" customHeight="1" spans="1:18">
      <c r="A27" s="290" t="s">
        <v>1695</v>
      </c>
      <c r="B27" s="299" t="s">
        <v>1713</v>
      </c>
      <c r="C27" s="295"/>
      <c r="D27" s="295">
        <v>22850</v>
      </c>
      <c r="E27" s="295">
        <v>21920</v>
      </c>
      <c r="F27" s="306"/>
      <c r="L27" s="295" t="s">
        <v>1762</v>
      </c>
      <c r="M27" s="295" t="s">
        <v>1790</v>
      </c>
      <c r="N27" s="295" t="s">
        <v>1825</v>
      </c>
      <c r="O27" s="295" t="s">
        <v>1874</v>
      </c>
      <c r="P27" s="295" t="s">
        <v>1923</v>
      </c>
      <c r="Q27" s="295" t="s">
        <v>1963</v>
      </c>
      <c r="R27" s="295" t="s">
        <v>2010</v>
      </c>
    </row>
    <row r="28" ht="14.25" customHeight="1" spans="1:17">
      <c r="A28" s="308" t="s">
        <v>1695</v>
      </c>
      <c r="B28" s="300" t="s">
        <v>1714</v>
      </c>
      <c r="C28" s="301"/>
      <c r="D28" s="301">
        <v>26610</v>
      </c>
      <c r="E28" s="301">
        <v>26370</v>
      </c>
      <c r="F28" s="302"/>
      <c r="L28" s="295" t="s">
        <v>1763</v>
      </c>
      <c r="M28" s="295" t="s">
        <v>1791</v>
      </c>
      <c r="N28" s="295" t="s">
        <v>1826</v>
      </c>
      <c r="O28" s="295" t="s">
        <v>1875</v>
      </c>
      <c r="P28" s="295" t="s">
        <v>1924</v>
      </c>
      <c r="Q28" s="295" t="s">
        <v>1964</v>
      </c>
    </row>
    <row r="29" ht="14.25" customHeight="1" spans="1:17">
      <c r="A29" s="290" t="s">
        <v>1715</v>
      </c>
      <c r="B29" s="291" t="s">
        <v>1716</v>
      </c>
      <c r="C29" s="291">
        <v>22090</v>
      </c>
      <c r="D29" s="291">
        <v>21860</v>
      </c>
      <c r="E29" s="291">
        <v>19380</v>
      </c>
      <c r="F29" s="292">
        <v>6610</v>
      </c>
      <c r="M29" s="295" t="s">
        <v>1792</v>
      </c>
      <c r="N29" s="295" t="s">
        <v>1827</v>
      </c>
      <c r="O29" s="295" t="s">
        <v>1876</v>
      </c>
      <c r="P29" s="295" t="s">
        <v>1925</v>
      </c>
      <c r="Q29" s="295" t="s">
        <v>1965</v>
      </c>
    </row>
    <row r="30" ht="14.25" customHeight="1" spans="1:17">
      <c r="A30" s="290" t="s">
        <v>1715</v>
      </c>
      <c r="B30" s="299" t="s">
        <v>1717</v>
      </c>
      <c r="C30" s="295">
        <v>21380</v>
      </c>
      <c r="D30" s="295">
        <v>19930</v>
      </c>
      <c r="E30" s="295">
        <v>19860</v>
      </c>
      <c r="F30" s="303">
        <v>6010</v>
      </c>
      <c r="H30" s="307"/>
      <c r="M30" s="295" t="s">
        <v>1793</v>
      </c>
      <c r="N30" s="295" t="s">
        <v>1828</v>
      </c>
      <c r="O30" s="295" t="s">
        <v>1877</v>
      </c>
      <c r="P30" s="295" t="s">
        <v>2077</v>
      </c>
      <c r="Q30" s="295" t="s">
        <v>1966</v>
      </c>
    </row>
    <row r="31" ht="14.25" customHeight="1" spans="1:17">
      <c r="A31" s="290" t="s">
        <v>1715</v>
      </c>
      <c r="B31" s="299" t="s">
        <v>1718</v>
      </c>
      <c r="C31" s="295">
        <v>21670</v>
      </c>
      <c r="D31" s="295">
        <v>20660</v>
      </c>
      <c r="E31" s="295">
        <v>20290</v>
      </c>
      <c r="F31" s="303">
        <v>5840</v>
      </c>
      <c r="H31" s="307"/>
      <c r="M31" s="295" t="s">
        <v>1794</v>
      </c>
      <c r="N31" s="295" t="s">
        <v>1829</v>
      </c>
      <c r="O31" s="295" t="s">
        <v>1878</v>
      </c>
      <c r="P31" s="295" t="s">
        <v>1927</v>
      </c>
      <c r="Q31" s="295" t="s">
        <v>1967</v>
      </c>
    </row>
    <row r="32" ht="14.25" customHeight="1" spans="1:17">
      <c r="A32" s="290" t="s">
        <v>1715</v>
      </c>
      <c r="B32" s="299" t="s">
        <v>1719</v>
      </c>
      <c r="C32" s="295">
        <v>22280</v>
      </c>
      <c r="D32" s="295">
        <v>21800</v>
      </c>
      <c r="E32" s="295">
        <v>17650</v>
      </c>
      <c r="F32" s="303">
        <v>4690</v>
      </c>
      <c r="H32" s="307"/>
      <c r="M32" s="295" t="s">
        <v>1795</v>
      </c>
      <c r="N32" s="295" t="s">
        <v>1830</v>
      </c>
      <c r="O32" s="295" t="s">
        <v>1879</v>
      </c>
      <c r="P32" s="295" t="s">
        <v>1928</v>
      </c>
      <c r="Q32" s="295" t="s">
        <v>1968</v>
      </c>
    </row>
    <row r="33" ht="14.25" customHeight="1" spans="1:17">
      <c r="A33" s="290" t="s">
        <v>1715</v>
      </c>
      <c r="B33" s="299" t="s">
        <v>1720</v>
      </c>
      <c r="C33" s="295">
        <v>22130</v>
      </c>
      <c r="D33" s="295">
        <v>20460</v>
      </c>
      <c r="E33" s="295">
        <v>18500</v>
      </c>
      <c r="F33" s="303">
        <v>5340</v>
      </c>
      <c r="H33" s="307"/>
      <c r="M33" s="295" t="s">
        <v>1796</v>
      </c>
      <c r="N33" s="295" t="s">
        <v>1831</v>
      </c>
      <c r="O33" s="295" t="s">
        <v>1880</v>
      </c>
      <c r="P33" s="295" t="s">
        <v>1929</v>
      </c>
      <c r="Q33" s="295" t="s">
        <v>1969</v>
      </c>
    </row>
    <row r="34" ht="14.25" customHeight="1" spans="1:17">
      <c r="A34" s="290" t="s">
        <v>1715</v>
      </c>
      <c r="B34" s="299" t="s">
        <v>1721</v>
      </c>
      <c r="C34" s="295">
        <v>22070</v>
      </c>
      <c r="D34" s="295">
        <v>20110</v>
      </c>
      <c r="E34" s="295">
        <v>18830</v>
      </c>
      <c r="F34" s="303">
        <v>5190</v>
      </c>
      <c r="H34" s="307"/>
      <c r="M34" s="295" t="s">
        <v>1797</v>
      </c>
      <c r="N34" s="295" t="s">
        <v>1832</v>
      </c>
      <c r="O34" s="295" t="s">
        <v>1881</v>
      </c>
      <c r="P34" s="295" t="s">
        <v>1930</v>
      </c>
      <c r="Q34" s="295" t="s">
        <v>1970</v>
      </c>
    </row>
    <row r="35" ht="14.25" customHeight="1" spans="1:17">
      <c r="A35" s="290" t="s">
        <v>1715</v>
      </c>
      <c r="B35" s="299" t="s">
        <v>1722</v>
      </c>
      <c r="C35" s="295">
        <v>22240</v>
      </c>
      <c r="D35" s="295">
        <v>19550</v>
      </c>
      <c r="E35" s="295">
        <v>19220</v>
      </c>
      <c r="F35" s="303">
        <v>5800</v>
      </c>
      <c r="H35" s="307"/>
      <c r="M35" s="295" t="s">
        <v>1798</v>
      </c>
      <c r="N35" s="295" t="s">
        <v>1833</v>
      </c>
      <c r="O35" s="295" t="s">
        <v>1882</v>
      </c>
      <c r="P35" s="295" t="s">
        <v>1931</v>
      </c>
      <c r="Q35" s="295" t="s">
        <v>1971</v>
      </c>
    </row>
    <row r="36" ht="14.25" customHeight="1" spans="1:17">
      <c r="A36" s="290" t="s">
        <v>1715</v>
      </c>
      <c r="B36" s="299" t="s">
        <v>1723</v>
      </c>
      <c r="C36" s="295">
        <v>19750</v>
      </c>
      <c r="D36" s="295">
        <v>19790</v>
      </c>
      <c r="E36" s="295">
        <v>18510</v>
      </c>
      <c r="F36" s="303">
        <v>6520</v>
      </c>
      <c r="H36" s="307"/>
      <c r="N36" s="295" t="s">
        <v>1834</v>
      </c>
      <c r="O36" s="295" t="s">
        <v>1883</v>
      </c>
      <c r="P36" s="295" t="s">
        <v>1932</v>
      </c>
      <c r="Q36" s="295" t="s">
        <v>1972</v>
      </c>
    </row>
    <row r="37" ht="14.25" customHeight="1" spans="1:17">
      <c r="A37" s="290" t="s">
        <v>1715</v>
      </c>
      <c r="B37" s="299" t="s">
        <v>1724</v>
      </c>
      <c r="C37" s="295">
        <v>22380</v>
      </c>
      <c r="D37" s="295">
        <v>18530</v>
      </c>
      <c r="E37" s="295">
        <v>17930</v>
      </c>
      <c r="F37" s="303">
        <v>6270</v>
      </c>
      <c r="H37" s="309"/>
      <c r="N37" s="295" t="s">
        <v>1835</v>
      </c>
      <c r="O37" s="295" t="s">
        <v>1884</v>
      </c>
      <c r="P37" s="295" t="s">
        <v>1933</v>
      </c>
      <c r="Q37" s="295" t="s">
        <v>1973</v>
      </c>
    </row>
    <row r="38" ht="14.25" customHeight="1" spans="1:17">
      <c r="A38" s="290" t="s">
        <v>1715</v>
      </c>
      <c r="B38" s="299" t="s">
        <v>1725</v>
      </c>
      <c r="C38" s="295">
        <v>20200</v>
      </c>
      <c r="D38" s="295">
        <v>20070</v>
      </c>
      <c r="E38" s="295">
        <v>19950</v>
      </c>
      <c r="F38" s="303"/>
      <c r="H38" s="310"/>
      <c r="N38" s="295" t="s">
        <v>1836</v>
      </c>
      <c r="O38" s="295" t="s">
        <v>1885</v>
      </c>
      <c r="P38" s="295" t="s">
        <v>1934</v>
      </c>
      <c r="Q38" s="295" t="s">
        <v>1974</v>
      </c>
    </row>
    <row r="39" ht="14.25" customHeight="1" spans="1:17">
      <c r="A39" s="290" t="s">
        <v>1715</v>
      </c>
      <c r="B39" s="299" t="s">
        <v>1726</v>
      </c>
      <c r="C39" s="295">
        <v>19300</v>
      </c>
      <c r="D39" s="295">
        <v>20360</v>
      </c>
      <c r="E39" s="295">
        <v>20230</v>
      </c>
      <c r="F39" s="303"/>
      <c r="H39" s="310"/>
      <c r="N39" s="295" t="s">
        <v>1837</v>
      </c>
      <c r="O39" s="295" t="s">
        <v>1886</v>
      </c>
      <c r="P39" s="295" t="s">
        <v>1935</v>
      </c>
      <c r="Q39" s="295" t="s">
        <v>1975</v>
      </c>
    </row>
    <row r="40" ht="14.25" customHeight="1" spans="1:17">
      <c r="A40" s="290" t="s">
        <v>1715</v>
      </c>
      <c r="B40" s="299" t="s">
        <v>1727</v>
      </c>
      <c r="C40" s="295">
        <v>20210</v>
      </c>
      <c r="D40" s="295">
        <v>19060</v>
      </c>
      <c r="E40" s="295">
        <v>18890</v>
      </c>
      <c r="F40" s="303"/>
      <c r="H40" s="310"/>
      <c r="N40" s="295" t="s">
        <v>1838</v>
      </c>
      <c r="O40" s="295" t="s">
        <v>1887</v>
      </c>
      <c r="P40" s="295" t="s">
        <v>1936</v>
      </c>
      <c r="Q40" s="295" t="s">
        <v>1976</v>
      </c>
    </row>
    <row r="41" ht="14.25" customHeight="1" spans="1:17">
      <c r="A41" s="290" t="s">
        <v>1715</v>
      </c>
      <c r="B41" s="299" t="s">
        <v>1728</v>
      </c>
      <c r="C41" s="295">
        <v>20560</v>
      </c>
      <c r="D41" s="295">
        <v>21040</v>
      </c>
      <c r="E41" s="295">
        <v>20740</v>
      </c>
      <c r="F41" s="303"/>
      <c r="H41" s="310"/>
      <c r="N41" s="299" t="s">
        <v>1839</v>
      </c>
      <c r="O41" s="299" t="s">
        <v>1888</v>
      </c>
      <c r="Q41" s="299" t="s">
        <v>1977</v>
      </c>
    </row>
    <row r="42" ht="14.25" customHeight="1" spans="1:17">
      <c r="A42" s="290" t="s">
        <v>1715</v>
      </c>
      <c r="B42" s="299" t="s">
        <v>1729</v>
      </c>
      <c r="C42" s="295">
        <v>19280</v>
      </c>
      <c r="D42" s="295">
        <v>22940</v>
      </c>
      <c r="E42" s="295">
        <v>22500</v>
      </c>
      <c r="F42" s="303"/>
      <c r="H42" s="310"/>
      <c r="N42" s="295" t="s">
        <v>1840</v>
      </c>
      <c r="O42" s="295" t="s">
        <v>1889</v>
      </c>
      <c r="Q42" s="295" t="s">
        <v>1978</v>
      </c>
    </row>
    <row r="43" ht="14.25" customHeight="1" spans="1:17">
      <c r="A43" s="290" t="s">
        <v>1715</v>
      </c>
      <c r="B43" s="299" t="s">
        <v>1730</v>
      </c>
      <c r="C43" s="295">
        <v>21520</v>
      </c>
      <c r="D43" s="295">
        <v>19230</v>
      </c>
      <c r="E43" s="295">
        <v>18540</v>
      </c>
      <c r="F43" s="303"/>
      <c r="H43" s="310"/>
      <c r="N43" s="295" t="s">
        <v>1841</v>
      </c>
      <c r="O43" s="295" t="s">
        <v>1890</v>
      </c>
      <c r="Q43" s="295" t="s">
        <v>1979</v>
      </c>
    </row>
    <row r="44" ht="14.25" customHeight="1" spans="1:17">
      <c r="A44" s="290" t="s">
        <v>1715</v>
      </c>
      <c r="B44" s="299" t="s">
        <v>1731</v>
      </c>
      <c r="C44" s="295">
        <v>23260</v>
      </c>
      <c r="D44" s="295">
        <v>21180</v>
      </c>
      <c r="E44" s="295">
        <v>20730</v>
      </c>
      <c r="F44" s="303"/>
      <c r="H44" s="310"/>
      <c r="N44" s="295" t="s">
        <v>1842</v>
      </c>
      <c r="O44" s="295" t="s">
        <v>1891</v>
      </c>
      <c r="Q44" s="295" t="s">
        <v>1980</v>
      </c>
    </row>
    <row r="45" ht="14.25" customHeight="1" spans="1:17">
      <c r="A45" s="290" t="s">
        <v>1715</v>
      </c>
      <c r="B45" s="299" t="s">
        <v>1732</v>
      </c>
      <c r="C45" s="295">
        <v>19610</v>
      </c>
      <c r="D45" s="295">
        <v>18090</v>
      </c>
      <c r="E45" s="295">
        <v>17970</v>
      </c>
      <c r="F45" s="303"/>
      <c r="H45" s="307"/>
      <c r="N45" s="295" t="s">
        <v>1843</v>
      </c>
      <c r="O45" s="295" t="s">
        <v>1892</v>
      </c>
      <c r="Q45" s="295" t="s">
        <v>1981</v>
      </c>
    </row>
    <row r="46" ht="14.25" customHeight="1" spans="1:17">
      <c r="A46" s="290" t="s">
        <v>1715</v>
      </c>
      <c r="B46" s="299" t="s">
        <v>1733</v>
      </c>
      <c r="C46" s="295">
        <v>21660</v>
      </c>
      <c r="D46" s="295">
        <v>19190</v>
      </c>
      <c r="E46" s="295">
        <v>19790</v>
      </c>
      <c r="F46" s="303"/>
      <c r="H46" s="310"/>
      <c r="N46" s="295" t="s">
        <v>1844</v>
      </c>
      <c r="O46" s="295" t="s">
        <v>1893</v>
      </c>
      <c r="Q46" s="295" t="s">
        <v>1982</v>
      </c>
    </row>
    <row r="47" ht="14.25" customHeight="1" spans="1:15">
      <c r="A47" s="290" t="s">
        <v>1715</v>
      </c>
      <c r="B47" s="299" t="s">
        <v>1734</v>
      </c>
      <c r="C47" s="295">
        <v>18220</v>
      </c>
      <c r="D47" s="295"/>
      <c r="E47" s="295">
        <v>17220</v>
      </c>
      <c r="F47" s="303"/>
      <c r="H47" s="310"/>
      <c r="N47" s="295" t="s">
        <v>1845</v>
      </c>
      <c r="O47" s="295" t="s">
        <v>1894</v>
      </c>
    </row>
    <row r="48" ht="14.25" customHeight="1" spans="1:15">
      <c r="A48" s="290" t="s">
        <v>1715</v>
      </c>
      <c r="B48" s="300" t="s">
        <v>1735</v>
      </c>
      <c r="C48" s="301">
        <v>19430</v>
      </c>
      <c r="D48" s="301"/>
      <c r="E48" s="301">
        <v>17830</v>
      </c>
      <c r="F48" s="311"/>
      <c r="H48" s="307"/>
      <c r="N48" s="295" t="s">
        <v>1846</v>
      </c>
      <c r="O48" s="295" t="s">
        <v>1895</v>
      </c>
    </row>
    <row r="49" ht="14.25" customHeight="1" spans="1:15">
      <c r="A49" s="290" t="s">
        <v>1736</v>
      </c>
      <c r="B49" s="291" t="s">
        <v>1737</v>
      </c>
      <c r="C49" s="291">
        <v>17090</v>
      </c>
      <c r="D49" s="291">
        <v>16950</v>
      </c>
      <c r="E49" s="291">
        <v>16310</v>
      </c>
      <c r="F49" s="292">
        <v>4540</v>
      </c>
      <c r="H49" s="310"/>
      <c r="N49" s="295" t="s">
        <v>1847</v>
      </c>
      <c r="O49" s="295" t="s">
        <v>1896</v>
      </c>
    </row>
    <row r="50" ht="14.25" customHeight="1" spans="1:8">
      <c r="A50" s="290" t="s">
        <v>1736</v>
      </c>
      <c r="B50" s="295" t="s">
        <v>1738</v>
      </c>
      <c r="C50" s="295">
        <v>19040</v>
      </c>
      <c r="D50" s="295">
        <v>16960</v>
      </c>
      <c r="E50" s="295">
        <v>14800</v>
      </c>
      <c r="F50" s="303">
        <v>3940</v>
      </c>
      <c r="H50" s="310"/>
    </row>
    <row r="51" ht="14.25" customHeight="1" spans="1:8">
      <c r="A51" s="290" t="s">
        <v>1736</v>
      </c>
      <c r="B51" s="295" t="s">
        <v>1739</v>
      </c>
      <c r="C51" s="295">
        <v>17040</v>
      </c>
      <c r="D51" s="295">
        <v>16930</v>
      </c>
      <c r="E51" s="295">
        <v>15030</v>
      </c>
      <c r="F51" s="303">
        <v>4120</v>
      </c>
      <c r="H51" s="310"/>
    </row>
    <row r="52" ht="14.25" customHeight="1" spans="1:8">
      <c r="A52" s="290" t="s">
        <v>1736</v>
      </c>
      <c r="B52" s="295" t="s">
        <v>1740</v>
      </c>
      <c r="C52" s="295">
        <v>17110</v>
      </c>
      <c r="D52" s="295">
        <v>17750</v>
      </c>
      <c r="E52" s="295">
        <v>17310</v>
      </c>
      <c r="F52" s="303">
        <v>3220</v>
      </c>
      <c r="H52" s="310"/>
    </row>
    <row r="53" ht="14.25" customHeight="1" spans="1:8">
      <c r="A53" s="290" t="s">
        <v>1736</v>
      </c>
      <c r="B53" s="295" t="s">
        <v>1741</v>
      </c>
      <c r="C53" s="295">
        <v>17810</v>
      </c>
      <c r="D53" s="295">
        <v>17260</v>
      </c>
      <c r="E53" s="295">
        <v>17090</v>
      </c>
      <c r="F53" s="303">
        <v>3520</v>
      </c>
      <c r="H53" s="310"/>
    </row>
    <row r="54" ht="14.25" customHeight="1" spans="1:8">
      <c r="A54" s="290" t="s">
        <v>1736</v>
      </c>
      <c r="B54" s="295" t="s">
        <v>1742</v>
      </c>
      <c r="C54" s="295">
        <v>17410</v>
      </c>
      <c r="D54" s="295">
        <v>16780</v>
      </c>
      <c r="E54" s="295">
        <v>16370</v>
      </c>
      <c r="F54" s="303">
        <v>3410</v>
      </c>
      <c r="H54" s="310"/>
    </row>
    <row r="55" ht="14.25" customHeight="1" spans="1:8">
      <c r="A55" s="290" t="s">
        <v>1736</v>
      </c>
      <c r="B55" s="295" t="s">
        <v>1743</v>
      </c>
      <c r="C55" s="295">
        <v>16930</v>
      </c>
      <c r="D55" s="295">
        <v>14720</v>
      </c>
      <c r="E55" s="295">
        <v>15000</v>
      </c>
      <c r="F55" s="303">
        <v>3710</v>
      </c>
      <c r="H55" s="310"/>
    </row>
    <row r="56" ht="14.25" customHeight="1" spans="1:8">
      <c r="A56" s="290" t="s">
        <v>1736</v>
      </c>
      <c r="B56" s="295" t="s">
        <v>1744</v>
      </c>
      <c r="C56" s="295">
        <v>14930</v>
      </c>
      <c r="D56" s="295">
        <v>15850</v>
      </c>
      <c r="E56" s="295">
        <v>14320</v>
      </c>
      <c r="F56" s="303">
        <v>3960</v>
      </c>
      <c r="H56" s="310"/>
    </row>
    <row r="57" ht="14.25" customHeight="1" spans="1:8">
      <c r="A57" s="290" t="s">
        <v>1736</v>
      </c>
      <c r="B57" s="295" t="s">
        <v>1745</v>
      </c>
      <c r="C57" s="295">
        <v>16160</v>
      </c>
      <c r="D57" s="295">
        <v>16190</v>
      </c>
      <c r="E57" s="295">
        <v>15650</v>
      </c>
      <c r="F57" s="303">
        <v>4200</v>
      </c>
      <c r="H57" s="310"/>
    </row>
    <row r="58" ht="14.25" customHeight="1" spans="1:8">
      <c r="A58" s="290" t="s">
        <v>1736</v>
      </c>
      <c r="B58" s="295" t="s">
        <v>1746</v>
      </c>
      <c r="C58" s="295">
        <v>16360</v>
      </c>
      <c r="D58" s="295">
        <v>14050</v>
      </c>
      <c r="E58" s="295">
        <v>16070</v>
      </c>
      <c r="F58" s="303">
        <v>3990</v>
      </c>
      <c r="H58" s="310"/>
    </row>
    <row r="59" ht="14.25" customHeight="1" spans="1:8">
      <c r="A59" s="290" t="s">
        <v>1736</v>
      </c>
      <c r="B59" s="295" t="s">
        <v>1747</v>
      </c>
      <c r="C59" s="295">
        <v>14160</v>
      </c>
      <c r="D59" s="295">
        <v>16620</v>
      </c>
      <c r="E59" s="295">
        <v>13940</v>
      </c>
      <c r="F59" s="303">
        <v>4260</v>
      </c>
      <c r="H59" s="310"/>
    </row>
    <row r="60" ht="14.25" customHeight="1" spans="1:8">
      <c r="A60" s="290" t="s">
        <v>1736</v>
      </c>
      <c r="B60" s="295" t="s">
        <v>1748</v>
      </c>
      <c r="C60" s="295">
        <v>16750</v>
      </c>
      <c r="D60" s="295">
        <v>13910</v>
      </c>
      <c r="E60" s="295">
        <v>16550</v>
      </c>
      <c r="F60" s="303">
        <v>4550</v>
      </c>
      <c r="H60" s="310"/>
    </row>
    <row r="61" ht="14.25" customHeight="1" spans="1:8">
      <c r="A61" s="290" t="s">
        <v>1736</v>
      </c>
      <c r="B61" s="295" t="s">
        <v>1749</v>
      </c>
      <c r="C61" s="295">
        <v>14000</v>
      </c>
      <c r="D61" s="295">
        <v>14550</v>
      </c>
      <c r="E61" s="295">
        <v>13860</v>
      </c>
      <c r="F61" s="312"/>
      <c r="H61" s="310"/>
    </row>
    <row r="62" ht="14.25" customHeight="1" spans="1:8">
      <c r="A62" s="290" t="s">
        <v>1736</v>
      </c>
      <c r="B62" s="295" t="s">
        <v>1750</v>
      </c>
      <c r="C62" s="295">
        <v>14660</v>
      </c>
      <c r="D62" s="295">
        <v>17450</v>
      </c>
      <c r="E62" s="295">
        <v>14470</v>
      </c>
      <c r="F62" s="312"/>
      <c r="H62" s="310"/>
    </row>
    <row r="63" ht="14.25" customHeight="1" spans="1:8">
      <c r="A63" s="290" t="s">
        <v>1736</v>
      </c>
      <c r="B63" s="295" t="s">
        <v>1751</v>
      </c>
      <c r="C63" s="295">
        <v>17610</v>
      </c>
      <c r="D63" s="295">
        <v>16500</v>
      </c>
      <c r="E63" s="295">
        <v>17330</v>
      </c>
      <c r="F63" s="312"/>
      <c r="H63" s="310"/>
    </row>
    <row r="64" ht="14.25" customHeight="1" spans="1:8">
      <c r="A64" s="290" t="s">
        <v>1736</v>
      </c>
      <c r="B64" s="295" t="s">
        <v>1752</v>
      </c>
      <c r="C64" s="295">
        <v>16590</v>
      </c>
      <c r="D64" s="295">
        <v>15130</v>
      </c>
      <c r="E64" s="295">
        <v>16420</v>
      </c>
      <c r="F64" s="312"/>
      <c r="H64" s="310"/>
    </row>
    <row r="65" s="278" customFormat="1" ht="14.25" customHeight="1" spans="1:8">
      <c r="A65" s="290" t="s">
        <v>1736</v>
      </c>
      <c r="B65" s="295" t="s">
        <v>1753</v>
      </c>
      <c r="C65" s="295">
        <v>15220</v>
      </c>
      <c r="D65" s="295">
        <v>14660</v>
      </c>
      <c r="E65" s="295">
        <v>15060</v>
      </c>
      <c r="F65" s="303"/>
      <c r="H65" s="310"/>
    </row>
    <row r="66" s="278" customFormat="1" ht="14.25" customHeight="1" spans="1:8">
      <c r="A66" s="290" t="s">
        <v>1736</v>
      </c>
      <c r="B66" s="295" t="s">
        <v>1754</v>
      </c>
      <c r="C66" s="295">
        <v>14720</v>
      </c>
      <c r="D66" s="295">
        <v>15970</v>
      </c>
      <c r="E66" s="295">
        <v>14610</v>
      </c>
      <c r="F66" s="303"/>
      <c r="H66" s="310"/>
    </row>
    <row r="67" s="278" customFormat="1" ht="14.25" customHeight="1" spans="1:8">
      <c r="A67" s="290" t="s">
        <v>1736</v>
      </c>
      <c r="B67" s="295" t="s">
        <v>1755</v>
      </c>
      <c r="C67" s="295">
        <v>16080</v>
      </c>
      <c r="D67" s="295">
        <v>14840</v>
      </c>
      <c r="E67" s="295">
        <v>15630</v>
      </c>
      <c r="F67" s="303"/>
      <c r="H67" s="310"/>
    </row>
    <row r="68" s="278" customFormat="1" ht="14.25" customHeight="1" spans="1:8">
      <c r="A68" s="290" t="s">
        <v>1736</v>
      </c>
      <c r="B68" s="295" t="s">
        <v>1756</v>
      </c>
      <c r="C68" s="295">
        <v>14940</v>
      </c>
      <c r="D68" s="295">
        <v>18000</v>
      </c>
      <c r="E68" s="295">
        <v>14040</v>
      </c>
      <c r="F68" s="303"/>
      <c r="H68" s="310"/>
    </row>
    <row r="69" s="278" customFormat="1" ht="14.25" customHeight="1" spans="1:8">
      <c r="A69" s="290" t="s">
        <v>1736</v>
      </c>
      <c r="B69" s="295" t="s">
        <v>1757</v>
      </c>
      <c r="C69" s="295">
        <v>18810</v>
      </c>
      <c r="D69" s="295">
        <v>15100</v>
      </c>
      <c r="E69" s="295">
        <v>14710</v>
      </c>
      <c r="F69" s="303"/>
      <c r="H69" s="310"/>
    </row>
    <row r="70" s="278" customFormat="1" ht="14.25" customHeight="1" spans="1:8">
      <c r="A70" s="290" t="s">
        <v>1736</v>
      </c>
      <c r="B70" s="295" t="s">
        <v>1758</v>
      </c>
      <c r="C70" s="295">
        <v>18270</v>
      </c>
      <c r="D70" s="295"/>
      <c r="E70" s="295"/>
      <c r="F70" s="303"/>
      <c r="H70" s="310"/>
    </row>
    <row r="71" s="278" customFormat="1" ht="14.25" customHeight="1" spans="1:8">
      <c r="A71" s="290" t="s">
        <v>1736</v>
      </c>
      <c r="B71" s="295" t="s">
        <v>1759</v>
      </c>
      <c r="C71" s="295">
        <v>15230</v>
      </c>
      <c r="D71" s="295"/>
      <c r="E71" s="295"/>
      <c r="F71" s="303"/>
      <c r="H71" s="310"/>
    </row>
    <row r="72" s="278" customFormat="1" ht="14.25" customHeight="1" spans="1:8">
      <c r="A72" s="290" t="s">
        <v>1736</v>
      </c>
      <c r="B72" s="295" t="s">
        <v>1760</v>
      </c>
      <c r="C72" s="295"/>
      <c r="D72" s="295"/>
      <c r="E72" s="295"/>
      <c r="F72" s="303">
        <v>4120</v>
      </c>
      <c r="H72" s="310"/>
    </row>
    <row r="73" s="278" customFormat="1" ht="14.25" customHeight="1" spans="1:8">
      <c r="A73" s="290" t="s">
        <v>1736</v>
      </c>
      <c r="B73" s="295" t="s">
        <v>1761</v>
      </c>
      <c r="C73" s="295"/>
      <c r="D73" s="295"/>
      <c r="E73" s="295"/>
      <c r="F73" s="303">
        <v>3930</v>
      </c>
      <c r="H73" s="310"/>
    </row>
    <row r="74" s="278" customFormat="1" ht="14.25" customHeight="1" spans="1:8">
      <c r="A74" s="290" t="s">
        <v>1736</v>
      </c>
      <c r="B74" s="295" t="s">
        <v>1762</v>
      </c>
      <c r="C74" s="295"/>
      <c r="D74" s="295"/>
      <c r="E74" s="295"/>
      <c r="F74" s="303">
        <v>4060</v>
      </c>
      <c r="H74" s="310"/>
    </row>
    <row r="75" s="278" customFormat="1" ht="14.25" customHeight="1" spans="1:8">
      <c r="A75" s="290" t="s">
        <v>1736</v>
      </c>
      <c r="B75" s="301" t="s">
        <v>1763</v>
      </c>
      <c r="C75" s="301"/>
      <c r="D75" s="301"/>
      <c r="E75" s="301"/>
      <c r="F75" s="311">
        <v>3750</v>
      </c>
      <c r="H75" s="310"/>
    </row>
    <row r="76" s="278" customFormat="1" ht="14.25" customHeight="1" spans="1:8">
      <c r="A76" s="290" t="s">
        <v>1764</v>
      </c>
      <c r="B76" s="291" t="s">
        <v>1765</v>
      </c>
      <c r="C76" s="291">
        <v>14690</v>
      </c>
      <c r="D76" s="291">
        <v>14640</v>
      </c>
      <c r="E76" s="291">
        <v>14590</v>
      </c>
      <c r="F76" s="292">
        <v>3060</v>
      </c>
      <c r="H76" s="310"/>
    </row>
    <row r="77" s="278" customFormat="1" ht="14.25" customHeight="1" spans="1:8">
      <c r="A77" s="290" t="s">
        <v>1764</v>
      </c>
      <c r="B77" s="295" t="s">
        <v>1766</v>
      </c>
      <c r="C77" s="295">
        <v>12550</v>
      </c>
      <c r="D77" s="295">
        <v>12480</v>
      </c>
      <c r="E77" s="295">
        <v>12450</v>
      </c>
      <c r="F77" s="303">
        <v>2590</v>
      </c>
      <c r="H77" s="310"/>
    </row>
    <row r="78" s="278" customFormat="1" ht="14.25" customHeight="1" spans="1:8">
      <c r="A78" s="290" t="s">
        <v>1764</v>
      </c>
      <c r="B78" s="295" t="s">
        <v>1767</v>
      </c>
      <c r="C78" s="295">
        <v>14360</v>
      </c>
      <c r="D78" s="295">
        <v>14320</v>
      </c>
      <c r="E78" s="295">
        <v>12510</v>
      </c>
      <c r="F78" s="303">
        <v>2700</v>
      </c>
      <c r="H78" s="310"/>
    </row>
    <row r="79" s="278" customFormat="1" ht="14.25" customHeight="1" spans="1:8">
      <c r="A79" s="290" t="s">
        <v>1764</v>
      </c>
      <c r="B79" s="295" t="s">
        <v>1768</v>
      </c>
      <c r="C79" s="295">
        <v>12590</v>
      </c>
      <c r="D79" s="295">
        <v>12540</v>
      </c>
      <c r="E79" s="295">
        <v>12350</v>
      </c>
      <c r="F79" s="303">
        <v>2740</v>
      </c>
      <c r="H79" s="310"/>
    </row>
    <row r="80" s="278" customFormat="1" ht="14.25" customHeight="1" spans="1:8">
      <c r="A80" s="290" t="s">
        <v>1764</v>
      </c>
      <c r="B80" s="295" t="s">
        <v>1769</v>
      </c>
      <c r="C80" s="295">
        <v>12450</v>
      </c>
      <c r="D80" s="295">
        <v>12370</v>
      </c>
      <c r="E80" s="295">
        <v>10790</v>
      </c>
      <c r="F80" s="303">
        <v>2290</v>
      </c>
      <c r="H80" s="310"/>
    </row>
    <row r="81" s="278" customFormat="1" ht="14.25" customHeight="1" spans="1:8">
      <c r="A81" s="290" t="s">
        <v>1764</v>
      </c>
      <c r="B81" s="295" t="s">
        <v>1770</v>
      </c>
      <c r="C81" s="295">
        <v>14210</v>
      </c>
      <c r="D81" s="295">
        <v>14150</v>
      </c>
      <c r="E81" s="295">
        <v>12730</v>
      </c>
      <c r="F81" s="303">
        <v>2240</v>
      </c>
      <c r="H81" s="310"/>
    </row>
    <row r="82" s="278" customFormat="1" ht="14.25" customHeight="1" spans="1:8">
      <c r="A82" s="290" t="s">
        <v>1764</v>
      </c>
      <c r="B82" s="295" t="s">
        <v>1771</v>
      </c>
      <c r="C82" s="295">
        <v>10860</v>
      </c>
      <c r="D82" s="295">
        <v>10820</v>
      </c>
      <c r="E82" s="295">
        <v>14720</v>
      </c>
      <c r="F82" s="303">
        <v>2490</v>
      </c>
      <c r="H82" s="310"/>
    </row>
    <row r="83" s="278" customFormat="1" ht="14.25" customHeight="1" spans="1:8">
      <c r="A83" s="290" t="s">
        <v>1764</v>
      </c>
      <c r="B83" s="295" t="s">
        <v>1772</v>
      </c>
      <c r="C83" s="295">
        <v>12810</v>
      </c>
      <c r="D83" s="295">
        <v>12760</v>
      </c>
      <c r="E83" s="295">
        <v>14830</v>
      </c>
      <c r="F83" s="303">
        <v>2450</v>
      </c>
      <c r="H83" s="310"/>
    </row>
    <row r="84" s="278" customFormat="1" ht="14.25" customHeight="1" spans="1:8">
      <c r="A84" s="290" t="s">
        <v>1764</v>
      </c>
      <c r="B84" s="295" t="s">
        <v>1773</v>
      </c>
      <c r="C84" s="295">
        <v>14950</v>
      </c>
      <c r="D84" s="295">
        <v>14810</v>
      </c>
      <c r="E84" s="295">
        <v>12590</v>
      </c>
      <c r="F84" s="303">
        <v>2540</v>
      </c>
      <c r="H84" s="310"/>
    </row>
    <row r="85" s="278" customFormat="1" ht="14.25" customHeight="1" spans="1:8">
      <c r="A85" s="290" t="s">
        <v>1764</v>
      </c>
      <c r="B85" s="295" t="s">
        <v>1774</v>
      </c>
      <c r="C85" s="295">
        <v>14960</v>
      </c>
      <c r="D85" s="295">
        <v>14890</v>
      </c>
      <c r="E85" s="295">
        <v>12840</v>
      </c>
      <c r="F85" s="303">
        <v>2840</v>
      </c>
      <c r="H85" s="310"/>
    </row>
    <row r="86" s="278" customFormat="1" ht="14.25" customHeight="1" spans="1:8">
      <c r="A86" s="290" t="s">
        <v>1764</v>
      </c>
      <c r="B86" s="295" t="s">
        <v>1775</v>
      </c>
      <c r="C86" s="295">
        <v>12730</v>
      </c>
      <c r="D86" s="295">
        <v>12660</v>
      </c>
      <c r="E86" s="295">
        <v>13310</v>
      </c>
      <c r="F86" s="303">
        <v>3140</v>
      </c>
      <c r="H86" s="310"/>
    </row>
    <row r="87" s="278" customFormat="1" ht="14.25" customHeight="1" spans="1:8">
      <c r="A87" s="290" t="s">
        <v>1764</v>
      </c>
      <c r="B87" s="295" t="s">
        <v>1776</v>
      </c>
      <c r="C87" s="295">
        <v>12940</v>
      </c>
      <c r="D87" s="295">
        <v>12890</v>
      </c>
      <c r="E87" s="295">
        <v>11580</v>
      </c>
      <c r="F87" s="312"/>
      <c r="H87" s="310"/>
    </row>
    <row r="88" s="278" customFormat="1" ht="14.25" customHeight="1" spans="1:8">
      <c r="A88" s="290" t="s">
        <v>1764</v>
      </c>
      <c r="B88" s="295" t="s">
        <v>1777</v>
      </c>
      <c r="C88" s="295">
        <v>13430</v>
      </c>
      <c r="D88" s="295">
        <v>13360</v>
      </c>
      <c r="E88" s="295">
        <v>12790</v>
      </c>
      <c r="F88" s="312"/>
      <c r="H88" s="310"/>
    </row>
    <row r="89" s="278" customFormat="1" ht="14.25" customHeight="1" spans="1:8">
      <c r="A89" s="290" t="s">
        <v>1764</v>
      </c>
      <c r="B89" s="295" t="s">
        <v>1778</v>
      </c>
      <c r="C89" s="295">
        <v>11680</v>
      </c>
      <c r="D89" s="295">
        <v>11630</v>
      </c>
      <c r="E89" s="295">
        <v>11320</v>
      </c>
      <c r="F89" s="312"/>
      <c r="H89" s="310"/>
    </row>
    <row r="90" s="278" customFormat="1" ht="14.25" customHeight="1" spans="1:8">
      <c r="A90" s="290" t="s">
        <v>1764</v>
      </c>
      <c r="B90" s="295" t="s">
        <v>1779</v>
      </c>
      <c r="C90" s="295">
        <v>12890</v>
      </c>
      <c r="D90" s="295">
        <v>12820</v>
      </c>
      <c r="E90" s="295">
        <v>12710</v>
      </c>
      <c r="F90" s="312"/>
      <c r="H90" s="310"/>
    </row>
    <row r="91" s="278" customFormat="1" ht="14.25" customHeight="1" spans="1:8">
      <c r="A91" s="290" t="s">
        <v>1764</v>
      </c>
      <c r="B91" s="295" t="s">
        <v>1780</v>
      </c>
      <c r="C91" s="295">
        <v>11410</v>
      </c>
      <c r="D91" s="295">
        <v>11360</v>
      </c>
      <c r="E91" s="295">
        <v>12670</v>
      </c>
      <c r="F91" s="312"/>
      <c r="H91" s="310"/>
    </row>
    <row r="92" s="278" customFormat="1" ht="14.25" customHeight="1" spans="1:8">
      <c r="A92" s="290" t="s">
        <v>1764</v>
      </c>
      <c r="B92" s="295" t="s">
        <v>1781</v>
      </c>
      <c r="C92" s="295">
        <v>12770</v>
      </c>
      <c r="D92" s="295">
        <v>12740</v>
      </c>
      <c r="E92" s="295">
        <v>11970</v>
      </c>
      <c r="F92" s="312"/>
      <c r="H92" s="310"/>
    </row>
    <row r="93" s="278" customFormat="1" ht="14.25" customHeight="1" spans="1:8">
      <c r="A93" s="290" t="s">
        <v>1764</v>
      </c>
      <c r="B93" s="295" t="s">
        <v>1782</v>
      </c>
      <c r="C93" s="295">
        <v>12740</v>
      </c>
      <c r="D93" s="295">
        <v>12700</v>
      </c>
      <c r="E93" s="295">
        <v>12540</v>
      </c>
      <c r="F93" s="312"/>
      <c r="H93" s="310"/>
    </row>
    <row r="94" s="278" customFormat="1" ht="14.25" customHeight="1" spans="1:8">
      <c r="A94" s="290" t="s">
        <v>1764</v>
      </c>
      <c r="B94" s="295" t="s">
        <v>1783</v>
      </c>
      <c r="C94" s="295">
        <v>12020</v>
      </c>
      <c r="D94" s="295">
        <v>11990</v>
      </c>
      <c r="E94" s="295">
        <v>13110</v>
      </c>
      <c r="F94" s="312"/>
      <c r="H94" s="310"/>
    </row>
    <row r="95" s="278" customFormat="1" ht="14.25" customHeight="1" spans="1:8">
      <c r="A95" s="290" t="s">
        <v>1764</v>
      </c>
      <c r="B95" s="295" t="s">
        <v>1784</v>
      </c>
      <c r="C95" s="295">
        <v>12620</v>
      </c>
      <c r="D95" s="295">
        <v>12580</v>
      </c>
      <c r="E95" s="295">
        <v>13160</v>
      </c>
      <c r="F95" s="303"/>
      <c r="H95" s="310"/>
    </row>
    <row r="96" s="278" customFormat="1" ht="14.25" customHeight="1" spans="1:8">
      <c r="A96" s="290" t="s">
        <v>1764</v>
      </c>
      <c r="B96" s="295" t="s">
        <v>1785</v>
      </c>
      <c r="C96" s="295">
        <v>13200</v>
      </c>
      <c r="D96" s="295">
        <v>13150</v>
      </c>
      <c r="E96" s="295">
        <v>12900</v>
      </c>
      <c r="F96" s="303"/>
      <c r="H96" s="310"/>
    </row>
    <row r="97" s="278" customFormat="1" ht="14.25" customHeight="1" spans="1:8">
      <c r="A97" s="290" t="s">
        <v>1764</v>
      </c>
      <c r="B97" s="295" t="s">
        <v>1786</v>
      </c>
      <c r="C97" s="295">
        <v>13270</v>
      </c>
      <c r="D97" s="295">
        <v>13210</v>
      </c>
      <c r="E97" s="295">
        <v>11080</v>
      </c>
      <c r="F97" s="303"/>
      <c r="H97" s="310"/>
    </row>
    <row r="98" s="278" customFormat="1" ht="14.25" customHeight="1" spans="1:8">
      <c r="A98" s="290" t="s">
        <v>1764</v>
      </c>
      <c r="B98" s="295" t="s">
        <v>1787</v>
      </c>
      <c r="C98" s="295">
        <v>13010</v>
      </c>
      <c r="D98" s="295">
        <v>12930</v>
      </c>
      <c r="E98" s="295">
        <v>12840</v>
      </c>
      <c r="F98" s="303"/>
      <c r="H98" s="310"/>
    </row>
    <row r="99" s="278" customFormat="1" ht="14.25" customHeight="1" spans="1:8">
      <c r="A99" s="290" t="s">
        <v>1764</v>
      </c>
      <c r="B99" s="295" t="s">
        <v>1788</v>
      </c>
      <c r="C99" s="295">
        <v>11190</v>
      </c>
      <c r="D99" s="295">
        <v>11130</v>
      </c>
      <c r="E99" s="295"/>
      <c r="F99" s="303"/>
      <c r="H99" s="310"/>
    </row>
    <row r="100" s="278" customFormat="1" ht="14.25" customHeight="1" spans="1:8">
      <c r="A100" s="290" t="s">
        <v>1764</v>
      </c>
      <c r="B100" s="295" t="s">
        <v>1789</v>
      </c>
      <c r="C100" s="295">
        <v>14280</v>
      </c>
      <c r="D100" s="295">
        <v>14180</v>
      </c>
      <c r="E100" s="295"/>
      <c r="F100" s="303"/>
      <c r="H100" s="310"/>
    </row>
    <row r="101" s="278" customFormat="1" ht="14.25" customHeight="1" spans="1:8">
      <c r="A101" s="290" t="s">
        <v>1764</v>
      </c>
      <c r="B101" s="295" t="s">
        <v>1790</v>
      </c>
      <c r="C101" s="295">
        <v>12960</v>
      </c>
      <c r="D101" s="295">
        <v>12890</v>
      </c>
      <c r="E101" s="295"/>
      <c r="F101" s="303"/>
      <c r="H101" s="310"/>
    </row>
    <row r="102" s="278" customFormat="1" ht="14.25" customHeight="1" spans="1:8">
      <c r="A102" s="290" t="s">
        <v>1764</v>
      </c>
      <c r="B102" s="295" t="s">
        <v>1791</v>
      </c>
      <c r="C102" s="295"/>
      <c r="D102" s="295"/>
      <c r="E102" s="295"/>
      <c r="F102" s="303">
        <v>3100</v>
      </c>
      <c r="H102" s="310"/>
    </row>
    <row r="103" s="278" customFormat="1" ht="14.25" customHeight="1" spans="1:8">
      <c r="A103" s="290" t="s">
        <v>1764</v>
      </c>
      <c r="B103" s="295" t="s">
        <v>1792</v>
      </c>
      <c r="C103" s="295"/>
      <c r="D103" s="295"/>
      <c r="E103" s="295"/>
      <c r="F103" s="303">
        <v>2320</v>
      </c>
      <c r="H103" s="310"/>
    </row>
    <row r="104" s="278" customFormat="1" ht="14.25" customHeight="1" spans="1:8">
      <c r="A104" s="290" t="s">
        <v>1764</v>
      </c>
      <c r="B104" s="295" t="s">
        <v>1793</v>
      </c>
      <c r="C104" s="295"/>
      <c r="D104" s="295"/>
      <c r="E104" s="295"/>
      <c r="F104" s="303">
        <v>2320</v>
      </c>
      <c r="H104" s="310"/>
    </row>
    <row r="105" s="278" customFormat="1" ht="14.25" customHeight="1" spans="1:8">
      <c r="A105" s="290" t="s">
        <v>1764</v>
      </c>
      <c r="B105" s="295" t="s">
        <v>1794</v>
      </c>
      <c r="C105" s="295"/>
      <c r="D105" s="295"/>
      <c r="E105" s="295"/>
      <c r="F105" s="303">
        <v>2320</v>
      </c>
      <c r="H105" s="310"/>
    </row>
    <row r="106" s="278" customFormat="1" ht="14.25" customHeight="1" spans="1:8">
      <c r="A106" s="290" t="s">
        <v>1764</v>
      </c>
      <c r="B106" s="295" t="s">
        <v>1795</v>
      </c>
      <c r="C106" s="295"/>
      <c r="D106" s="295"/>
      <c r="E106" s="295"/>
      <c r="F106" s="303">
        <v>2320</v>
      </c>
      <c r="H106" s="310"/>
    </row>
    <row r="107" s="278" customFormat="1" ht="14.25" customHeight="1" spans="1:8">
      <c r="A107" s="290" t="s">
        <v>1764</v>
      </c>
      <c r="B107" s="295" t="s">
        <v>1796</v>
      </c>
      <c r="C107" s="295"/>
      <c r="D107" s="295"/>
      <c r="E107" s="295"/>
      <c r="F107" s="303">
        <v>2280</v>
      </c>
      <c r="H107" s="310"/>
    </row>
    <row r="108" s="278" customFormat="1" ht="14.25" customHeight="1" spans="1:8">
      <c r="A108" s="290" t="s">
        <v>1764</v>
      </c>
      <c r="B108" s="295" t="s">
        <v>1797</v>
      </c>
      <c r="C108" s="295"/>
      <c r="D108" s="295"/>
      <c r="E108" s="295"/>
      <c r="F108" s="303">
        <v>2280</v>
      </c>
      <c r="H108" s="310"/>
    </row>
    <row r="109" s="278" customFormat="1" ht="14.25" customHeight="1" spans="1:8">
      <c r="A109" s="290" t="s">
        <v>1764</v>
      </c>
      <c r="B109" s="301" t="s">
        <v>1798</v>
      </c>
      <c r="C109" s="301"/>
      <c r="D109" s="301"/>
      <c r="E109" s="301"/>
      <c r="F109" s="311">
        <v>2280</v>
      </c>
      <c r="H109" s="310"/>
    </row>
    <row r="110" s="278" customFormat="1" ht="14.25" customHeight="1" spans="1:8">
      <c r="A110" s="290" t="s">
        <v>1799</v>
      </c>
      <c r="B110" s="291" t="s">
        <v>1800</v>
      </c>
      <c r="C110" s="291">
        <v>10520</v>
      </c>
      <c r="D110" s="291">
        <v>10490</v>
      </c>
      <c r="E110" s="291">
        <v>10760</v>
      </c>
      <c r="F110" s="292">
        <v>2160</v>
      </c>
      <c r="H110" s="310"/>
    </row>
    <row r="111" s="278" customFormat="1" ht="14.25" customHeight="1" spans="1:8">
      <c r="A111" s="290" t="s">
        <v>1799</v>
      </c>
      <c r="B111" s="295" t="s">
        <v>1801</v>
      </c>
      <c r="C111" s="295">
        <v>10090</v>
      </c>
      <c r="D111" s="295">
        <v>10060</v>
      </c>
      <c r="E111" s="295">
        <v>10300</v>
      </c>
      <c r="F111" s="303">
        <v>2010</v>
      </c>
      <c r="H111" s="310"/>
    </row>
    <row r="112" s="278" customFormat="1" ht="14.25" customHeight="1" spans="1:8">
      <c r="A112" s="290" t="s">
        <v>1799</v>
      </c>
      <c r="B112" s="295" t="s">
        <v>1802</v>
      </c>
      <c r="C112" s="295">
        <v>9910</v>
      </c>
      <c r="D112" s="295">
        <v>9850</v>
      </c>
      <c r="E112" s="295">
        <v>9960</v>
      </c>
      <c r="F112" s="303">
        <v>2090</v>
      </c>
      <c r="H112" s="310"/>
    </row>
    <row r="113" s="278" customFormat="1" ht="14.25" customHeight="1" spans="1:8">
      <c r="A113" s="290" t="s">
        <v>1799</v>
      </c>
      <c r="B113" s="295" t="s">
        <v>1803</v>
      </c>
      <c r="C113" s="295">
        <v>11430</v>
      </c>
      <c r="D113" s="295">
        <v>11400</v>
      </c>
      <c r="E113" s="295">
        <v>11710</v>
      </c>
      <c r="F113" s="303">
        <v>2050</v>
      </c>
      <c r="H113" s="310"/>
    </row>
    <row r="114" s="278" customFormat="1" ht="14.25" customHeight="1" spans="1:8">
      <c r="A114" s="290" t="s">
        <v>1799</v>
      </c>
      <c r="B114" s="295" t="s">
        <v>1804</v>
      </c>
      <c r="C114" s="295">
        <v>11390</v>
      </c>
      <c r="D114" s="295">
        <v>11350</v>
      </c>
      <c r="E114" s="295">
        <v>11640</v>
      </c>
      <c r="F114" s="303">
        <v>1620</v>
      </c>
      <c r="H114" s="310"/>
    </row>
    <row r="115" s="278" customFormat="1" ht="14.25" customHeight="1" spans="1:8">
      <c r="A115" s="290" t="s">
        <v>1799</v>
      </c>
      <c r="B115" s="295" t="s">
        <v>1805</v>
      </c>
      <c r="C115" s="295">
        <v>9930</v>
      </c>
      <c r="D115" s="295">
        <v>9900</v>
      </c>
      <c r="E115" s="295">
        <v>10160</v>
      </c>
      <c r="F115" s="303">
        <v>1580</v>
      </c>
      <c r="H115" s="310"/>
    </row>
    <row r="116" s="278" customFormat="1" ht="14.25" customHeight="1" spans="1:8">
      <c r="A116" s="290" t="s">
        <v>1799</v>
      </c>
      <c r="B116" s="295" t="s">
        <v>1806</v>
      </c>
      <c r="C116" s="295">
        <v>9150</v>
      </c>
      <c r="D116" s="295">
        <v>9120</v>
      </c>
      <c r="E116" s="295">
        <v>9380</v>
      </c>
      <c r="F116" s="303">
        <v>1750</v>
      </c>
      <c r="H116" s="310"/>
    </row>
    <row r="117" s="278" customFormat="1" ht="14.25" customHeight="1" spans="1:8">
      <c r="A117" s="290" t="s">
        <v>1799</v>
      </c>
      <c r="B117" s="295" t="s">
        <v>1807</v>
      </c>
      <c r="C117" s="295">
        <v>10680</v>
      </c>
      <c r="D117" s="295">
        <v>10650</v>
      </c>
      <c r="E117" s="295">
        <v>10970</v>
      </c>
      <c r="F117" s="303">
        <v>1730</v>
      </c>
      <c r="H117" s="310"/>
    </row>
    <row r="118" s="278" customFormat="1" ht="14.25" customHeight="1" spans="1:8">
      <c r="A118" s="290" t="s">
        <v>1799</v>
      </c>
      <c r="B118" s="295" t="s">
        <v>1808</v>
      </c>
      <c r="C118" s="295">
        <v>10080</v>
      </c>
      <c r="D118" s="295">
        <v>10050</v>
      </c>
      <c r="E118" s="295">
        <v>10350</v>
      </c>
      <c r="F118" s="303">
        <v>1920</v>
      </c>
      <c r="H118" s="310"/>
    </row>
    <row r="119" s="278" customFormat="1" ht="14.25" customHeight="1" spans="1:8">
      <c r="A119" s="290" t="s">
        <v>1799</v>
      </c>
      <c r="B119" s="295" t="s">
        <v>1809</v>
      </c>
      <c r="C119" s="295">
        <v>9450</v>
      </c>
      <c r="D119" s="295">
        <v>9410</v>
      </c>
      <c r="E119" s="295">
        <v>9680</v>
      </c>
      <c r="F119" s="303">
        <v>1880</v>
      </c>
      <c r="H119" s="310"/>
    </row>
    <row r="120" s="278" customFormat="1" ht="14.25" customHeight="1" spans="1:8">
      <c r="A120" s="290" t="s">
        <v>1799</v>
      </c>
      <c r="B120" s="295" t="s">
        <v>1810</v>
      </c>
      <c r="C120" s="295">
        <v>8730</v>
      </c>
      <c r="D120" s="295">
        <v>8700</v>
      </c>
      <c r="E120" s="295">
        <v>8950</v>
      </c>
      <c r="F120" s="303">
        <v>1830</v>
      </c>
      <c r="H120" s="310"/>
    </row>
    <row r="121" s="278" customFormat="1" ht="14.25" customHeight="1" spans="1:8">
      <c r="A121" s="290" t="s">
        <v>1799</v>
      </c>
      <c r="B121" s="295" t="s">
        <v>1811</v>
      </c>
      <c r="C121" s="295">
        <v>10070</v>
      </c>
      <c r="D121" s="295">
        <v>10040</v>
      </c>
      <c r="E121" s="295">
        <v>10270</v>
      </c>
      <c r="F121" s="303">
        <v>1960</v>
      </c>
      <c r="H121" s="310"/>
    </row>
    <row r="122" s="278" customFormat="1" ht="14.25" customHeight="1" spans="1:8">
      <c r="A122" s="290" t="s">
        <v>1799</v>
      </c>
      <c r="B122" s="295" t="s">
        <v>1812</v>
      </c>
      <c r="C122" s="295">
        <v>10500</v>
      </c>
      <c r="D122" s="295">
        <v>10470</v>
      </c>
      <c r="E122" s="295">
        <v>10780</v>
      </c>
      <c r="F122" s="303">
        <v>2180</v>
      </c>
      <c r="H122" s="310"/>
    </row>
    <row r="123" s="278" customFormat="1" ht="14.25" customHeight="1" spans="1:8">
      <c r="A123" s="290" t="s">
        <v>1799</v>
      </c>
      <c r="B123" s="295" t="s">
        <v>1813</v>
      </c>
      <c r="C123" s="295">
        <v>10390</v>
      </c>
      <c r="D123" s="295">
        <v>10360</v>
      </c>
      <c r="E123" s="295">
        <v>10660</v>
      </c>
      <c r="F123" s="303">
        <v>2040</v>
      </c>
      <c r="H123" s="310"/>
    </row>
    <row r="124" s="278" customFormat="1" ht="14.25" customHeight="1" spans="1:8">
      <c r="A124" s="290" t="s">
        <v>1799</v>
      </c>
      <c r="B124" s="295" t="s">
        <v>1814</v>
      </c>
      <c r="C124" s="295">
        <v>10390</v>
      </c>
      <c r="D124" s="295">
        <v>10360</v>
      </c>
      <c r="E124" s="295">
        <v>10680</v>
      </c>
      <c r="F124" s="312"/>
      <c r="H124" s="310"/>
    </row>
    <row r="125" s="278" customFormat="1" ht="14.25" customHeight="1" spans="1:8">
      <c r="A125" s="290" t="s">
        <v>1799</v>
      </c>
      <c r="B125" s="295" t="s">
        <v>1815</v>
      </c>
      <c r="C125" s="295">
        <v>10440</v>
      </c>
      <c r="D125" s="295">
        <v>10410</v>
      </c>
      <c r="E125" s="295">
        <v>10710</v>
      </c>
      <c r="F125" s="312"/>
      <c r="H125" s="310"/>
    </row>
    <row r="126" s="278" customFormat="1" ht="14.25" customHeight="1" spans="1:8">
      <c r="A126" s="290" t="s">
        <v>1799</v>
      </c>
      <c r="B126" s="295" t="s">
        <v>1816</v>
      </c>
      <c r="C126" s="295">
        <v>10780</v>
      </c>
      <c r="D126" s="295">
        <v>10750</v>
      </c>
      <c r="E126" s="295">
        <v>11080</v>
      </c>
      <c r="F126" s="312"/>
      <c r="H126" s="310"/>
    </row>
    <row r="127" s="278" customFormat="1" ht="14.25" customHeight="1" spans="1:8">
      <c r="A127" s="290" t="s">
        <v>1799</v>
      </c>
      <c r="B127" s="295" t="s">
        <v>1817</v>
      </c>
      <c r="C127" s="295">
        <v>10100</v>
      </c>
      <c r="D127" s="295">
        <v>10070</v>
      </c>
      <c r="E127" s="295">
        <v>10350</v>
      </c>
      <c r="F127" s="312"/>
      <c r="H127" s="310"/>
    </row>
    <row r="128" s="278" customFormat="1" ht="14.25" customHeight="1" spans="1:8">
      <c r="A128" s="290" t="s">
        <v>1799</v>
      </c>
      <c r="B128" s="295" t="s">
        <v>1818</v>
      </c>
      <c r="C128" s="295">
        <v>9200</v>
      </c>
      <c r="D128" s="295">
        <v>9160</v>
      </c>
      <c r="E128" s="295">
        <v>9660</v>
      </c>
      <c r="F128" s="312"/>
      <c r="H128" s="310"/>
    </row>
    <row r="129" s="278" customFormat="1" ht="14.25" customHeight="1" spans="1:8">
      <c r="A129" s="290" t="s">
        <v>1799</v>
      </c>
      <c r="B129" s="295" t="s">
        <v>1819</v>
      </c>
      <c r="C129" s="295">
        <v>10340</v>
      </c>
      <c r="D129" s="295">
        <v>10310</v>
      </c>
      <c r="E129" s="295">
        <v>10580</v>
      </c>
      <c r="F129" s="312"/>
      <c r="H129" s="310"/>
    </row>
    <row r="130" s="278" customFormat="1" ht="14.25" customHeight="1" spans="1:8">
      <c r="A130" s="290" t="s">
        <v>1799</v>
      </c>
      <c r="B130" s="295" t="s">
        <v>1820</v>
      </c>
      <c r="C130" s="295">
        <v>9680</v>
      </c>
      <c r="D130" s="295">
        <v>9660</v>
      </c>
      <c r="E130" s="295">
        <v>9950</v>
      </c>
      <c r="F130" s="312"/>
      <c r="H130" s="310"/>
    </row>
    <row r="131" s="278" customFormat="1" ht="14.25" customHeight="1" spans="1:8">
      <c r="A131" s="290" t="s">
        <v>1799</v>
      </c>
      <c r="B131" s="295" t="s">
        <v>1821</v>
      </c>
      <c r="C131" s="295">
        <v>9540</v>
      </c>
      <c r="D131" s="295">
        <v>9510</v>
      </c>
      <c r="E131" s="295">
        <v>9790</v>
      </c>
      <c r="F131" s="312"/>
      <c r="H131" s="310"/>
    </row>
    <row r="132" s="278" customFormat="1" ht="14.25" customHeight="1" spans="1:8">
      <c r="A132" s="290" t="s">
        <v>1799</v>
      </c>
      <c r="B132" s="295" t="s">
        <v>1822</v>
      </c>
      <c r="C132" s="295">
        <v>9320</v>
      </c>
      <c r="D132" s="295">
        <v>9290</v>
      </c>
      <c r="E132" s="295">
        <v>9570</v>
      </c>
      <c r="F132" s="312"/>
      <c r="H132" s="310"/>
    </row>
    <row r="133" s="278" customFormat="1" ht="14.25" customHeight="1" spans="1:8">
      <c r="A133" s="290" t="s">
        <v>1799</v>
      </c>
      <c r="B133" s="295" t="s">
        <v>1823</v>
      </c>
      <c r="C133" s="295">
        <v>10310</v>
      </c>
      <c r="D133" s="295">
        <v>10280</v>
      </c>
      <c r="E133" s="295">
        <v>10530</v>
      </c>
      <c r="F133" s="312"/>
      <c r="H133" s="310"/>
    </row>
    <row r="134" s="278" customFormat="1" ht="14.25" customHeight="1" spans="1:8">
      <c r="A134" s="290" t="s">
        <v>1799</v>
      </c>
      <c r="B134" s="295" t="s">
        <v>1824</v>
      </c>
      <c r="C134" s="295">
        <v>10370</v>
      </c>
      <c r="D134" s="295">
        <v>10310</v>
      </c>
      <c r="E134" s="295">
        <v>10240</v>
      </c>
      <c r="F134" s="303">
        <v>2060</v>
      </c>
      <c r="H134" s="310"/>
    </row>
    <row r="135" s="278" customFormat="1" ht="14.25" customHeight="1" spans="1:8">
      <c r="A135" s="290" t="s">
        <v>1799</v>
      </c>
      <c r="B135" s="295" t="s">
        <v>1825</v>
      </c>
      <c r="C135" s="295">
        <v>9300</v>
      </c>
      <c r="D135" s="295">
        <v>9270</v>
      </c>
      <c r="E135" s="295">
        <v>9350</v>
      </c>
      <c r="F135" s="312"/>
      <c r="H135" s="310"/>
    </row>
    <row r="136" s="278" customFormat="1" ht="14.25" customHeight="1" spans="1:8">
      <c r="A136" s="290" t="s">
        <v>1799</v>
      </c>
      <c r="B136" s="295" t="s">
        <v>1826</v>
      </c>
      <c r="C136" s="295">
        <v>10160</v>
      </c>
      <c r="D136" s="295">
        <v>10110</v>
      </c>
      <c r="E136" s="295">
        <v>10080</v>
      </c>
      <c r="F136" s="312"/>
      <c r="H136" s="310"/>
    </row>
    <row r="137" s="278" customFormat="1" ht="14.25" customHeight="1" spans="1:8">
      <c r="A137" s="290" t="s">
        <v>1799</v>
      </c>
      <c r="B137" s="295" t="s">
        <v>1827</v>
      </c>
      <c r="C137" s="295">
        <v>9200</v>
      </c>
      <c r="D137" s="295">
        <v>9170</v>
      </c>
      <c r="E137" s="295">
        <v>9450</v>
      </c>
      <c r="F137" s="312"/>
      <c r="H137" s="310"/>
    </row>
    <row r="138" s="278" customFormat="1" ht="14.25" customHeight="1" spans="1:8">
      <c r="A138" s="290" t="s">
        <v>1799</v>
      </c>
      <c r="B138" s="295" t="s">
        <v>1828</v>
      </c>
      <c r="C138" s="295">
        <v>9690</v>
      </c>
      <c r="D138" s="295">
        <v>9660</v>
      </c>
      <c r="E138" s="295">
        <v>9840</v>
      </c>
      <c r="F138" s="312"/>
      <c r="H138" s="310"/>
    </row>
    <row r="139" s="278" customFormat="1" ht="14.25" customHeight="1" spans="1:8">
      <c r="A139" s="290" t="s">
        <v>1799</v>
      </c>
      <c r="B139" s="295" t="s">
        <v>1829</v>
      </c>
      <c r="C139" s="295">
        <v>10290</v>
      </c>
      <c r="D139" s="295">
        <v>10260</v>
      </c>
      <c r="E139" s="295">
        <v>10550</v>
      </c>
      <c r="F139" s="303">
        <v>1700</v>
      </c>
      <c r="H139" s="310"/>
    </row>
    <row r="140" s="278" customFormat="1" ht="14.25" customHeight="1" spans="1:8">
      <c r="A140" s="290" t="s">
        <v>1799</v>
      </c>
      <c r="B140" s="295" t="s">
        <v>1830</v>
      </c>
      <c r="C140" s="295">
        <v>9740</v>
      </c>
      <c r="D140" s="295">
        <v>9710</v>
      </c>
      <c r="E140" s="295">
        <v>10000</v>
      </c>
      <c r="F140" s="303">
        <v>2000</v>
      </c>
      <c r="H140" s="310"/>
    </row>
    <row r="141" s="278" customFormat="1" ht="14.25" customHeight="1" spans="1:8">
      <c r="A141" s="290" t="s">
        <v>1799</v>
      </c>
      <c r="B141" s="295" t="s">
        <v>1831</v>
      </c>
      <c r="C141" s="295">
        <v>9810</v>
      </c>
      <c r="D141" s="295">
        <v>9770</v>
      </c>
      <c r="E141" s="295">
        <v>10060</v>
      </c>
      <c r="F141" s="312"/>
      <c r="H141" s="310"/>
    </row>
    <row r="142" s="278" customFormat="1" ht="14.25" customHeight="1" spans="1:8">
      <c r="A142" s="290" t="s">
        <v>1799</v>
      </c>
      <c r="B142" s="295" t="s">
        <v>1832</v>
      </c>
      <c r="C142" s="295">
        <v>9300</v>
      </c>
      <c r="D142" s="295">
        <v>9270</v>
      </c>
      <c r="E142" s="295">
        <v>9530</v>
      </c>
      <c r="F142" s="312"/>
      <c r="H142" s="310"/>
    </row>
    <row r="143" s="278" customFormat="1" ht="14.25" customHeight="1" spans="1:8">
      <c r="A143" s="290" t="s">
        <v>1799</v>
      </c>
      <c r="B143" s="295" t="s">
        <v>1833</v>
      </c>
      <c r="C143" s="295">
        <v>10080</v>
      </c>
      <c r="D143" s="295">
        <v>10050</v>
      </c>
      <c r="E143" s="295">
        <v>10340</v>
      </c>
      <c r="F143" s="312"/>
      <c r="H143" s="310"/>
    </row>
    <row r="144" s="278" customFormat="1" ht="14.25" customHeight="1" spans="1:8">
      <c r="A144" s="290" t="s">
        <v>1799</v>
      </c>
      <c r="B144" s="295" t="s">
        <v>1834</v>
      </c>
      <c r="C144" s="295">
        <v>9820</v>
      </c>
      <c r="D144" s="295">
        <v>9750</v>
      </c>
      <c r="E144" s="295">
        <v>9900</v>
      </c>
      <c r="F144" s="312"/>
      <c r="H144" s="310"/>
    </row>
    <row r="145" s="278" customFormat="1" ht="14.25" customHeight="1" spans="1:8">
      <c r="A145" s="290" t="s">
        <v>1799</v>
      </c>
      <c r="B145" s="295" t="s">
        <v>1835</v>
      </c>
      <c r="C145" s="295"/>
      <c r="D145" s="295"/>
      <c r="E145" s="295"/>
      <c r="F145" s="303">
        <v>1740</v>
      </c>
      <c r="H145" s="310"/>
    </row>
    <row r="146" s="278" customFormat="1" ht="14.25" customHeight="1" spans="1:8">
      <c r="A146" s="290" t="s">
        <v>1799</v>
      </c>
      <c r="B146" s="295" t="s">
        <v>1836</v>
      </c>
      <c r="C146" s="295"/>
      <c r="D146" s="295"/>
      <c r="E146" s="295"/>
      <c r="F146" s="303">
        <v>1740</v>
      </c>
      <c r="H146" s="310"/>
    </row>
    <row r="147" s="278" customFormat="1" ht="14.25" customHeight="1" spans="1:8">
      <c r="A147" s="290" t="s">
        <v>1799</v>
      </c>
      <c r="B147" s="295" t="s">
        <v>1837</v>
      </c>
      <c r="C147" s="295"/>
      <c r="D147" s="295"/>
      <c r="E147" s="295"/>
      <c r="F147" s="303">
        <v>1740</v>
      </c>
      <c r="H147" s="310"/>
    </row>
    <row r="148" s="278" customFormat="1" ht="14.25" customHeight="1" spans="1:8">
      <c r="A148" s="290" t="s">
        <v>1799</v>
      </c>
      <c r="B148" s="295" t="s">
        <v>1838</v>
      </c>
      <c r="C148" s="295"/>
      <c r="D148" s="295"/>
      <c r="E148" s="295"/>
      <c r="F148" s="303">
        <v>1740</v>
      </c>
      <c r="H148" s="310"/>
    </row>
    <row r="149" s="278" customFormat="1" ht="14.25" customHeight="1" spans="1:8">
      <c r="A149" s="290" t="s">
        <v>1799</v>
      </c>
      <c r="B149" s="295" t="s">
        <v>1839</v>
      </c>
      <c r="C149" s="295"/>
      <c r="D149" s="295"/>
      <c r="E149" s="295"/>
      <c r="F149" s="303">
        <v>1740</v>
      </c>
      <c r="H149" s="310"/>
    </row>
    <row r="150" s="278" customFormat="1" ht="14.25" customHeight="1" spans="1:8">
      <c r="A150" s="290" t="s">
        <v>1799</v>
      </c>
      <c r="B150" s="295" t="s">
        <v>1840</v>
      </c>
      <c r="C150" s="295"/>
      <c r="D150" s="295"/>
      <c r="E150" s="295"/>
      <c r="F150" s="303">
        <v>1610</v>
      </c>
      <c r="H150" s="310"/>
    </row>
    <row r="151" s="278" customFormat="1" ht="14.25" customHeight="1" spans="1:8">
      <c r="A151" s="290" t="s">
        <v>1799</v>
      </c>
      <c r="B151" s="295" t="s">
        <v>1841</v>
      </c>
      <c r="C151" s="295"/>
      <c r="D151" s="295"/>
      <c r="E151" s="295"/>
      <c r="F151" s="303">
        <v>1610</v>
      </c>
      <c r="H151" s="310"/>
    </row>
    <row r="152" s="278" customFormat="1" ht="14.25" customHeight="1" spans="1:8">
      <c r="A152" s="290" t="s">
        <v>1799</v>
      </c>
      <c r="B152" s="295" t="s">
        <v>1842</v>
      </c>
      <c r="C152" s="295"/>
      <c r="D152" s="295"/>
      <c r="E152" s="295"/>
      <c r="F152" s="303">
        <v>1610</v>
      </c>
      <c r="H152" s="310"/>
    </row>
    <row r="153" s="278" customFormat="1" ht="14.25" customHeight="1" spans="1:8">
      <c r="A153" s="290" t="s">
        <v>1799</v>
      </c>
      <c r="B153" s="295" t="s">
        <v>1843</v>
      </c>
      <c r="C153" s="295"/>
      <c r="D153" s="295"/>
      <c r="E153" s="295"/>
      <c r="F153" s="303">
        <v>1610</v>
      </c>
      <c r="H153" s="310"/>
    </row>
    <row r="154" s="278" customFormat="1" ht="14.25" customHeight="1" spans="1:8">
      <c r="A154" s="290" t="s">
        <v>1799</v>
      </c>
      <c r="B154" s="295" t="s">
        <v>1844</v>
      </c>
      <c r="C154" s="295"/>
      <c r="D154" s="295"/>
      <c r="E154" s="295"/>
      <c r="F154" s="303">
        <v>1610</v>
      </c>
      <c r="H154" s="310"/>
    </row>
    <row r="155" s="278" customFormat="1" ht="14.25" customHeight="1" spans="1:8">
      <c r="A155" s="290" t="s">
        <v>1799</v>
      </c>
      <c r="B155" s="295" t="s">
        <v>1845</v>
      </c>
      <c r="C155" s="295"/>
      <c r="D155" s="295"/>
      <c r="E155" s="295"/>
      <c r="F155" s="303">
        <v>1800</v>
      </c>
      <c r="H155" s="310"/>
    </row>
    <row r="156" s="278" customFormat="1" ht="14.25" customHeight="1" spans="1:8">
      <c r="A156" s="290" t="s">
        <v>1799</v>
      </c>
      <c r="B156" s="295" t="s">
        <v>1846</v>
      </c>
      <c r="C156" s="295"/>
      <c r="D156" s="295"/>
      <c r="E156" s="295"/>
      <c r="F156" s="303">
        <v>1910</v>
      </c>
      <c r="H156" s="310"/>
    </row>
    <row r="157" s="278" customFormat="1" ht="14.25" customHeight="1" spans="1:8">
      <c r="A157" s="290" t="s">
        <v>1799</v>
      </c>
      <c r="B157" s="301" t="s">
        <v>1847</v>
      </c>
      <c r="C157" s="301"/>
      <c r="D157" s="301"/>
      <c r="E157" s="301"/>
      <c r="F157" s="311">
        <v>1500</v>
      </c>
      <c r="H157" s="310"/>
    </row>
    <row r="158" s="278" customFormat="1" ht="14.25" customHeight="1" spans="1:8">
      <c r="A158" s="290" t="s">
        <v>1848</v>
      </c>
      <c r="B158" s="291" t="s">
        <v>1849</v>
      </c>
      <c r="C158" s="291">
        <v>8170</v>
      </c>
      <c r="D158" s="291">
        <v>8140</v>
      </c>
      <c r="E158" s="291">
        <v>8590</v>
      </c>
      <c r="F158" s="292">
        <v>1450</v>
      </c>
      <c r="H158" s="310"/>
    </row>
    <row r="159" s="278" customFormat="1" ht="14.25" customHeight="1" spans="1:8">
      <c r="A159" s="290" t="s">
        <v>1848</v>
      </c>
      <c r="B159" s="295" t="s">
        <v>1850</v>
      </c>
      <c r="C159" s="295">
        <v>7410</v>
      </c>
      <c r="D159" s="295">
        <v>7370</v>
      </c>
      <c r="E159" s="295">
        <v>8030</v>
      </c>
      <c r="F159" s="303">
        <v>1510</v>
      </c>
      <c r="H159" s="310"/>
    </row>
    <row r="160" s="278" customFormat="1" ht="14.25" customHeight="1" spans="1:8">
      <c r="A160" s="290" t="s">
        <v>1848</v>
      </c>
      <c r="B160" s="295" t="s">
        <v>1851</v>
      </c>
      <c r="C160" s="295">
        <v>7240</v>
      </c>
      <c r="D160" s="295">
        <v>7210</v>
      </c>
      <c r="E160" s="295">
        <v>7860</v>
      </c>
      <c r="F160" s="303">
        <v>1370</v>
      </c>
      <c r="H160" s="310"/>
    </row>
    <row r="161" s="278" customFormat="1" ht="14.25" customHeight="1" spans="1:8">
      <c r="A161" s="290" t="s">
        <v>1848</v>
      </c>
      <c r="B161" s="295" t="s">
        <v>1852</v>
      </c>
      <c r="C161" s="295">
        <v>7720</v>
      </c>
      <c r="D161" s="295">
        <v>7690</v>
      </c>
      <c r="E161" s="295">
        <v>8200</v>
      </c>
      <c r="F161" s="303">
        <v>1190</v>
      </c>
      <c r="H161" s="310"/>
    </row>
    <row r="162" s="278" customFormat="1" ht="14.25" customHeight="1" spans="1:8">
      <c r="A162" s="290" t="s">
        <v>1848</v>
      </c>
      <c r="B162" s="295" t="s">
        <v>1853</v>
      </c>
      <c r="C162" s="295">
        <v>6900</v>
      </c>
      <c r="D162" s="295">
        <v>6870</v>
      </c>
      <c r="E162" s="295">
        <v>7500</v>
      </c>
      <c r="F162" s="303">
        <v>1390</v>
      </c>
      <c r="H162" s="310"/>
    </row>
    <row r="163" s="278" customFormat="1" ht="14.25" customHeight="1" spans="1:8">
      <c r="A163" s="290" t="s">
        <v>1848</v>
      </c>
      <c r="B163" s="295" t="s">
        <v>1854</v>
      </c>
      <c r="C163" s="295">
        <v>7120</v>
      </c>
      <c r="D163" s="295">
        <v>7090</v>
      </c>
      <c r="E163" s="295">
        <v>7690</v>
      </c>
      <c r="F163" s="303">
        <v>1230</v>
      </c>
      <c r="H163" s="310"/>
    </row>
    <row r="164" s="278" customFormat="1" ht="14.25" customHeight="1" spans="1:8">
      <c r="A164" s="290" t="s">
        <v>1848</v>
      </c>
      <c r="B164" s="295" t="s">
        <v>1855</v>
      </c>
      <c r="C164" s="295">
        <v>6560</v>
      </c>
      <c r="D164" s="295">
        <v>6530</v>
      </c>
      <c r="E164" s="295">
        <v>7110</v>
      </c>
      <c r="F164" s="303">
        <v>1340</v>
      </c>
      <c r="H164" s="310"/>
    </row>
    <row r="165" s="278" customFormat="1" ht="14.25" customHeight="1" spans="1:8">
      <c r="A165" s="290" t="s">
        <v>1848</v>
      </c>
      <c r="B165" s="295" t="s">
        <v>1856</v>
      </c>
      <c r="C165" s="295">
        <v>7450</v>
      </c>
      <c r="D165" s="295">
        <v>7430</v>
      </c>
      <c r="E165" s="295">
        <v>8110</v>
      </c>
      <c r="F165" s="303">
        <v>1290</v>
      </c>
      <c r="H165" s="310"/>
    </row>
    <row r="166" s="278" customFormat="1" ht="14.25" customHeight="1" spans="1:8">
      <c r="A166" s="290" t="s">
        <v>1848</v>
      </c>
      <c r="B166" s="295" t="s">
        <v>1857</v>
      </c>
      <c r="C166" s="295">
        <v>7490</v>
      </c>
      <c r="D166" s="295">
        <v>7460</v>
      </c>
      <c r="E166" s="295">
        <v>8150</v>
      </c>
      <c r="F166" s="303">
        <v>1350</v>
      </c>
      <c r="H166" s="310"/>
    </row>
    <row r="167" s="278" customFormat="1" ht="14.25" customHeight="1" spans="1:8">
      <c r="A167" s="290" t="s">
        <v>1848</v>
      </c>
      <c r="B167" s="295" t="s">
        <v>1858</v>
      </c>
      <c r="C167" s="295">
        <v>7540</v>
      </c>
      <c r="D167" s="295">
        <v>7510</v>
      </c>
      <c r="E167" s="295">
        <v>8030</v>
      </c>
      <c r="F167" s="312"/>
      <c r="H167" s="310"/>
    </row>
    <row r="168" s="278" customFormat="1" ht="14.25" customHeight="1" spans="1:8">
      <c r="A168" s="290" t="s">
        <v>1848</v>
      </c>
      <c r="B168" s="295" t="s">
        <v>1859</v>
      </c>
      <c r="C168" s="295">
        <v>7210</v>
      </c>
      <c r="D168" s="295">
        <v>7180</v>
      </c>
      <c r="E168" s="295">
        <v>7830</v>
      </c>
      <c r="F168" s="312"/>
      <c r="H168" s="310"/>
    </row>
    <row r="169" s="278" customFormat="1" ht="14.25" customHeight="1" spans="1:8">
      <c r="A169" s="290" t="s">
        <v>1848</v>
      </c>
      <c r="B169" s="295" t="s">
        <v>1860</v>
      </c>
      <c r="C169" s="295">
        <v>7040</v>
      </c>
      <c r="D169" s="295">
        <v>7020</v>
      </c>
      <c r="E169" s="295">
        <v>7670</v>
      </c>
      <c r="F169" s="312"/>
      <c r="H169" s="310"/>
    </row>
    <row r="170" s="278" customFormat="1" ht="14.25" customHeight="1" spans="1:8">
      <c r="A170" s="290" t="s">
        <v>1848</v>
      </c>
      <c r="B170" s="295" t="s">
        <v>1861</v>
      </c>
      <c r="C170" s="295">
        <v>8040</v>
      </c>
      <c r="D170" s="295">
        <v>7190</v>
      </c>
      <c r="E170" s="295">
        <v>7850</v>
      </c>
      <c r="F170" s="312"/>
      <c r="H170" s="310"/>
    </row>
    <row r="171" s="278" customFormat="1" ht="14.25" customHeight="1" spans="1:8">
      <c r="A171" s="290" t="s">
        <v>1848</v>
      </c>
      <c r="B171" s="295" t="s">
        <v>1862</v>
      </c>
      <c r="C171" s="295">
        <v>7860</v>
      </c>
      <c r="D171" s="295">
        <v>7720</v>
      </c>
      <c r="E171" s="295">
        <v>8150</v>
      </c>
      <c r="F171" s="303">
        <v>1110</v>
      </c>
      <c r="H171" s="310"/>
    </row>
    <row r="172" s="278" customFormat="1" ht="14.25" customHeight="1" spans="1:8">
      <c r="A172" s="290" t="s">
        <v>1848</v>
      </c>
      <c r="B172" s="295" t="s">
        <v>1863</v>
      </c>
      <c r="C172" s="295">
        <v>7210</v>
      </c>
      <c r="D172" s="295">
        <v>7170</v>
      </c>
      <c r="E172" s="295">
        <v>7320</v>
      </c>
      <c r="F172" s="312"/>
      <c r="H172" s="310"/>
    </row>
    <row r="173" s="278" customFormat="1" ht="14.25" customHeight="1" spans="1:8">
      <c r="A173" s="290" t="s">
        <v>1848</v>
      </c>
      <c r="B173" s="295" t="s">
        <v>1864</v>
      </c>
      <c r="C173" s="295">
        <v>6860</v>
      </c>
      <c r="D173" s="295">
        <v>6810</v>
      </c>
      <c r="E173" s="295">
        <v>7440</v>
      </c>
      <c r="F173" s="312"/>
      <c r="H173" s="310"/>
    </row>
    <row r="174" s="278" customFormat="1" ht="14.25" customHeight="1" spans="1:8">
      <c r="A174" s="290" t="s">
        <v>1848</v>
      </c>
      <c r="B174" s="295" t="s">
        <v>1865</v>
      </c>
      <c r="C174" s="295">
        <v>7120</v>
      </c>
      <c r="D174" s="295">
        <v>7090</v>
      </c>
      <c r="E174" s="295">
        <v>7500</v>
      </c>
      <c r="F174" s="303">
        <v>1490</v>
      </c>
      <c r="H174" s="310"/>
    </row>
    <row r="175" s="278" customFormat="1" ht="14.25" customHeight="1" spans="1:8">
      <c r="A175" s="290" t="s">
        <v>1848</v>
      </c>
      <c r="B175" s="295" t="s">
        <v>1866</v>
      </c>
      <c r="C175" s="295">
        <v>7850</v>
      </c>
      <c r="D175" s="295">
        <v>7820</v>
      </c>
      <c r="E175" s="295">
        <v>8120</v>
      </c>
      <c r="F175" s="303">
        <v>1530</v>
      </c>
      <c r="H175" s="310"/>
    </row>
    <row r="176" s="278" customFormat="1" ht="14.25" customHeight="1" spans="1:8">
      <c r="A176" s="290" t="s">
        <v>1848</v>
      </c>
      <c r="B176" s="295" t="s">
        <v>1867</v>
      </c>
      <c r="C176" s="295">
        <v>7620</v>
      </c>
      <c r="D176" s="295">
        <v>7570</v>
      </c>
      <c r="E176" s="295">
        <v>7990</v>
      </c>
      <c r="F176" s="303">
        <v>1480</v>
      </c>
      <c r="H176" s="310"/>
    </row>
    <row r="177" s="278" customFormat="1" ht="14.25" customHeight="1" spans="1:8">
      <c r="A177" s="290" t="s">
        <v>1848</v>
      </c>
      <c r="B177" s="295" t="s">
        <v>1868</v>
      </c>
      <c r="C177" s="295">
        <v>8590</v>
      </c>
      <c r="D177" s="295">
        <v>8570</v>
      </c>
      <c r="E177" s="295">
        <v>8740</v>
      </c>
      <c r="F177" s="303">
        <v>1540</v>
      </c>
      <c r="H177" s="310"/>
    </row>
    <row r="178" s="278" customFormat="1" ht="14.25" customHeight="1" spans="1:8">
      <c r="A178" s="290" t="s">
        <v>1848</v>
      </c>
      <c r="B178" s="295" t="s">
        <v>1869</v>
      </c>
      <c r="C178" s="295">
        <v>7510</v>
      </c>
      <c r="D178" s="295">
        <v>7470</v>
      </c>
      <c r="E178" s="295">
        <v>8090</v>
      </c>
      <c r="F178" s="303">
        <v>1320</v>
      </c>
      <c r="H178" s="310"/>
    </row>
    <row r="179" s="278" customFormat="1" ht="14.25" customHeight="1" spans="1:8">
      <c r="A179" s="290" t="s">
        <v>1848</v>
      </c>
      <c r="B179" s="295" t="s">
        <v>1870</v>
      </c>
      <c r="C179" s="295">
        <v>6380</v>
      </c>
      <c r="D179" s="295">
        <v>6340</v>
      </c>
      <c r="E179" s="295">
        <v>6810</v>
      </c>
      <c r="F179" s="312"/>
      <c r="H179" s="310"/>
    </row>
    <row r="180" s="278" customFormat="1" ht="14.25" customHeight="1" spans="1:8">
      <c r="A180" s="290" t="s">
        <v>1848</v>
      </c>
      <c r="B180" s="295" t="s">
        <v>1871</v>
      </c>
      <c r="C180" s="295">
        <v>7830</v>
      </c>
      <c r="D180" s="295">
        <v>7800</v>
      </c>
      <c r="E180" s="295">
        <v>7780</v>
      </c>
      <c r="F180" s="303">
        <v>1440</v>
      </c>
      <c r="H180" s="310"/>
    </row>
    <row r="181" s="278" customFormat="1" ht="14.25" customHeight="1" spans="1:8">
      <c r="A181" s="290" t="s">
        <v>1848</v>
      </c>
      <c r="B181" s="295" t="s">
        <v>1872</v>
      </c>
      <c r="C181" s="295">
        <v>7110</v>
      </c>
      <c r="D181" s="295">
        <v>7080</v>
      </c>
      <c r="E181" s="295">
        <v>7730</v>
      </c>
      <c r="F181" s="303">
        <v>1350</v>
      </c>
      <c r="H181" s="310"/>
    </row>
    <row r="182" s="278" customFormat="1" ht="14.25" customHeight="1" spans="1:8">
      <c r="A182" s="290" t="s">
        <v>1848</v>
      </c>
      <c r="B182" s="295" t="s">
        <v>1873</v>
      </c>
      <c r="C182" s="295">
        <v>7310</v>
      </c>
      <c r="D182" s="295">
        <v>7280</v>
      </c>
      <c r="E182" s="295">
        <v>7950</v>
      </c>
      <c r="F182" s="303">
        <v>1220</v>
      </c>
      <c r="H182" s="310"/>
    </row>
    <row r="183" s="278" customFormat="1" ht="14.25" customHeight="1" spans="1:8">
      <c r="A183" s="290" t="s">
        <v>1848</v>
      </c>
      <c r="B183" s="295" t="s">
        <v>1874</v>
      </c>
      <c r="C183" s="295">
        <v>7470</v>
      </c>
      <c r="D183" s="295">
        <v>7440</v>
      </c>
      <c r="E183" s="295">
        <v>7880</v>
      </c>
      <c r="F183" s="312"/>
      <c r="H183" s="310"/>
    </row>
    <row r="184" s="278" customFormat="1" ht="14.25" customHeight="1" spans="1:8">
      <c r="A184" s="290" t="s">
        <v>1848</v>
      </c>
      <c r="B184" s="295" t="s">
        <v>1875</v>
      </c>
      <c r="C184" s="295">
        <v>6960</v>
      </c>
      <c r="D184" s="295">
        <v>6930</v>
      </c>
      <c r="E184" s="295">
        <v>7570</v>
      </c>
      <c r="F184" s="312"/>
      <c r="H184" s="310"/>
    </row>
    <row r="185" s="278" customFormat="1" ht="14.25" customHeight="1" spans="1:8">
      <c r="A185" s="290" t="s">
        <v>1848</v>
      </c>
      <c r="B185" s="295" t="s">
        <v>1876</v>
      </c>
      <c r="C185" s="295">
        <v>7260</v>
      </c>
      <c r="D185" s="295">
        <v>7230</v>
      </c>
      <c r="E185" s="295">
        <v>7710</v>
      </c>
      <c r="F185" s="303">
        <v>1360</v>
      </c>
      <c r="H185" s="310"/>
    </row>
    <row r="186" s="278" customFormat="1" ht="14.25" customHeight="1" spans="1:8">
      <c r="A186" s="290" t="s">
        <v>1848</v>
      </c>
      <c r="B186" s="295" t="s">
        <v>1877</v>
      </c>
      <c r="C186" s="295"/>
      <c r="D186" s="295"/>
      <c r="E186" s="295"/>
      <c r="F186" s="303">
        <v>1560</v>
      </c>
      <c r="H186" s="310"/>
    </row>
    <row r="187" s="278" customFormat="1" ht="14.25" customHeight="1" spans="1:8">
      <c r="A187" s="290" t="s">
        <v>1848</v>
      </c>
      <c r="B187" s="295" t="s">
        <v>1878</v>
      </c>
      <c r="C187" s="295"/>
      <c r="D187" s="295"/>
      <c r="E187" s="295"/>
      <c r="F187" s="303">
        <v>1560</v>
      </c>
      <c r="H187" s="310"/>
    </row>
    <row r="188" s="278" customFormat="1" ht="14.25" customHeight="1" spans="1:8">
      <c r="A188" s="290" t="s">
        <v>1848</v>
      </c>
      <c r="B188" s="295" t="s">
        <v>1879</v>
      </c>
      <c r="C188" s="295"/>
      <c r="D188" s="295"/>
      <c r="E188" s="295"/>
      <c r="F188" s="303">
        <v>1560</v>
      </c>
      <c r="H188" s="310"/>
    </row>
    <row r="189" s="278" customFormat="1" ht="14.25" customHeight="1" spans="1:8">
      <c r="A189" s="290" t="s">
        <v>1848</v>
      </c>
      <c r="B189" s="295" t="s">
        <v>1880</v>
      </c>
      <c r="C189" s="295"/>
      <c r="D189" s="295"/>
      <c r="E189" s="295"/>
      <c r="F189" s="303">
        <v>1320</v>
      </c>
      <c r="H189" s="310"/>
    </row>
    <row r="190" s="278" customFormat="1" ht="14.25" customHeight="1" spans="1:8">
      <c r="A190" s="290" t="s">
        <v>1848</v>
      </c>
      <c r="B190" s="295" t="s">
        <v>1881</v>
      </c>
      <c r="C190" s="295"/>
      <c r="D190" s="295"/>
      <c r="E190" s="295"/>
      <c r="F190" s="303">
        <v>1320</v>
      </c>
      <c r="H190" s="310"/>
    </row>
    <row r="191" s="278" customFormat="1" ht="14.25" customHeight="1" spans="1:8">
      <c r="A191" s="290" t="s">
        <v>1848</v>
      </c>
      <c r="B191" s="295" t="s">
        <v>1882</v>
      </c>
      <c r="C191" s="295"/>
      <c r="D191" s="295"/>
      <c r="E191" s="295"/>
      <c r="F191" s="303">
        <v>1320</v>
      </c>
      <c r="H191" s="310"/>
    </row>
    <row r="192" s="278" customFormat="1" ht="14.25" customHeight="1" spans="1:8">
      <c r="A192" s="290" t="s">
        <v>1848</v>
      </c>
      <c r="B192" s="295" t="s">
        <v>1883</v>
      </c>
      <c r="C192" s="295"/>
      <c r="D192" s="295"/>
      <c r="E192" s="295"/>
      <c r="F192" s="303">
        <v>1100</v>
      </c>
      <c r="H192" s="310"/>
    </row>
    <row r="193" s="278" customFormat="1" ht="14.25" customHeight="1" spans="1:8">
      <c r="A193" s="290" t="s">
        <v>1848</v>
      </c>
      <c r="B193" s="295" t="s">
        <v>1884</v>
      </c>
      <c r="C193" s="295"/>
      <c r="D193" s="295"/>
      <c r="E193" s="295"/>
      <c r="F193" s="303">
        <v>1100</v>
      </c>
      <c r="H193" s="310"/>
    </row>
    <row r="194" s="278" customFormat="1" ht="14.25" customHeight="1" spans="1:8">
      <c r="A194" s="290" t="s">
        <v>1848</v>
      </c>
      <c r="B194" s="295" t="s">
        <v>1885</v>
      </c>
      <c r="C194" s="295"/>
      <c r="D194" s="295"/>
      <c r="E194" s="295"/>
      <c r="F194" s="303">
        <v>1080</v>
      </c>
      <c r="H194" s="310"/>
    </row>
    <row r="195" s="278" customFormat="1" ht="14.25" customHeight="1" spans="1:8">
      <c r="A195" s="290" t="s">
        <v>1848</v>
      </c>
      <c r="B195" s="295" t="s">
        <v>1886</v>
      </c>
      <c r="C195" s="295"/>
      <c r="D195" s="295"/>
      <c r="E195" s="295"/>
      <c r="F195" s="303">
        <v>1270</v>
      </c>
      <c r="H195" s="310"/>
    </row>
    <row r="196" s="278" customFormat="1" ht="14.25" customHeight="1" spans="1:8">
      <c r="A196" s="290" t="s">
        <v>1848</v>
      </c>
      <c r="B196" s="295" t="s">
        <v>1887</v>
      </c>
      <c r="C196" s="295"/>
      <c r="D196" s="295"/>
      <c r="E196" s="295"/>
      <c r="F196" s="303">
        <v>1150</v>
      </c>
      <c r="H196" s="310"/>
    </row>
    <row r="197" s="278" customFormat="1" ht="14.25" customHeight="1" spans="1:8">
      <c r="A197" s="290" t="s">
        <v>1848</v>
      </c>
      <c r="B197" s="295" t="s">
        <v>1888</v>
      </c>
      <c r="C197" s="295"/>
      <c r="D197" s="295"/>
      <c r="E197" s="295"/>
      <c r="F197" s="303">
        <v>1330</v>
      </c>
      <c r="H197" s="310"/>
    </row>
    <row r="198" s="278" customFormat="1" ht="14.25" customHeight="1" spans="1:8">
      <c r="A198" s="290" t="s">
        <v>1848</v>
      </c>
      <c r="B198" s="295" t="s">
        <v>1889</v>
      </c>
      <c r="C198" s="295"/>
      <c r="D198" s="295"/>
      <c r="E198" s="295"/>
      <c r="F198" s="303">
        <v>1170</v>
      </c>
      <c r="H198" s="310"/>
    </row>
    <row r="199" s="278" customFormat="1" ht="14.25" customHeight="1" spans="1:8">
      <c r="A199" s="290" t="s">
        <v>1848</v>
      </c>
      <c r="B199" s="295" t="s">
        <v>1890</v>
      </c>
      <c r="C199" s="295"/>
      <c r="D199" s="295"/>
      <c r="E199" s="295"/>
      <c r="F199" s="303">
        <v>1120</v>
      </c>
      <c r="H199" s="310"/>
    </row>
    <row r="200" s="278" customFormat="1" ht="14.25" customHeight="1" spans="1:8">
      <c r="A200" s="290" t="s">
        <v>1848</v>
      </c>
      <c r="B200" s="295" t="s">
        <v>1891</v>
      </c>
      <c r="C200" s="295"/>
      <c r="D200" s="295"/>
      <c r="E200" s="295"/>
      <c r="F200" s="303">
        <v>1120</v>
      </c>
      <c r="H200" s="310"/>
    </row>
    <row r="201" s="278" customFormat="1" ht="14.25" customHeight="1" spans="1:8">
      <c r="A201" s="290" t="s">
        <v>1848</v>
      </c>
      <c r="B201" s="295" t="s">
        <v>1892</v>
      </c>
      <c r="C201" s="295"/>
      <c r="D201" s="295"/>
      <c r="E201" s="295"/>
      <c r="F201" s="303">
        <v>1540</v>
      </c>
      <c r="H201" s="310"/>
    </row>
    <row r="202" s="278" customFormat="1" ht="14.25" customHeight="1" spans="1:8">
      <c r="A202" s="290" t="s">
        <v>1848</v>
      </c>
      <c r="B202" s="295" t="s">
        <v>1893</v>
      </c>
      <c r="C202" s="295"/>
      <c r="D202" s="295"/>
      <c r="E202" s="295"/>
      <c r="F202" s="303">
        <v>1310</v>
      </c>
      <c r="H202" s="310"/>
    </row>
    <row r="203" s="278" customFormat="1" ht="14.25" customHeight="1" spans="1:8">
      <c r="A203" s="290" t="s">
        <v>1848</v>
      </c>
      <c r="B203" s="295" t="s">
        <v>1894</v>
      </c>
      <c r="C203" s="295"/>
      <c r="D203" s="295"/>
      <c r="E203" s="295"/>
      <c r="F203" s="303">
        <v>1310</v>
      </c>
      <c r="H203" s="310"/>
    </row>
    <row r="204" s="278" customFormat="1" ht="14.25" customHeight="1" spans="1:8">
      <c r="A204" s="290" t="s">
        <v>1848</v>
      </c>
      <c r="B204" s="295" t="s">
        <v>1895</v>
      </c>
      <c r="C204" s="295"/>
      <c r="D204" s="295"/>
      <c r="E204" s="295"/>
      <c r="F204" s="303">
        <v>1080</v>
      </c>
      <c r="H204" s="310"/>
    </row>
    <row r="205" s="278" customFormat="1" ht="14.25" customHeight="1" spans="1:8">
      <c r="A205" s="290" t="s">
        <v>1848</v>
      </c>
      <c r="B205" s="295" t="s">
        <v>1896</v>
      </c>
      <c r="C205" s="295"/>
      <c r="D205" s="295"/>
      <c r="E205" s="295"/>
      <c r="F205" s="303">
        <v>1080</v>
      </c>
      <c r="H205" s="310"/>
    </row>
    <row r="206" s="278" customFormat="1" ht="14.25" customHeight="1" spans="1:8">
      <c r="A206" s="290" t="s">
        <v>1897</v>
      </c>
      <c r="B206" s="291" t="s">
        <v>1898</v>
      </c>
      <c r="C206" s="291">
        <v>5450</v>
      </c>
      <c r="D206" s="291">
        <v>5430</v>
      </c>
      <c r="E206" s="291">
        <v>5700</v>
      </c>
      <c r="F206" s="292">
        <v>1020</v>
      </c>
      <c r="H206" s="310"/>
    </row>
    <row r="207" s="278" customFormat="1" ht="14.25" customHeight="1" spans="1:8">
      <c r="A207" s="290" t="s">
        <v>1897</v>
      </c>
      <c r="B207" s="295" t="s">
        <v>1899</v>
      </c>
      <c r="C207" s="295">
        <v>5860</v>
      </c>
      <c r="D207" s="295">
        <v>5820</v>
      </c>
      <c r="E207" s="295">
        <v>6050</v>
      </c>
      <c r="F207" s="303">
        <v>1080</v>
      </c>
      <c r="H207" s="310"/>
    </row>
    <row r="208" s="278" customFormat="1" ht="14.25" customHeight="1" spans="1:8">
      <c r="A208" s="290" t="s">
        <v>1897</v>
      </c>
      <c r="B208" s="295" t="s">
        <v>1900</v>
      </c>
      <c r="C208" s="295">
        <v>4630</v>
      </c>
      <c r="D208" s="295">
        <v>4600</v>
      </c>
      <c r="E208" s="295">
        <v>4840</v>
      </c>
      <c r="F208" s="303">
        <v>900</v>
      </c>
      <c r="H208" s="310"/>
    </row>
    <row r="209" s="278" customFormat="1" ht="14.25" customHeight="1" spans="1:8">
      <c r="A209" s="290" t="s">
        <v>1897</v>
      </c>
      <c r="B209" s="295" t="s">
        <v>1901</v>
      </c>
      <c r="C209" s="295">
        <v>5320</v>
      </c>
      <c r="D209" s="295">
        <v>5270</v>
      </c>
      <c r="E209" s="295">
        <v>5540</v>
      </c>
      <c r="F209" s="303">
        <v>980</v>
      </c>
      <c r="H209" s="310"/>
    </row>
    <row r="210" s="278" customFormat="1" ht="14.25" customHeight="1" spans="1:8">
      <c r="A210" s="290" t="s">
        <v>1897</v>
      </c>
      <c r="B210" s="295" t="s">
        <v>1902</v>
      </c>
      <c r="C210" s="295">
        <v>5760</v>
      </c>
      <c r="D210" s="295">
        <v>5710</v>
      </c>
      <c r="E210" s="295">
        <v>6010</v>
      </c>
      <c r="F210" s="303">
        <v>870</v>
      </c>
      <c r="H210" s="310"/>
    </row>
    <row r="211" s="278" customFormat="1" ht="14.25" customHeight="1" spans="1:8">
      <c r="A211" s="290" t="s">
        <v>1897</v>
      </c>
      <c r="B211" s="295" t="s">
        <v>1903</v>
      </c>
      <c r="C211" s="295">
        <v>4160</v>
      </c>
      <c r="D211" s="295">
        <v>4100</v>
      </c>
      <c r="E211" s="295">
        <v>4270</v>
      </c>
      <c r="F211" s="303">
        <v>790</v>
      </c>
      <c r="H211" s="310"/>
    </row>
    <row r="212" s="278" customFormat="1" ht="14.25" customHeight="1" spans="1:8">
      <c r="A212" s="290" t="s">
        <v>1897</v>
      </c>
      <c r="B212" s="295" t="s">
        <v>1904</v>
      </c>
      <c r="C212" s="295">
        <v>4880</v>
      </c>
      <c r="D212" s="295">
        <v>4850</v>
      </c>
      <c r="E212" s="295">
        <v>5110</v>
      </c>
      <c r="F212" s="303">
        <v>940</v>
      </c>
      <c r="H212" s="310"/>
    </row>
    <row r="213" s="278" customFormat="1" ht="14.25" customHeight="1" spans="1:8">
      <c r="A213" s="290" t="s">
        <v>1897</v>
      </c>
      <c r="B213" s="295" t="s">
        <v>1905</v>
      </c>
      <c r="C213" s="295">
        <v>4640</v>
      </c>
      <c r="D213" s="295">
        <v>4590</v>
      </c>
      <c r="E213" s="295">
        <v>4700</v>
      </c>
      <c r="F213" s="303">
        <v>1030</v>
      </c>
      <c r="H213" s="310"/>
    </row>
    <row r="214" s="278" customFormat="1" ht="14.25" customHeight="1" spans="1:8">
      <c r="A214" s="290" t="s">
        <v>1897</v>
      </c>
      <c r="B214" s="295" t="s">
        <v>1906</v>
      </c>
      <c r="C214" s="295">
        <v>4540</v>
      </c>
      <c r="D214" s="295">
        <v>4490</v>
      </c>
      <c r="E214" s="295">
        <v>4610</v>
      </c>
      <c r="F214" s="312"/>
      <c r="H214" s="310"/>
    </row>
    <row r="215" s="278" customFormat="1" ht="14.25" customHeight="1" spans="1:8">
      <c r="A215" s="290" t="s">
        <v>1897</v>
      </c>
      <c r="B215" s="295" t="s">
        <v>1907</v>
      </c>
      <c r="C215" s="295">
        <v>5280</v>
      </c>
      <c r="D215" s="295">
        <v>5250</v>
      </c>
      <c r="E215" s="295">
        <v>5520</v>
      </c>
      <c r="F215" s="303">
        <v>1000</v>
      </c>
      <c r="H215" s="310"/>
    </row>
    <row r="216" s="278" customFormat="1" ht="14.25" customHeight="1" spans="1:8">
      <c r="A216" s="290" t="s">
        <v>1897</v>
      </c>
      <c r="B216" s="295" t="s">
        <v>1908</v>
      </c>
      <c r="C216" s="295">
        <v>5100</v>
      </c>
      <c r="D216" s="295">
        <v>5050</v>
      </c>
      <c r="E216" s="295">
        <v>5300</v>
      </c>
      <c r="F216" s="303">
        <v>950</v>
      </c>
      <c r="H216" s="310"/>
    </row>
    <row r="217" s="278" customFormat="1" ht="14.25" customHeight="1" spans="1:8">
      <c r="A217" s="290" t="s">
        <v>1897</v>
      </c>
      <c r="B217" s="295" t="s">
        <v>1909</v>
      </c>
      <c r="C217" s="295">
        <v>5370</v>
      </c>
      <c r="D217" s="295">
        <v>5320</v>
      </c>
      <c r="E217" s="295">
        <v>5410</v>
      </c>
      <c r="F217" s="303">
        <v>950</v>
      </c>
      <c r="H217" s="310"/>
    </row>
    <row r="218" s="278" customFormat="1" ht="14.25" customHeight="1" spans="1:8">
      <c r="A218" s="290" t="s">
        <v>1897</v>
      </c>
      <c r="B218" s="295" t="s">
        <v>1910</v>
      </c>
      <c r="C218" s="295">
        <v>5540</v>
      </c>
      <c r="D218" s="295">
        <v>5480</v>
      </c>
      <c r="E218" s="295">
        <v>5740</v>
      </c>
      <c r="F218" s="303">
        <v>1020</v>
      </c>
      <c r="H218" s="310"/>
    </row>
    <row r="219" s="278" customFormat="1" ht="14.25" customHeight="1" spans="1:8">
      <c r="A219" s="290" t="s">
        <v>1897</v>
      </c>
      <c r="B219" s="295" t="s">
        <v>1911</v>
      </c>
      <c r="C219" s="295">
        <v>5140</v>
      </c>
      <c r="D219" s="295">
        <v>5100</v>
      </c>
      <c r="E219" s="295">
        <v>5350</v>
      </c>
      <c r="F219" s="303">
        <v>1120</v>
      </c>
      <c r="H219" s="310"/>
    </row>
    <row r="220" s="278" customFormat="1" ht="14.25" customHeight="1" spans="1:8">
      <c r="A220" s="290" t="s">
        <v>1897</v>
      </c>
      <c r="B220" s="295" t="s">
        <v>1912</v>
      </c>
      <c r="C220" s="295">
        <v>5040</v>
      </c>
      <c r="D220" s="295">
        <v>5000</v>
      </c>
      <c r="E220" s="295">
        <v>5240</v>
      </c>
      <c r="F220" s="303">
        <v>980</v>
      </c>
      <c r="H220" s="310"/>
    </row>
    <row r="221" s="278" customFormat="1" ht="14.25" customHeight="1" spans="1:8">
      <c r="A221" s="290" t="s">
        <v>1897</v>
      </c>
      <c r="B221" s="295" t="s">
        <v>1913</v>
      </c>
      <c r="C221" s="315"/>
      <c r="D221" s="315"/>
      <c r="E221" s="315"/>
      <c r="F221" s="303">
        <v>1070</v>
      </c>
      <c r="H221" s="310"/>
    </row>
    <row r="222" s="278" customFormat="1" ht="14.25" customHeight="1" spans="1:8">
      <c r="A222" s="290" t="s">
        <v>1897</v>
      </c>
      <c r="B222" s="295" t="s">
        <v>1914</v>
      </c>
      <c r="C222" s="315"/>
      <c r="D222" s="315"/>
      <c r="E222" s="315"/>
      <c r="F222" s="303">
        <v>870</v>
      </c>
      <c r="H222" s="310"/>
    </row>
    <row r="223" s="278" customFormat="1" ht="14.25" customHeight="1" spans="1:8">
      <c r="A223" s="290" t="s">
        <v>1897</v>
      </c>
      <c r="B223" s="295" t="s">
        <v>1915</v>
      </c>
      <c r="C223" s="315"/>
      <c r="D223" s="315"/>
      <c r="E223" s="315"/>
      <c r="F223" s="303">
        <v>940</v>
      </c>
      <c r="H223" s="310"/>
    </row>
    <row r="224" s="278" customFormat="1" ht="14.25" customHeight="1" spans="1:8">
      <c r="A224" s="290" t="s">
        <v>1897</v>
      </c>
      <c r="B224" s="295" t="s">
        <v>1916</v>
      </c>
      <c r="C224" s="315"/>
      <c r="D224" s="315"/>
      <c r="E224" s="315"/>
      <c r="F224" s="303">
        <v>990</v>
      </c>
      <c r="H224" s="310"/>
    </row>
    <row r="225" s="278" customFormat="1" ht="14.25" customHeight="1" spans="1:8">
      <c r="A225" s="290" t="s">
        <v>1897</v>
      </c>
      <c r="B225" s="295" t="s">
        <v>1917</v>
      </c>
      <c r="C225" s="295">
        <v>5730</v>
      </c>
      <c r="D225" s="295">
        <v>5680</v>
      </c>
      <c r="E225" s="295">
        <v>6020</v>
      </c>
      <c r="F225" s="303">
        <v>1000</v>
      </c>
      <c r="H225" s="310"/>
    </row>
    <row r="226" s="278" customFormat="1" ht="14.25" customHeight="1" spans="1:8">
      <c r="A226" s="290" t="s">
        <v>1897</v>
      </c>
      <c r="B226" s="295" t="s">
        <v>1918</v>
      </c>
      <c r="C226" s="295">
        <v>4970</v>
      </c>
      <c r="D226" s="295">
        <v>4940</v>
      </c>
      <c r="E226" s="295">
        <v>5180</v>
      </c>
      <c r="F226" s="303">
        <v>960</v>
      </c>
      <c r="H226" s="310"/>
    </row>
    <row r="227" s="278" customFormat="1" ht="14.25" customHeight="1" spans="1:8">
      <c r="A227" s="290" t="s">
        <v>1897</v>
      </c>
      <c r="B227" s="295" t="s">
        <v>1919</v>
      </c>
      <c r="C227" s="295">
        <v>5550</v>
      </c>
      <c r="D227" s="295">
        <v>5500</v>
      </c>
      <c r="E227" s="295">
        <v>5780</v>
      </c>
      <c r="F227" s="303">
        <v>940</v>
      </c>
      <c r="H227" s="310"/>
    </row>
    <row r="228" s="278" customFormat="1" ht="14.25" customHeight="1" spans="1:8">
      <c r="A228" s="290" t="s">
        <v>1897</v>
      </c>
      <c r="B228" s="295" t="s">
        <v>1920</v>
      </c>
      <c r="C228" s="295">
        <v>5460</v>
      </c>
      <c r="D228" s="295">
        <v>5420</v>
      </c>
      <c r="E228" s="295">
        <v>5690</v>
      </c>
      <c r="F228" s="303">
        <v>910</v>
      </c>
      <c r="H228" s="310"/>
    </row>
    <row r="229" s="278" customFormat="1" ht="14.25" customHeight="1" spans="1:8">
      <c r="A229" s="290" t="s">
        <v>1897</v>
      </c>
      <c r="B229" s="295" t="s">
        <v>1921</v>
      </c>
      <c r="C229" s="295">
        <v>5310</v>
      </c>
      <c r="D229" s="295">
        <v>5270</v>
      </c>
      <c r="E229" s="295">
        <v>5510</v>
      </c>
      <c r="F229" s="312"/>
      <c r="H229" s="310"/>
    </row>
    <row r="230" s="278" customFormat="1" ht="14.25" customHeight="1" spans="1:8">
      <c r="A230" s="290" t="s">
        <v>1897</v>
      </c>
      <c r="B230" s="295" t="s">
        <v>1922</v>
      </c>
      <c r="C230" s="295">
        <v>4540</v>
      </c>
      <c r="D230" s="295">
        <v>4500</v>
      </c>
      <c r="E230" s="295">
        <v>4730</v>
      </c>
      <c r="F230" s="312"/>
      <c r="H230" s="310"/>
    </row>
    <row r="231" s="278" customFormat="1" ht="14.25" customHeight="1" spans="1:8">
      <c r="A231" s="290" t="s">
        <v>1897</v>
      </c>
      <c r="B231" s="295" t="s">
        <v>1923</v>
      </c>
      <c r="C231" s="295">
        <v>4480</v>
      </c>
      <c r="D231" s="295">
        <v>4410</v>
      </c>
      <c r="E231" s="295">
        <v>4640</v>
      </c>
      <c r="F231" s="312"/>
      <c r="H231" s="310"/>
    </row>
    <row r="232" s="278" customFormat="1" ht="14.25" customHeight="1" spans="1:8">
      <c r="A232" s="290" t="s">
        <v>1897</v>
      </c>
      <c r="B232" s="295" t="s">
        <v>1924</v>
      </c>
      <c r="C232" s="295">
        <v>5670</v>
      </c>
      <c r="D232" s="295">
        <v>5600</v>
      </c>
      <c r="E232" s="295">
        <v>5890</v>
      </c>
      <c r="F232" s="303">
        <v>1150</v>
      </c>
      <c r="H232" s="310"/>
    </row>
    <row r="233" s="278" customFormat="1" ht="14.25" customHeight="1" spans="1:8">
      <c r="A233" s="290" t="s">
        <v>1897</v>
      </c>
      <c r="B233" s="295" t="s">
        <v>1925</v>
      </c>
      <c r="C233" s="295">
        <v>4590</v>
      </c>
      <c r="D233" s="295">
        <v>4500</v>
      </c>
      <c r="E233" s="295">
        <v>4600</v>
      </c>
      <c r="F233" s="312"/>
      <c r="H233" s="310"/>
    </row>
    <row r="234" s="278" customFormat="1" ht="14.25" customHeight="1" spans="1:8">
      <c r="A234" s="290" t="s">
        <v>1897</v>
      </c>
      <c r="B234" s="295" t="s">
        <v>2077</v>
      </c>
      <c r="C234" s="295">
        <v>3990</v>
      </c>
      <c r="D234" s="295">
        <v>3950</v>
      </c>
      <c r="E234" s="295">
        <v>4180</v>
      </c>
      <c r="F234" s="312"/>
      <c r="H234" s="310"/>
    </row>
    <row r="235" s="278" customFormat="1" ht="14.25" customHeight="1" spans="1:8">
      <c r="A235" s="290" t="s">
        <v>1897</v>
      </c>
      <c r="B235" s="295" t="s">
        <v>1927</v>
      </c>
      <c r="C235" s="295">
        <v>5590</v>
      </c>
      <c r="D235" s="295">
        <v>5540</v>
      </c>
      <c r="E235" s="295">
        <v>5810</v>
      </c>
      <c r="F235" s="303">
        <v>970</v>
      </c>
      <c r="H235" s="310"/>
    </row>
    <row r="236" s="278" customFormat="1" ht="14.25" customHeight="1" spans="1:8">
      <c r="A236" s="290" t="s">
        <v>1897</v>
      </c>
      <c r="B236" s="295" t="s">
        <v>1928</v>
      </c>
      <c r="C236" s="295"/>
      <c r="D236" s="295"/>
      <c r="E236" s="295"/>
      <c r="F236" s="303">
        <v>1020</v>
      </c>
      <c r="H236" s="310"/>
    </row>
    <row r="237" s="278" customFormat="1" ht="14.25" customHeight="1" spans="1:8">
      <c r="A237" s="290" t="s">
        <v>1897</v>
      </c>
      <c r="B237" s="295" t="s">
        <v>1929</v>
      </c>
      <c r="C237" s="295"/>
      <c r="D237" s="295"/>
      <c r="E237" s="295"/>
      <c r="F237" s="303">
        <v>960</v>
      </c>
      <c r="H237" s="310"/>
    </row>
    <row r="238" s="278" customFormat="1" ht="14.25" customHeight="1" spans="1:8">
      <c r="A238" s="290" t="s">
        <v>1897</v>
      </c>
      <c r="B238" s="295" t="s">
        <v>1930</v>
      </c>
      <c r="C238" s="295"/>
      <c r="D238" s="295"/>
      <c r="E238" s="295"/>
      <c r="F238" s="303">
        <v>960</v>
      </c>
      <c r="H238" s="310"/>
    </row>
    <row r="239" s="278" customFormat="1" ht="14.25" customHeight="1" spans="1:8">
      <c r="A239" s="290" t="s">
        <v>1897</v>
      </c>
      <c r="B239" s="295" t="s">
        <v>1931</v>
      </c>
      <c r="C239" s="295"/>
      <c r="D239" s="295"/>
      <c r="E239" s="295"/>
      <c r="F239" s="303">
        <v>960</v>
      </c>
      <c r="H239" s="310"/>
    </row>
    <row r="240" s="278" customFormat="1" ht="14.25" customHeight="1" spans="1:8">
      <c r="A240" s="290" t="s">
        <v>1897</v>
      </c>
      <c r="B240" s="295" t="s">
        <v>1932</v>
      </c>
      <c r="C240" s="295"/>
      <c r="D240" s="295"/>
      <c r="E240" s="295"/>
      <c r="F240" s="303">
        <v>990</v>
      </c>
      <c r="H240" s="310"/>
    </row>
    <row r="241" s="278" customFormat="1" ht="14.25" customHeight="1" spans="1:8">
      <c r="A241" s="290" t="s">
        <v>1897</v>
      </c>
      <c r="B241" s="295" t="s">
        <v>1933</v>
      </c>
      <c r="C241" s="295"/>
      <c r="D241" s="295"/>
      <c r="E241" s="295"/>
      <c r="F241" s="303">
        <v>1000</v>
      </c>
      <c r="H241" s="310"/>
    </row>
    <row r="242" s="278" customFormat="1" ht="14.25" customHeight="1" spans="1:8">
      <c r="A242" s="290" t="s">
        <v>1897</v>
      </c>
      <c r="B242" s="295" t="s">
        <v>1934</v>
      </c>
      <c r="C242" s="295"/>
      <c r="D242" s="295"/>
      <c r="E242" s="295"/>
      <c r="F242" s="303">
        <v>980</v>
      </c>
      <c r="H242" s="310"/>
    </row>
    <row r="243" s="278" customFormat="1" ht="14.25" customHeight="1" spans="1:8">
      <c r="A243" s="290" t="s">
        <v>1897</v>
      </c>
      <c r="B243" s="295" t="s">
        <v>1935</v>
      </c>
      <c r="C243" s="295"/>
      <c r="D243" s="295"/>
      <c r="E243" s="295"/>
      <c r="F243" s="303">
        <v>970</v>
      </c>
      <c r="H243" s="310"/>
    </row>
    <row r="244" s="278" customFormat="1" ht="14.25" customHeight="1" spans="1:8">
      <c r="A244" s="290" t="s">
        <v>1897</v>
      </c>
      <c r="B244" s="301" t="s">
        <v>1936</v>
      </c>
      <c r="C244" s="301"/>
      <c r="D244" s="301"/>
      <c r="E244" s="301"/>
      <c r="F244" s="311">
        <v>970</v>
      </c>
      <c r="H244" s="310"/>
    </row>
    <row r="245" s="278" customFormat="1" ht="14.25" customHeight="1" spans="1:8">
      <c r="A245" s="290" t="s">
        <v>1937</v>
      </c>
      <c r="B245" s="291" t="s">
        <v>1938</v>
      </c>
      <c r="C245" s="291">
        <v>4050</v>
      </c>
      <c r="D245" s="291">
        <v>4020</v>
      </c>
      <c r="E245" s="291">
        <v>4160</v>
      </c>
      <c r="F245" s="292">
        <v>840</v>
      </c>
      <c r="H245" s="310"/>
    </row>
    <row r="246" s="278" customFormat="1" ht="14.25" customHeight="1" spans="1:8">
      <c r="A246" s="290" t="s">
        <v>1937</v>
      </c>
      <c r="B246" s="295" t="s">
        <v>1939</v>
      </c>
      <c r="C246" s="295">
        <v>4010</v>
      </c>
      <c r="D246" s="295">
        <v>3960</v>
      </c>
      <c r="E246" s="295">
        <v>4130</v>
      </c>
      <c r="F246" s="303">
        <v>840</v>
      </c>
      <c r="H246" s="310"/>
    </row>
    <row r="247" s="278" customFormat="1" ht="14.25" customHeight="1" spans="1:8">
      <c r="A247" s="290" t="s">
        <v>1937</v>
      </c>
      <c r="B247" s="295" t="s">
        <v>1940</v>
      </c>
      <c r="C247" s="295">
        <v>3170</v>
      </c>
      <c r="D247" s="295">
        <v>3140</v>
      </c>
      <c r="E247" s="295">
        <v>3270</v>
      </c>
      <c r="F247" s="303">
        <v>640</v>
      </c>
      <c r="H247" s="310"/>
    </row>
    <row r="248" s="278" customFormat="1" ht="14.25" customHeight="1" spans="1:8">
      <c r="A248" s="290" t="s">
        <v>1937</v>
      </c>
      <c r="B248" s="295" t="s">
        <v>1941</v>
      </c>
      <c r="C248" s="295">
        <v>3140</v>
      </c>
      <c r="D248" s="295">
        <v>3120</v>
      </c>
      <c r="E248" s="295">
        <v>3240</v>
      </c>
      <c r="F248" s="303">
        <v>620</v>
      </c>
      <c r="H248" s="310"/>
    </row>
    <row r="249" s="278" customFormat="1" ht="14.25" customHeight="1" spans="1:8">
      <c r="A249" s="290" t="s">
        <v>1937</v>
      </c>
      <c r="B249" s="295" t="s">
        <v>1942</v>
      </c>
      <c r="C249" s="295">
        <v>3200</v>
      </c>
      <c r="D249" s="295">
        <v>3100</v>
      </c>
      <c r="E249" s="295">
        <v>3230</v>
      </c>
      <c r="F249" s="303">
        <v>750</v>
      </c>
      <c r="H249" s="310"/>
    </row>
    <row r="250" s="278" customFormat="1" ht="14.25" customHeight="1" spans="1:8">
      <c r="A250" s="290" t="s">
        <v>1937</v>
      </c>
      <c r="B250" s="295" t="s">
        <v>1943</v>
      </c>
      <c r="C250" s="295">
        <v>4060</v>
      </c>
      <c r="D250" s="295">
        <v>4000</v>
      </c>
      <c r="E250" s="295">
        <v>4140</v>
      </c>
      <c r="F250" s="303">
        <v>790</v>
      </c>
      <c r="H250" s="310"/>
    </row>
    <row r="251" s="278" customFormat="1" ht="14.25" customHeight="1" spans="1:8">
      <c r="A251" s="290" t="s">
        <v>1937</v>
      </c>
      <c r="B251" s="295" t="s">
        <v>1944</v>
      </c>
      <c r="C251" s="295">
        <v>3990</v>
      </c>
      <c r="D251" s="295">
        <v>3970</v>
      </c>
      <c r="E251" s="295">
        <v>4110</v>
      </c>
      <c r="F251" s="303">
        <v>730</v>
      </c>
      <c r="H251" s="310"/>
    </row>
    <row r="252" s="278" customFormat="1" ht="14.25" customHeight="1" spans="1:8">
      <c r="A252" s="290" t="s">
        <v>1937</v>
      </c>
      <c r="B252" s="295" t="s">
        <v>1945</v>
      </c>
      <c r="C252" s="295">
        <v>3560</v>
      </c>
      <c r="D252" s="295">
        <v>3530</v>
      </c>
      <c r="E252" s="295">
        <v>3650</v>
      </c>
      <c r="F252" s="303">
        <v>750</v>
      </c>
      <c r="H252" s="310"/>
    </row>
    <row r="253" s="278" customFormat="1" ht="14.25" customHeight="1" spans="1:8">
      <c r="A253" s="290" t="s">
        <v>1937</v>
      </c>
      <c r="B253" s="295" t="s">
        <v>1946</v>
      </c>
      <c r="C253" s="295">
        <v>3780</v>
      </c>
      <c r="D253" s="295">
        <v>3750</v>
      </c>
      <c r="E253" s="295">
        <v>3870</v>
      </c>
      <c r="F253" s="303">
        <v>770</v>
      </c>
      <c r="H253" s="310"/>
    </row>
    <row r="254" s="278" customFormat="1" ht="14.25" customHeight="1" spans="1:8">
      <c r="A254" s="290" t="s">
        <v>1937</v>
      </c>
      <c r="B254" s="295" t="s">
        <v>1947</v>
      </c>
      <c r="C254" s="315"/>
      <c r="D254" s="315"/>
      <c r="E254" s="315"/>
      <c r="F254" s="303">
        <v>740</v>
      </c>
      <c r="H254" s="310"/>
    </row>
    <row r="255" s="278" customFormat="1" ht="14.25" customHeight="1" spans="1:8">
      <c r="A255" s="290" t="s">
        <v>1937</v>
      </c>
      <c r="B255" s="295" t="s">
        <v>1948</v>
      </c>
      <c r="C255" s="315"/>
      <c r="D255" s="315"/>
      <c r="E255" s="315"/>
      <c r="F255" s="303">
        <v>760</v>
      </c>
      <c r="H255" s="310"/>
    </row>
    <row r="256" s="278" customFormat="1" ht="14.25" customHeight="1" spans="1:8">
      <c r="A256" s="290" t="s">
        <v>1937</v>
      </c>
      <c r="B256" s="295" t="s">
        <v>1949</v>
      </c>
      <c r="C256" s="295">
        <v>3760</v>
      </c>
      <c r="D256" s="295">
        <v>3730</v>
      </c>
      <c r="E256" s="295">
        <v>3870</v>
      </c>
      <c r="F256" s="303">
        <v>830</v>
      </c>
      <c r="H256" s="310"/>
    </row>
    <row r="257" s="278" customFormat="1" ht="14.25" customHeight="1" spans="1:8">
      <c r="A257" s="290" t="s">
        <v>1937</v>
      </c>
      <c r="B257" s="295" t="s">
        <v>1950</v>
      </c>
      <c r="C257" s="295">
        <v>3570</v>
      </c>
      <c r="D257" s="295">
        <v>3540</v>
      </c>
      <c r="E257" s="295">
        <v>3650</v>
      </c>
      <c r="F257" s="303">
        <v>790</v>
      </c>
      <c r="H257" s="310"/>
    </row>
    <row r="258" s="278" customFormat="1" ht="14.25" customHeight="1" spans="1:8">
      <c r="A258" s="290" t="s">
        <v>1937</v>
      </c>
      <c r="B258" s="295" t="s">
        <v>1951</v>
      </c>
      <c r="C258" s="295">
        <v>3410</v>
      </c>
      <c r="D258" s="295">
        <v>3380</v>
      </c>
      <c r="E258" s="295">
        <v>3500</v>
      </c>
      <c r="F258" s="303">
        <v>830</v>
      </c>
      <c r="H258" s="310"/>
    </row>
    <row r="259" s="278" customFormat="1" ht="14.25" customHeight="1" spans="1:8">
      <c r="A259" s="290" t="s">
        <v>1937</v>
      </c>
      <c r="B259" s="295" t="s">
        <v>1952</v>
      </c>
      <c r="C259" s="295">
        <v>3870</v>
      </c>
      <c r="D259" s="295">
        <v>3840</v>
      </c>
      <c r="E259" s="295">
        <v>3970</v>
      </c>
      <c r="F259" s="303">
        <v>830</v>
      </c>
      <c r="H259" s="310"/>
    </row>
    <row r="260" s="278" customFormat="1" ht="14.25" customHeight="1" spans="1:8">
      <c r="A260" s="290" t="s">
        <v>1937</v>
      </c>
      <c r="B260" s="295" t="s">
        <v>1953</v>
      </c>
      <c r="C260" s="295">
        <v>3700</v>
      </c>
      <c r="D260" s="295">
        <v>3660</v>
      </c>
      <c r="E260" s="295">
        <v>3810</v>
      </c>
      <c r="F260" s="303">
        <v>790</v>
      </c>
      <c r="H260" s="310"/>
    </row>
    <row r="261" s="278" customFormat="1" ht="14.25" customHeight="1" spans="1:8">
      <c r="A261" s="290" t="s">
        <v>1937</v>
      </c>
      <c r="B261" s="295" t="s">
        <v>1954</v>
      </c>
      <c r="C261" s="295">
        <v>3470</v>
      </c>
      <c r="D261" s="295">
        <v>3430</v>
      </c>
      <c r="E261" s="295">
        <v>3640</v>
      </c>
      <c r="F261" s="303">
        <v>760</v>
      </c>
      <c r="H261" s="310"/>
    </row>
    <row r="262" s="278" customFormat="1" ht="14.25" customHeight="1" spans="1:8">
      <c r="A262" s="290" t="s">
        <v>1937</v>
      </c>
      <c r="B262" s="295" t="s">
        <v>1955</v>
      </c>
      <c r="C262" s="295">
        <v>3510</v>
      </c>
      <c r="D262" s="295">
        <v>3470</v>
      </c>
      <c r="E262" s="295">
        <v>3680</v>
      </c>
      <c r="F262" s="312"/>
      <c r="H262" s="310"/>
    </row>
    <row r="263" s="278" customFormat="1" ht="14.25" customHeight="1" spans="1:8">
      <c r="A263" s="290" t="s">
        <v>1937</v>
      </c>
      <c r="B263" s="295" t="s">
        <v>1956</v>
      </c>
      <c r="C263" s="295">
        <v>3960</v>
      </c>
      <c r="D263" s="295">
        <v>3930</v>
      </c>
      <c r="E263" s="295">
        <v>4070</v>
      </c>
      <c r="F263" s="303">
        <v>830</v>
      </c>
      <c r="H263" s="310"/>
    </row>
    <row r="264" s="278" customFormat="1" ht="14.25" customHeight="1" spans="1:8">
      <c r="A264" s="290" t="s">
        <v>1937</v>
      </c>
      <c r="B264" s="295" t="s">
        <v>1957</v>
      </c>
      <c r="C264" s="295">
        <v>4010</v>
      </c>
      <c r="D264" s="295">
        <v>3980</v>
      </c>
      <c r="E264" s="295">
        <v>4150</v>
      </c>
      <c r="F264" s="303">
        <v>760</v>
      </c>
      <c r="H264" s="310"/>
    </row>
    <row r="265" s="278" customFormat="1" ht="14.25" customHeight="1" spans="1:8">
      <c r="A265" s="290" t="s">
        <v>1937</v>
      </c>
      <c r="B265" s="295" t="s">
        <v>1958</v>
      </c>
      <c r="C265" s="295">
        <v>3910</v>
      </c>
      <c r="D265" s="295">
        <v>3890</v>
      </c>
      <c r="E265" s="295">
        <v>4040</v>
      </c>
      <c r="F265" s="303">
        <v>780</v>
      </c>
      <c r="H265" s="310"/>
    </row>
    <row r="266" s="278" customFormat="1" ht="14.25" customHeight="1" spans="1:8">
      <c r="A266" s="290" t="s">
        <v>1937</v>
      </c>
      <c r="B266" s="295" t="s">
        <v>1959</v>
      </c>
      <c r="C266" s="295">
        <v>3930</v>
      </c>
      <c r="D266" s="295">
        <v>3900</v>
      </c>
      <c r="E266" s="295">
        <v>4080</v>
      </c>
      <c r="F266" s="303">
        <v>770</v>
      </c>
      <c r="H266" s="310"/>
    </row>
    <row r="267" s="278" customFormat="1" ht="14.25" customHeight="1" spans="1:8">
      <c r="A267" s="290" t="s">
        <v>1937</v>
      </c>
      <c r="B267" s="295" t="s">
        <v>1960</v>
      </c>
      <c r="C267" s="295">
        <v>3800</v>
      </c>
      <c r="D267" s="295">
        <v>3780</v>
      </c>
      <c r="E267" s="295">
        <v>3930</v>
      </c>
      <c r="F267" s="312"/>
      <c r="H267" s="310"/>
    </row>
    <row r="268" s="278" customFormat="1" ht="14.25" customHeight="1" spans="1:8">
      <c r="A268" s="290" t="s">
        <v>1937</v>
      </c>
      <c r="B268" s="295" t="s">
        <v>1961</v>
      </c>
      <c r="C268" s="295">
        <v>3460</v>
      </c>
      <c r="D268" s="295">
        <v>3430</v>
      </c>
      <c r="E268" s="295">
        <v>3560</v>
      </c>
      <c r="F268" s="303">
        <v>840</v>
      </c>
      <c r="H268" s="310"/>
    </row>
    <row r="269" s="278" customFormat="1" ht="14.25" customHeight="1" spans="1:8">
      <c r="A269" s="290" t="s">
        <v>1937</v>
      </c>
      <c r="B269" s="295" t="s">
        <v>1962</v>
      </c>
      <c r="C269" s="295">
        <v>3210</v>
      </c>
      <c r="D269" s="295">
        <v>3190</v>
      </c>
      <c r="E269" s="295">
        <v>3310</v>
      </c>
      <c r="F269" s="303">
        <v>730</v>
      </c>
      <c r="H269" s="310"/>
    </row>
    <row r="270" s="278" customFormat="1" ht="14.25" customHeight="1" spans="1:8">
      <c r="A270" s="290" t="s">
        <v>1937</v>
      </c>
      <c r="B270" s="295" t="s">
        <v>1963</v>
      </c>
      <c r="C270" s="295">
        <v>3240</v>
      </c>
      <c r="D270" s="295">
        <v>3210</v>
      </c>
      <c r="E270" s="295">
        <v>3390</v>
      </c>
      <c r="F270" s="303">
        <v>820</v>
      </c>
      <c r="H270" s="310"/>
    </row>
    <row r="271" s="278" customFormat="1" ht="14.25" customHeight="1" spans="1:8">
      <c r="A271" s="290" t="s">
        <v>1937</v>
      </c>
      <c r="B271" s="295" t="s">
        <v>1964</v>
      </c>
      <c r="C271" s="295">
        <v>3300</v>
      </c>
      <c r="D271" s="295">
        <v>3270</v>
      </c>
      <c r="E271" s="295">
        <v>3380</v>
      </c>
      <c r="F271" s="303">
        <v>750</v>
      </c>
      <c r="H271" s="310"/>
    </row>
    <row r="272" s="278" customFormat="1" ht="14.25" customHeight="1" spans="1:8">
      <c r="A272" s="290" t="s">
        <v>1937</v>
      </c>
      <c r="B272" s="295" t="s">
        <v>1965</v>
      </c>
      <c r="C272" s="315"/>
      <c r="D272" s="315"/>
      <c r="E272" s="315"/>
      <c r="F272" s="303">
        <v>740</v>
      </c>
      <c r="H272" s="310"/>
    </row>
    <row r="273" s="278" customFormat="1" ht="14.25" customHeight="1" spans="1:8">
      <c r="A273" s="290" t="s">
        <v>1937</v>
      </c>
      <c r="B273" s="295" t="s">
        <v>1966</v>
      </c>
      <c r="C273" s="295">
        <v>3130</v>
      </c>
      <c r="D273" s="295">
        <v>3100</v>
      </c>
      <c r="E273" s="295">
        <v>3230</v>
      </c>
      <c r="F273" s="303">
        <v>700</v>
      </c>
      <c r="H273" s="310"/>
    </row>
    <row r="274" s="278" customFormat="1" ht="14.25" customHeight="1" spans="1:8">
      <c r="A274" s="290" t="s">
        <v>1937</v>
      </c>
      <c r="B274" s="295" t="s">
        <v>1967</v>
      </c>
      <c r="C274" s="295">
        <v>3460</v>
      </c>
      <c r="D274" s="295">
        <v>3430</v>
      </c>
      <c r="E274" s="295">
        <v>3560</v>
      </c>
      <c r="F274" s="303">
        <v>690</v>
      </c>
      <c r="H274" s="310"/>
    </row>
    <row r="275" s="278" customFormat="1" ht="14.25" customHeight="1" spans="1:8">
      <c r="A275" s="290" t="s">
        <v>1937</v>
      </c>
      <c r="B275" s="295" t="s">
        <v>1968</v>
      </c>
      <c r="C275" s="295">
        <v>4040</v>
      </c>
      <c r="D275" s="295">
        <v>4020</v>
      </c>
      <c r="E275" s="295">
        <v>4160</v>
      </c>
      <c r="F275" s="303">
        <v>820</v>
      </c>
      <c r="H275" s="310"/>
    </row>
    <row r="276" s="278" customFormat="1" ht="14.25" customHeight="1" spans="1:8">
      <c r="A276" s="290" t="s">
        <v>1937</v>
      </c>
      <c r="B276" s="295" t="s">
        <v>1969</v>
      </c>
      <c r="C276" s="295">
        <v>3270</v>
      </c>
      <c r="D276" s="295">
        <v>3240</v>
      </c>
      <c r="E276" s="295">
        <v>3350</v>
      </c>
      <c r="F276" s="303">
        <v>680</v>
      </c>
      <c r="H276" s="310"/>
    </row>
    <row r="277" s="278" customFormat="1" ht="14.25" customHeight="1" spans="1:8">
      <c r="A277" s="290" t="s">
        <v>1937</v>
      </c>
      <c r="B277" s="295" t="s">
        <v>1970</v>
      </c>
      <c r="C277" s="295">
        <v>2930</v>
      </c>
      <c r="D277" s="295">
        <v>2900</v>
      </c>
      <c r="E277" s="295">
        <v>3000</v>
      </c>
      <c r="F277" s="303">
        <v>640</v>
      </c>
      <c r="H277" s="310"/>
    </row>
    <row r="278" s="278" customFormat="1" ht="14.25" customHeight="1" spans="1:8">
      <c r="A278" s="290" t="s">
        <v>1937</v>
      </c>
      <c r="B278" s="295" t="s">
        <v>1971</v>
      </c>
      <c r="C278" s="295">
        <v>4080</v>
      </c>
      <c r="D278" s="295">
        <v>4030</v>
      </c>
      <c r="E278" s="295">
        <v>4140</v>
      </c>
      <c r="F278" s="303">
        <v>850</v>
      </c>
      <c r="H278" s="310"/>
    </row>
    <row r="279" s="278" customFormat="1" ht="14.25" customHeight="1" spans="1:8">
      <c r="A279" s="290" t="s">
        <v>1937</v>
      </c>
      <c r="B279" s="295" t="s">
        <v>1972</v>
      </c>
      <c r="C279" s="295"/>
      <c r="D279" s="295"/>
      <c r="E279" s="295"/>
      <c r="F279" s="303">
        <v>760</v>
      </c>
      <c r="H279" s="310"/>
    </row>
    <row r="280" s="278" customFormat="1" ht="14.25" customHeight="1" spans="1:8">
      <c r="A280" s="290" t="s">
        <v>1937</v>
      </c>
      <c r="B280" s="295" t="s">
        <v>1973</v>
      </c>
      <c r="C280" s="295"/>
      <c r="D280" s="295"/>
      <c r="E280" s="295"/>
      <c r="F280" s="303">
        <v>760</v>
      </c>
      <c r="H280" s="310"/>
    </row>
    <row r="281" s="278" customFormat="1" ht="14.25" customHeight="1" spans="1:8">
      <c r="A281" s="290" t="s">
        <v>1937</v>
      </c>
      <c r="B281" s="295" t="s">
        <v>1974</v>
      </c>
      <c r="C281" s="295"/>
      <c r="D281" s="295"/>
      <c r="E281" s="295"/>
      <c r="F281" s="303">
        <v>780</v>
      </c>
      <c r="H281" s="310"/>
    </row>
    <row r="282" s="278" customFormat="1" ht="14.25" customHeight="1" spans="1:8">
      <c r="A282" s="290" t="s">
        <v>1937</v>
      </c>
      <c r="B282" s="295" t="s">
        <v>1975</v>
      </c>
      <c r="C282" s="295"/>
      <c r="D282" s="295"/>
      <c r="E282" s="295"/>
      <c r="F282" s="303">
        <v>730</v>
      </c>
      <c r="H282" s="310"/>
    </row>
    <row r="283" s="278" customFormat="1" ht="14.25" customHeight="1" spans="1:8">
      <c r="A283" s="290" t="s">
        <v>1937</v>
      </c>
      <c r="B283" s="295" t="s">
        <v>1976</v>
      </c>
      <c r="C283" s="295"/>
      <c r="D283" s="295"/>
      <c r="E283" s="295"/>
      <c r="F283" s="303">
        <v>770</v>
      </c>
      <c r="H283" s="310"/>
    </row>
    <row r="284" s="278" customFormat="1" ht="14.25" customHeight="1" spans="1:8">
      <c r="A284" s="290" t="s">
        <v>1937</v>
      </c>
      <c r="B284" s="295" t="s">
        <v>1977</v>
      </c>
      <c r="C284" s="295"/>
      <c r="D284" s="295"/>
      <c r="E284" s="295"/>
      <c r="F284" s="303">
        <v>640</v>
      </c>
      <c r="H284" s="310"/>
    </row>
    <row r="285" s="278" customFormat="1" ht="14.25" customHeight="1" spans="1:8">
      <c r="A285" s="290" t="s">
        <v>1937</v>
      </c>
      <c r="B285" s="295" t="s">
        <v>1978</v>
      </c>
      <c r="C285" s="295"/>
      <c r="D285" s="295"/>
      <c r="E285" s="295"/>
      <c r="F285" s="303">
        <v>640</v>
      </c>
      <c r="H285" s="310"/>
    </row>
    <row r="286" s="278" customFormat="1" ht="14.25" customHeight="1" spans="1:8">
      <c r="A286" s="290" t="s">
        <v>1937</v>
      </c>
      <c r="B286" s="295" t="s">
        <v>1979</v>
      </c>
      <c r="C286" s="295"/>
      <c r="D286" s="295"/>
      <c r="E286" s="295"/>
      <c r="F286" s="303">
        <v>850</v>
      </c>
      <c r="H286" s="310"/>
    </row>
    <row r="287" s="278" customFormat="1" ht="14.25" customHeight="1" spans="1:8">
      <c r="A287" s="290" t="s">
        <v>1937</v>
      </c>
      <c r="B287" s="295" t="s">
        <v>1980</v>
      </c>
      <c r="C287" s="295"/>
      <c r="D287" s="295"/>
      <c r="E287" s="295"/>
      <c r="F287" s="303">
        <v>760</v>
      </c>
      <c r="H287" s="310"/>
    </row>
    <row r="288" s="278" customFormat="1" ht="14.25" customHeight="1" spans="1:8">
      <c r="A288" s="290" t="s">
        <v>1937</v>
      </c>
      <c r="B288" s="295" t="s">
        <v>1981</v>
      </c>
      <c r="C288" s="295"/>
      <c r="D288" s="295"/>
      <c r="E288" s="295"/>
      <c r="F288" s="303">
        <v>830</v>
      </c>
      <c r="H288" s="310"/>
    </row>
    <row r="289" s="278" customFormat="1" ht="14.25" customHeight="1" spans="1:8">
      <c r="A289" s="290" t="s">
        <v>1937</v>
      </c>
      <c r="B289" s="301" t="s">
        <v>1982</v>
      </c>
      <c r="C289" s="301"/>
      <c r="D289" s="301"/>
      <c r="E289" s="301"/>
      <c r="F289" s="311">
        <v>680</v>
      </c>
      <c r="H289" s="310"/>
    </row>
    <row r="290" s="278" customFormat="1" ht="14.25" customHeight="1" spans="1:8">
      <c r="A290" s="290" t="s">
        <v>1983</v>
      </c>
      <c r="B290" s="291" t="s">
        <v>1984</v>
      </c>
      <c r="C290" s="291">
        <v>2770</v>
      </c>
      <c r="D290" s="291">
        <v>2740</v>
      </c>
      <c r="E290" s="291">
        <v>2720</v>
      </c>
      <c r="F290" s="316"/>
      <c r="H290" s="310"/>
    </row>
    <row r="291" s="278" customFormat="1" ht="14.25" customHeight="1" spans="1:8">
      <c r="A291" s="290" t="s">
        <v>1983</v>
      </c>
      <c r="B291" s="295" t="s">
        <v>1985</v>
      </c>
      <c r="C291" s="295">
        <v>2670</v>
      </c>
      <c r="D291" s="295">
        <v>2640</v>
      </c>
      <c r="E291" s="295">
        <v>2620</v>
      </c>
      <c r="F291" s="312"/>
      <c r="H291" s="310"/>
    </row>
    <row r="292" s="278" customFormat="1" ht="14.25" customHeight="1" spans="1:8">
      <c r="A292" s="290" t="s">
        <v>1983</v>
      </c>
      <c r="B292" s="295" t="s">
        <v>1986</v>
      </c>
      <c r="C292" s="295">
        <v>2180</v>
      </c>
      <c r="D292" s="295">
        <v>2140</v>
      </c>
      <c r="E292" s="295">
        <v>2120</v>
      </c>
      <c r="F292" s="303">
        <v>490</v>
      </c>
      <c r="H292" s="310"/>
    </row>
    <row r="293" s="278" customFormat="1" ht="14.25" customHeight="1" spans="1:8">
      <c r="A293" s="290" t="s">
        <v>1983</v>
      </c>
      <c r="B293" s="295" t="s">
        <v>1987</v>
      </c>
      <c r="C293" s="295"/>
      <c r="D293" s="295"/>
      <c r="E293" s="295"/>
      <c r="F293" s="303">
        <v>470</v>
      </c>
      <c r="H293" s="310"/>
    </row>
    <row r="294" s="278" customFormat="1" ht="14.25" customHeight="1" spans="1:8">
      <c r="A294" s="290" t="s">
        <v>1983</v>
      </c>
      <c r="B294" s="295" t="s">
        <v>1988</v>
      </c>
      <c r="C294" s="295">
        <v>2730</v>
      </c>
      <c r="D294" s="295">
        <v>2700</v>
      </c>
      <c r="E294" s="295">
        <v>2680</v>
      </c>
      <c r="F294" s="303">
        <v>490</v>
      </c>
      <c r="H294" s="310"/>
    </row>
    <row r="295" s="278" customFormat="1" ht="14.25" customHeight="1" spans="1:8">
      <c r="A295" s="290" t="s">
        <v>1983</v>
      </c>
      <c r="B295" s="295" t="s">
        <v>1989</v>
      </c>
      <c r="C295" s="295">
        <v>2380</v>
      </c>
      <c r="D295" s="295">
        <v>2350</v>
      </c>
      <c r="E295" s="295">
        <v>2330</v>
      </c>
      <c r="F295" s="303">
        <v>530</v>
      </c>
      <c r="H295" s="310"/>
    </row>
    <row r="296" s="278" customFormat="1" ht="14.25" customHeight="1" spans="1:8">
      <c r="A296" s="290" t="s">
        <v>1983</v>
      </c>
      <c r="B296" s="295" t="s">
        <v>1990</v>
      </c>
      <c r="C296" s="295">
        <v>2650</v>
      </c>
      <c r="D296" s="295">
        <v>2620</v>
      </c>
      <c r="E296" s="295">
        <v>2590</v>
      </c>
      <c r="F296" s="303">
        <v>590</v>
      </c>
      <c r="H296" s="310"/>
    </row>
    <row r="297" s="278" customFormat="1" ht="14.25" customHeight="1" spans="1:8">
      <c r="A297" s="290" t="s">
        <v>1983</v>
      </c>
      <c r="B297" s="295" t="s">
        <v>1991</v>
      </c>
      <c r="C297" s="295">
        <v>2700</v>
      </c>
      <c r="D297" s="295">
        <v>2670</v>
      </c>
      <c r="E297" s="295">
        <v>2650</v>
      </c>
      <c r="F297" s="303">
        <v>630</v>
      </c>
      <c r="H297" s="310"/>
    </row>
    <row r="298" s="278" customFormat="1" ht="14.25" customHeight="1" spans="1:8">
      <c r="A298" s="290" t="s">
        <v>1983</v>
      </c>
      <c r="B298" s="295" t="s">
        <v>1992</v>
      </c>
      <c r="C298" s="295">
        <v>2650</v>
      </c>
      <c r="D298" s="295">
        <v>2620</v>
      </c>
      <c r="E298" s="295">
        <v>2590</v>
      </c>
      <c r="F298" s="303">
        <v>640</v>
      </c>
      <c r="H298" s="310"/>
    </row>
    <row r="299" s="278" customFormat="1" ht="14.25" customHeight="1" spans="1:8">
      <c r="A299" s="290" t="s">
        <v>1983</v>
      </c>
      <c r="B299" s="295" t="s">
        <v>1993</v>
      </c>
      <c r="C299" s="295">
        <v>2500</v>
      </c>
      <c r="D299" s="295">
        <v>2480</v>
      </c>
      <c r="E299" s="295">
        <v>2460</v>
      </c>
      <c r="F299" s="312"/>
      <c r="H299" s="310"/>
    </row>
    <row r="300" s="278" customFormat="1" ht="14.25" customHeight="1" spans="1:8">
      <c r="A300" s="290" t="s">
        <v>1983</v>
      </c>
      <c r="B300" s="295" t="s">
        <v>1994</v>
      </c>
      <c r="C300" s="295">
        <v>2760</v>
      </c>
      <c r="D300" s="295">
        <v>2730</v>
      </c>
      <c r="E300" s="295">
        <v>2700</v>
      </c>
      <c r="F300" s="303">
        <v>630</v>
      </c>
      <c r="H300" s="310"/>
    </row>
    <row r="301" s="278" customFormat="1" ht="14.25" customHeight="1" spans="1:8">
      <c r="A301" s="290" t="s">
        <v>1983</v>
      </c>
      <c r="B301" s="295" t="s">
        <v>1995</v>
      </c>
      <c r="C301" s="295">
        <v>2510</v>
      </c>
      <c r="D301" s="295">
        <v>2480</v>
      </c>
      <c r="E301" s="295">
        <v>2460</v>
      </c>
      <c r="F301" s="312"/>
      <c r="H301" s="310"/>
    </row>
    <row r="302" s="278" customFormat="1" ht="14.25" customHeight="1" spans="1:8">
      <c r="A302" s="290" t="s">
        <v>1983</v>
      </c>
      <c r="B302" s="295" t="s">
        <v>1996</v>
      </c>
      <c r="C302" s="295">
        <v>2480</v>
      </c>
      <c r="D302" s="295">
        <v>2450</v>
      </c>
      <c r="E302" s="295">
        <v>2420</v>
      </c>
      <c r="F302" s="303">
        <v>600</v>
      </c>
      <c r="H302" s="310"/>
    </row>
    <row r="303" s="278" customFormat="1" ht="14.25" customHeight="1" spans="1:8">
      <c r="A303" s="290" t="s">
        <v>1983</v>
      </c>
      <c r="B303" s="295" t="s">
        <v>1997</v>
      </c>
      <c r="C303" s="295">
        <v>2270</v>
      </c>
      <c r="D303" s="295">
        <v>2240</v>
      </c>
      <c r="E303" s="295">
        <v>2210</v>
      </c>
      <c r="F303" s="303">
        <v>540</v>
      </c>
      <c r="H303" s="310"/>
    </row>
    <row r="304" s="278" customFormat="1" ht="14.25" customHeight="1" spans="1:8">
      <c r="A304" s="290" t="s">
        <v>1983</v>
      </c>
      <c r="B304" s="295" t="s">
        <v>1998</v>
      </c>
      <c r="C304" s="295">
        <v>2310</v>
      </c>
      <c r="D304" s="295">
        <v>2290</v>
      </c>
      <c r="E304" s="295">
        <v>2270</v>
      </c>
      <c r="F304" s="312"/>
      <c r="H304" s="310"/>
    </row>
    <row r="305" s="278" customFormat="1" ht="14.25" customHeight="1" spans="1:8">
      <c r="A305" s="290" t="s">
        <v>1983</v>
      </c>
      <c r="B305" s="295" t="s">
        <v>1999</v>
      </c>
      <c r="C305" s="295">
        <v>2490</v>
      </c>
      <c r="D305" s="295">
        <v>2470</v>
      </c>
      <c r="E305" s="295">
        <v>2440</v>
      </c>
      <c r="F305" s="303">
        <v>560</v>
      </c>
      <c r="H305" s="310"/>
    </row>
    <row r="306" s="278" customFormat="1" ht="14.25" customHeight="1" spans="1:8">
      <c r="A306" s="290" t="s">
        <v>1983</v>
      </c>
      <c r="B306" s="295" t="s">
        <v>2000</v>
      </c>
      <c r="C306" s="295">
        <v>2420</v>
      </c>
      <c r="D306" s="295">
        <v>2400</v>
      </c>
      <c r="E306" s="295">
        <v>2380</v>
      </c>
      <c r="F306" s="312"/>
      <c r="H306" s="310"/>
    </row>
    <row r="307" s="278" customFormat="1" ht="14.25" customHeight="1" spans="1:8">
      <c r="A307" s="290" t="s">
        <v>1983</v>
      </c>
      <c r="B307" s="295" t="s">
        <v>2001</v>
      </c>
      <c r="C307" s="295">
        <v>2770</v>
      </c>
      <c r="D307" s="295">
        <v>2740</v>
      </c>
      <c r="E307" s="295">
        <v>2710</v>
      </c>
      <c r="F307" s="303">
        <v>650</v>
      </c>
      <c r="H307" s="310"/>
    </row>
    <row r="308" s="278" customFormat="1" ht="14.25" customHeight="1" spans="1:8">
      <c r="A308" s="290" t="s">
        <v>1983</v>
      </c>
      <c r="B308" s="295" t="s">
        <v>2002</v>
      </c>
      <c r="C308" s="295">
        <v>2610</v>
      </c>
      <c r="D308" s="295">
        <v>2580</v>
      </c>
      <c r="E308" s="295">
        <v>2550</v>
      </c>
      <c r="F308" s="303">
        <v>580</v>
      </c>
      <c r="H308" s="310"/>
    </row>
    <row r="309" s="278" customFormat="1" ht="14.25" customHeight="1" spans="1:8">
      <c r="A309" s="290" t="s">
        <v>1983</v>
      </c>
      <c r="B309" s="295" t="s">
        <v>2003</v>
      </c>
      <c r="C309" s="295">
        <v>2690</v>
      </c>
      <c r="D309" s="295">
        <v>2670</v>
      </c>
      <c r="E309" s="295">
        <v>2650</v>
      </c>
      <c r="F309" s="312"/>
      <c r="H309" s="310"/>
    </row>
    <row r="310" s="278" customFormat="1" ht="14.25" customHeight="1" spans="1:8">
      <c r="A310" s="290" t="s">
        <v>1983</v>
      </c>
      <c r="B310" s="295" t="s">
        <v>2004</v>
      </c>
      <c r="C310" s="295">
        <v>2360</v>
      </c>
      <c r="D310" s="295">
        <v>2330</v>
      </c>
      <c r="E310" s="295">
        <v>2310</v>
      </c>
      <c r="F310" s="303">
        <v>560</v>
      </c>
      <c r="H310" s="310"/>
    </row>
    <row r="311" s="278" customFormat="1" ht="14.25" customHeight="1" spans="1:8">
      <c r="A311" s="290" t="s">
        <v>1983</v>
      </c>
      <c r="B311" s="295" t="s">
        <v>2005</v>
      </c>
      <c r="C311" s="295">
        <v>1970</v>
      </c>
      <c r="D311" s="295">
        <v>1950</v>
      </c>
      <c r="E311" s="295">
        <v>1920</v>
      </c>
      <c r="F311" s="303">
        <v>470</v>
      </c>
      <c r="H311" s="310"/>
    </row>
    <row r="312" s="278" customFormat="1" ht="14.25" customHeight="1" spans="1:8">
      <c r="A312" s="290" t="s">
        <v>1983</v>
      </c>
      <c r="B312" s="295" t="s">
        <v>2006</v>
      </c>
      <c r="C312" s="295">
        <v>2230</v>
      </c>
      <c r="D312" s="295">
        <v>2200</v>
      </c>
      <c r="E312" s="295">
        <v>2170</v>
      </c>
      <c r="F312" s="303">
        <v>460</v>
      </c>
      <c r="H312" s="310"/>
    </row>
    <row r="313" s="278" customFormat="1" ht="14.25" customHeight="1" spans="1:8">
      <c r="A313" s="290" t="s">
        <v>1983</v>
      </c>
      <c r="B313" s="295" t="s">
        <v>2007</v>
      </c>
      <c r="C313" s="295">
        <v>2770</v>
      </c>
      <c r="D313" s="295">
        <v>2740</v>
      </c>
      <c r="E313" s="295">
        <v>2710</v>
      </c>
      <c r="F313" s="303">
        <v>610</v>
      </c>
      <c r="H313" s="310"/>
    </row>
    <row r="314" s="278" customFormat="1" ht="14.25" customHeight="1" spans="1:8">
      <c r="A314" s="290" t="s">
        <v>1983</v>
      </c>
      <c r="B314" s="295" t="s">
        <v>2008</v>
      </c>
      <c r="C314" s="295"/>
      <c r="D314" s="295"/>
      <c r="E314" s="295"/>
      <c r="F314" s="303">
        <v>490</v>
      </c>
      <c r="H314" s="310"/>
    </row>
    <row r="315" s="278" customFormat="1" ht="14.25" customHeight="1" spans="1:8">
      <c r="A315" s="290" t="s">
        <v>1983</v>
      </c>
      <c r="B315" s="295" t="s">
        <v>2009</v>
      </c>
      <c r="C315" s="295"/>
      <c r="D315" s="295"/>
      <c r="E315" s="295"/>
      <c r="F315" s="303">
        <v>520</v>
      </c>
      <c r="H315" s="310"/>
    </row>
    <row r="316" s="278" customFormat="1" ht="14.25" customHeight="1" spans="1:8">
      <c r="A316" s="290" t="s">
        <v>1983</v>
      </c>
      <c r="B316" s="301" t="s">
        <v>2010</v>
      </c>
      <c r="C316" s="301"/>
      <c r="D316" s="301"/>
      <c r="E316" s="301"/>
      <c r="F316" s="311">
        <v>460</v>
      </c>
      <c r="H316" s="310"/>
    </row>
    <row r="317" s="278" customFormat="1" ht="14.25" customHeight="1" spans="1:8">
      <c r="A317" s="290" t="s">
        <v>2011</v>
      </c>
      <c r="B317" s="291" t="s">
        <v>2012</v>
      </c>
      <c r="C317" s="291">
        <v>1200</v>
      </c>
      <c r="D317" s="291">
        <v>1180</v>
      </c>
      <c r="E317" s="291">
        <v>1160</v>
      </c>
      <c r="F317" s="292">
        <v>370</v>
      </c>
      <c r="H317" s="280"/>
    </row>
    <row r="318" s="278" customFormat="1" ht="14.25" customHeight="1" spans="1:8">
      <c r="A318" s="290" t="s">
        <v>2011</v>
      </c>
      <c r="B318" s="295" t="s">
        <v>2013</v>
      </c>
      <c r="C318" s="295">
        <v>1090</v>
      </c>
      <c r="D318" s="295">
        <v>1060</v>
      </c>
      <c r="E318" s="295">
        <v>1040</v>
      </c>
      <c r="F318" s="312"/>
      <c r="H318" s="280"/>
    </row>
    <row r="319" s="278" customFormat="1" ht="14.25" customHeight="1" spans="1:8">
      <c r="A319" s="290" t="s">
        <v>2011</v>
      </c>
      <c r="B319" s="295" t="s">
        <v>2014</v>
      </c>
      <c r="C319" s="295">
        <v>1520</v>
      </c>
      <c r="D319" s="295">
        <v>1470</v>
      </c>
      <c r="E319" s="295">
        <v>1440</v>
      </c>
      <c r="F319" s="303">
        <v>370</v>
      </c>
      <c r="H319" s="280"/>
    </row>
    <row r="320" s="278" customFormat="1" ht="14.25" customHeight="1" spans="1:8">
      <c r="A320" s="290" t="s">
        <v>2011</v>
      </c>
      <c r="B320" s="295" t="s">
        <v>2015</v>
      </c>
      <c r="C320" s="295">
        <v>1360</v>
      </c>
      <c r="D320" s="295">
        <v>1300</v>
      </c>
      <c r="E320" s="295">
        <v>1270</v>
      </c>
      <c r="F320" s="312"/>
      <c r="H320" s="280"/>
    </row>
    <row r="321" s="278" customFormat="1" ht="14.25" customHeight="1" spans="1:8">
      <c r="A321" s="290" t="s">
        <v>2011</v>
      </c>
      <c r="B321" s="295" t="s">
        <v>2016</v>
      </c>
      <c r="C321" s="295">
        <v>1750</v>
      </c>
      <c r="D321" s="295">
        <v>1690</v>
      </c>
      <c r="E321" s="295">
        <v>1660</v>
      </c>
      <c r="F321" s="312"/>
      <c r="H321" s="280"/>
    </row>
    <row r="322" s="278" customFormat="1" ht="14.25" customHeight="1" spans="1:8">
      <c r="A322" s="290" t="s">
        <v>2011</v>
      </c>
      <c r="B322" s="295" t="s">
        <v>2017</v>
      </c>
      <c r="C322" s="295">
        <v>1650</v>
      </c>
      <c r="D322" s="295">
        <v>1610</v>
      </c>
      <c r="E322" s="295">
        <v>1580</v>
      </c>
      <c r="F322" s="303">
        <v>500</v>
      </c>
      <c r="H322" s="280"/>
    </row>
    <row r="323" s="278" customFormat="1" ht="14.25" customHeight="1" spans="1:8">
      <c r="A323" s="290" t="s">
        <v>2011</v>
      </c>
      <c r="B323" s="295" t="s">
        <v>2018</v>
      </c>
      <c r="C323" s="295">
        <v>1780</v>
      </c>
      <c r="D323" s="295">
        <v>1740</v>
      </c>
      <c r="E323" s="295">
        <v>1720</v>
      </c>
      <c r="F323" s="312"/>
      <c r="H323" s="280"/>
    </row>
    <row r="324" s="278" customFormat="1" ht="14.25" customHeight="1" spans="1:8">
      <c r="A324" s="290" t="s">
        <v>2011</v>
      </c>
      <c r="B324" s="295" t="s">
        <v>2019</v>
      </c>
      <c r="C324" s="295">
        <v>1650</v>
      </c>
      <c r="D324" s="295">
        <v>1610</v>
      </c>
      <c r="E324" s="295">
        <v>1580</v>
      </c>
      <c r="F324" s="312"/>
      <c r="H324" s="280"/>
    </row>
    <row r="325" s="278" customFormat="1" ht="14.25" customHeight="1" spans="1:8">
      <c r="A325" s="290" t="s">
        <v>2011</v>
      </c>
      <c r="B325" s="295" t="s">
        <v>2020</v>
      </c>
      <c r="C325" s="295">
        <v>1330</v>
      </c>
      <c r="D325" s="295">
        <v>1270</v>
      </c>
      <c r="E325" s="295">
        <v>1240</v>
      </c>
      <c r="F325" s="303">
        <v>430</v>
      </c>
      <c r="H325" s="280"/>
    </row>
    <row r="326" s="278" customFormat="1" ht="14.25" customHeight="1" spans="1:8">
      <c r="A326" s="290" t="s">
        <v>2011</v>
      </c>
      <c r="B326" s="295" t="s">
        <v>2021</v>
      </c>
      <c r="C326" s="295">
        <v>1470</v>
      </c>
      <c r="D326" s="295">
        <v>1430</v>
      </c>
      <c r="E326" s="295">
        <v>1400</v>
      </c>
      <c r="F326" s="312"/>
      <c r="H326" s="280"/>
    </row>
    <row r="327" s="278" customFormat="1" ht="14.25" customHeight="1" spans="1:8">
      <c r="A327" s="290" t="s">
        <v>2011</v>
      </c>
      <c r="B327" s="295" t="s">
        <v>2022</v>
      </c>
      <c r="C327" s="295">
        <v>1420</v>
      </c>
      <c r="D327" s="295">
        <v>1380</v>
      </c>
      <c r="E327" s="295">
        <v>1360</v>
      </c>
      <c r="F327" s="303">
        <v>420</v>
      </c>
      <c r="H327" s="280"/>
    </row>
    <row r="328" s="278" customFormat="1" ht="14.25" customHeight="1" spans="1:8">
      <c r="A328" s="290" t="s">
        <v>2011</v>
      </c>
      <c r="B328" s="295" t="s">
        <v>2023</v>
      </c>
      <c r="C328" s="295">
        <v>1400</v>
      </c>
      <c r="D328" s="295">
        <v>1360</v>
      </c>
      <c r="E328" s="295">
        <v>1330</v>
      </c>
      <c r="F328" s="303">
        <v>460</v>
      </c>
      <c r="H328" s="280"/>
    </row>
    <row r="329" s="278" customFormat="1" ht="14.25" customHeight="1" spans="1:8">
      <c r="A329" s="290" t="s">
        <v>2011</v>
      </c>
      <c r="B329" s="295" t="s">
        <v>2024</v>
      </c>
      <c r="C329" s="295">
        <v>1640</v>
      </c>
      <c r="D329" s="295">
        <v>1610</v>
      </c>
      <c r="E329" s="295">
        <v>1580</v>
      </c>
      <c r="F329" s="303">
        <v>410</v>
      </c>
      <c r="H329" s="280"/>
    </row>
    <row r="330" s="278" customFormat="1" ht="14.25" customHeight="1" spans="1:8">
      <c r="A330" s="290" t="s">
        <v>2011</v>
      </c>
      <c r="B330" s="295" t="s">
        <v>2025</v>
      </c>
      <c r="C330" s="295">
        <v>1260</v>
      </c>
      <c r="D330" s="295">
        <v>1220</v>
      </c>
      <c r="E330" s="295">
        <v>1200</v>
      </c>
      <c r="F330" s="312"/>
      <c r="H330" s="280"/>
    </row>
    <row r="331" s="278" customFormat="1" ht="14.25" customHeight="1" spans="1:8">
      <c r="A331" s="290" t="s">
        <v>2011</v>
      </c>
      <c r="B331" s="295" t="s">
        <v>2026</v>
      </c>
      <c r="C331" s="295">
        <v>1620</v>
      </c>
      <c r="D331" s="295">
        <v>1560</v>
      </c>
      <c r="E331" s="295">
        <v>1530</v>
      </c>
      <c r="F331" s="303">
        <v>490</v>
      </c>
      <c r="H331" s="280"/>
    </row>
    <row r="332" s="278" customFormat="1" ht="14.25" customHeight="1" spans="1:8">
      <c r="A332" s="290" t="s">
        <v>2011</v>
      </c>
      <c r="B332" s="295" t="s">
        <v>2027</v>
      </c>
      <c r="C332" s="295">
        <v>1520</v>
      </c>
      <c r="D332" s="295">
        <v>1470</v>
      </c>
      <c r="E332" s="295">
        <v>1440</v>
      </c>
      <c r="F332" s="303">
        <v>440</v>
      </c>
      <c r="H332" s="280"/>
    </row>
    <row r="333" s="278" customFormat="1" ht="14.25" customHeight="1" spans="1:8">
      <c r="A333" s="290" t="s">
        <v>2011</v>
      </c>
      <c r="B333" s="295" t="s">
        <v>2028</v>
      </c>
      <c r="C333" s="295">
        <v>1370</v>
      </c>
      <c r="D333" s="295">
        <v>1320</v>
      </c>
      <c r="E333" s="295">
        <v>1300</v>
      </c>
      <c r="F333" s="303">
        <v>460</v>
      </c>
      <c r="H333" s="280"/>
    </row>
    <row r="334" s="278" customFormat="1" ht="14.25" customHeight="1" spans="1:8">
      <c r="A334" s="290" t="s">
        <v>2011</v>
      </c>
      <c r="B334" s="295" t="s">
        <v>2029</v>
      </c>
      <c r="C334" s="295">
        <v>1410</v>
      </c>
      <c r="D334" s="295">
        <v>1340</v>
      </c>
      <c r="E334" s="295">
        <v>1310</v>
      </c>
      <c r="F334" s="303">
        <v>410</v>
      </c>
      <c r="H334" s="280"/>
    </row>
    <row r="335" s="278" customFormat="1" ht="14.25" customHeight="1" spans="1:8">
      <c r="A335" s="290" t="s">
        <v>2011</v>
      </c>
      <c r="B335" s="295" t="s">
        <v>2030</v>
      </c>
      <c r="C335" s="295">
        <v>1260</v>
      </c>
      <c r="D335" s="295">
        <v>1220</v>
      </c>
      <c r="E335" s="295">
        <v>1200</v>
      </c>
      <c r="F335" s="312"/>
      <c r="H335" s="280"/>
    </row>
    <row r="336" s="278" customFormat="1" ht="14.25" customHeight="1" spans="1:8">
      <c r="A336" s="290" t="s">
        <v>2011</v>
      </c>
      <c r="B336" s="295" t="s">
        <v>2031</v>
      </c>
      <c r="C336" s="295">
        <v>1160</v>
      </c>
      <c r="D336" s="295">
        <v>1140</v>
      </c>
      <c r="E336" s="295">
        <v>1120</v>
      </c>
      <c r="F336" s="303">
        <v>430</v>
      </c>
      <c r="H336" s="280"/>
    </row>
    <row r="337" s="278" customFormat="1" ht="14.25" customHeight="1" spans="1:8">
      <c r="A337" s="290" t="s">
        <v>2011</v>
      </c>
      <c r="B337" s="301" t="s">
        <v>2032</v>
      </c>
      <c r="C337" s="301"/>
      <c r="D337" s="301"/>
      <c r="E337" s="301"/>
      <c r="F337" s="311">
        <v>380</v>
      </c>
      <c r="H337" s="280"/>
    </row>
    <row r="338" s="278" customFormat="1" ht="14.25" customHeight="1" spans="1:8">
      <c r="A338" s="290" t="s">
        <v>2033</v>
      </c>
      <c r="B338" s="291" t="s">
        <v>2034</v>
      </c>
      <c r="C338" s="291">
        <v>880</v>
      </c>
      <c r="D338" s="291">
        <v>850</v>
      </c>
      <c r="E338" s="291">
        <v>830</v>
      </c>
      <c r="F338" s="316"/>
      <c r="H338" s="280"/>
    </row>
    <row r="339" s="278" customFormat="1" ht="14.25" customHeight="1" spans="1:8">
      <c r="A339" s="290" t="s">
        <v>2033</v>
      </c>
      <c r="B339" s="295" t="s">
        <v>2035</v>
      </c>
      <c r="C339" s="295">
        <v>830</v>
      </c>
      <c r="D339" s="295">
        <v>800</v>
      </c>
      <c r="E339" s="295">
        <v>780</v>
      </c>
      <c r="F339" s="312"/>
      <c r="H339" s="280"/>
    </row>
    <row r="340" s="278" customFormat="1" ht="14.25" customHeight="1" spans="1:8">
      <c r="A340" s="290" t="s">
        <v>2033</v>
      </c>
      <c r="B340" s="295" t="s">
        <v>2036</v>
      </c>
      <c r="C340" s="295">
        <v>980</v>
      </c>
      <c r="D340" s="295">
        <v>950</v>
      </c>
      <c r="E340" s="295">
        <v>920</v>
      </c>
      <c r="F340" s="312"/>
      <c r="H340" s="280"/>
    </row>
    <row r="341" s="278" customFormat="1" ht="14.25" customHeight="1" spans="1:8">
      <c r="A341" s="290" t="s">
        <v>2033</v>
      </c>
      <c r="B341" s="295" t="s">
        <v>2037</v>
      </c>
      <c r="C341" s="295">
        <v>760</v>
      </c>
      <c r="D341" s="295">
        <v>720</v>
      </c>
      <c r="E341" s="295">
        <v>690</v>
      </c>
      <c r="F341" s="303">
        <v>350</v>
      </c>
      <c r="H341" s="280"/>
    </row>
    <row r="342" s="278" customFormat="1" ht="14.25" customHeight="1" spans="1:8">
      <c r="A342" s="290" t="s">
        <v>2033</v>
      </c>
      <c r="B342" s="295" t="s">
        <v>2038</v>
      </c>
      <c r="C342" s="295">
        <v>910</v>
      </c>
      <c r="D342" s="295">
        <v>870</v>
      </c>
      <c r="E342" s="295">
        <v>850</v>
      </c>
      <c r="F342" s="303">
        <v>370</v>
      </c>
      <c r="H342" s="280"/>
    </row>
    <row r="343" s="278" customFormat="1" ht="14.25" customHeight="1" spans="1:8">
      <c r="A343" s="290" t="s">
        <v>2033</v>
      </c>
      <c r="B343" s="295" t="s">
        <v>2039</v>
      </c>
      <c r="C343" s="295">
        <v>800</v>
      </c>
      <c r="D343" s="295">
        <v>760</v>
      </c>
      <c r="E343" s="295">
        <v>730</v>
      </c>
      <c r="F343" s="303">
        <v>340</v>
      </c>
      <c r="H343" s="280"/>
    </row>
    <row r="344" s="278" customFormat="1" ht="14.25" customHeight="1" spans="1:8">
      <c r="A344" s="290" t="s">
        <v>2033</v>
      </c>
      <c r="B344" s="301" t="s">
        <v>2040</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2078</v>
      </c>
      <c r="B1" s="235" t="s">
        <v>1689</v>
      </c>
      <c r="C1" s="235" t="s">
        <v>1695</v>
      </c>
      <c r="D1" s="235" t="s">
        <v>1715</v>
      </c>
      <c r="E1" s="235" t="s">
        <v>1736</v>
      </c>
      <c r="F1" s="235" t="s">
        <v>1764</v>
      </c>
      <c r="G1" s="235" t="s">
        <v>1799</v>
      </c>
      <c r="H1" s="235" t="s">
        <v>1848</v>
      </c>
      <c r="I1" s="235" t="s">
        <v>1897</v>
      </c>
      <c r="J1" s="235" t="s">
        <v>1937</v>
      </c>
      <c r="K1" s="235" t="s">
        <v>1983</v>
      </c>
      <c r="L1" s="235" t="s">
        <v>2011</v>
      </c>
      <c r="M1" s="270" t="s">
        <v>2033</v>
      </c>
    </row>
    <row r="2" customHeight="1" spans="1:13">
      <c r="A2" s="236" t="s">
        <v>1684</v>
      </c>
      <c r="B2" s="237">
        <v>3.5</v>
      </c>
      <c r="C2" s="237">
        <v>3.5</v>
      </c>
      <c r="D2" s="238">
        <v>2.5</v>
      </c>
      <c r="E2" s="238">
        <v>2.5</v>
      </c>
      <c r="F2" s="238">
        <v>2.5</v>
      </c>
      <c r="G2" s="238">
        <v>2.5</v>
      </c>
      <c r="H2" s="238">
        <v>2.5</v>
      </c>
      <c r="I2" s="237">
        <v>2</v>
      </c>
      <c r="J2" s="237">
        <v>2</v>
      </c>
      <c r="K2" s="237">
        <v>2</v>
      </c>
      <c r="L2" s="237">
        <v>2</v>
      </c>
      <c r="M2" s="271">
        <v>2</v>
      </c>
    </row>
    <row r="3" customHeight="1" spans="1:13">
      <c r="A3" s="239" t="s">
        <v>1685</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1686</v>
      </c>
      <c r="B5" s="243">
        <v>1.5</v>
      </c>
      <c r="C5" s="243">
        <v>1.5</v>
      </c>
      <c r="D5" s="243">
        <v>1.5</v>
      </c>
      <c r="E5" s="243">
        <v>1.5</v>
      </c>
      <c r="F5" s="243">
        <v>1.5</v>
      </c>
      <c r="G5" s="244">
        <v>1.2</v>
      </c>
      <c r="H5" s="244">
        <v>1.2</v>
      </c>
      <c r="I5" s="244">
        <v>1</v>
      </c>
      <c r="J5" s="244">
        <v>1</v>
      </c>
      <c r="K5" s="244">
        <v>1</v>
      </c>
      <c r="L5" s="244">
        <v>1</v>
      </c>
      <c r="M5" s="273">
        <v>1</v>
      </c>
    </row>
    <row r="6" customHeight="1" spans="1:13">
      <c r="A6" s="245" t="s">
        <v>2079</v>
      </c>
      <c r="B6" s="246">
        <v>80</v>
      </c>
      <c r="C6" s="246">
        <v>80</v>
      </c>
      <c r="D6" s="246">
        <v>65</v>
      </c>
      <c r="E6" s="246">
        <v>65</v>
      </c>
      <c r="F6" s="246">
        <v>65</v>
      </c>
      <c r="G6" s="246">
        <v>65</v>
      </c>
      <c r="H6" s="246">
        <v>65</v>
      </c>
      <c r="I6" s="246">
        <v>50</v>
      </c>
      <c r="J6" s="246">
        <v>50</v>
      </c>
      <c r="K6" s="246">
        <v>50</v>
      </c>
      <c r="L6" s="246">
        <v>50</v>
      </c>
      <c r="M6" s="274">
        <v>50</v>
      </c>
    </row>
    <row r="7" customHeight="1" spans="1:13">
      <c r="A7" s="247" t="s">
        <v>2080</v>
      </c>
      <c r="B7" s="248">
        <v>70</v>
      </c>
      <c r="C7" s="248">
        <v>70</v>
      </c>
      <c r="D7" s="248">
        <v>55</v>
      </c>
      <c r="E7" s="248">
        <v>55</v>
      </c>
      <c r="F7" s="248">
        <v>55</v>
      </c>
      <c r="G7" s="248">
        <v>55</v>
      </c>
      <c r="H7" s="248">
        <v>55</v>
      </c>
      <c r="I7" s="248">
        <v>40</v>
      </c>
      <c r="J7" s="248">
        <v>40</v>
      </c>
      <c r="K7" s="248">
        <v>40</v>
      </c>
      <c r="L7" s="248">
        <v>40</v>
      </c>
      <c r="M7" s="275">
        <v>40</v>
      </c>
    </row>
    <row r="8" customHeight="1" spans="1:13">
      <c r="A8" s="247" t="s">
        <v>2081</v>
      </c>
      <c r="B8" s="248">
        <v>20</v>
      </c>
      <c r="C8" s="248">
        <v>20</v>
      </c>
      <c r="D8" s="248">
        <v>15</v>
      </c>
      <c r="E8" s="248">
        <v>15</v>
      </c>
      <c r="F8" s="248">
        <v>15</v>
      </c>
      <c r="G8" s="248">
        <v>15</v>
      </c>
      <c r="H8" s="248">
        <v>15</v>
      </c>
      <c r="I8" s="248">
        <v>10</v>
      </c>
      <c r="J8" s="248">
        <v>10</v>
      </c>
      <c r="K8" s="248">
        <v>10</v>
      </c>
      <c r="L8" s="248">
        <v>10</v>
      </c>
      <c r="M8" s="275">
        <v>10</v>
      </c>
    </row>
    <row r="9" customHeight="1" spans="1:13">
      <c r="A9" s="247" t="s">
        <v>2082</v>
      </c>
      <c r="B9" s="248">
        <v>30</v>
      </c>
      <c r="C9" s="248">
        <v>30</v>
      </c>
      <c r="D9" s="248">
        <v>25</v>
      </c>
      <c r="E9" s="248">
        <v>25</v>
      </c>
      <c r="F9" s="248">
        <v>25</v>
      </c>
      <c r="G9" s="248">
        <v>25</v>
      </c>
      <c r="H9" s="248">
        <v>25</v>
      </c>
      <c r="I9" s="248">
        <v>20</v>
      </c>
      <c r="J9" s="248">
        <v>20</v>
      </c>
      <c r="K9" s="248">
        <v>20</v>
      </c>
      <c r="L9" s="248">
        <v>20</v>
      </c>
      <c r="M9" s="275">
        <v>20</v>
      </c>
    </row>
    <row r="10" customHeight="1" spans="1:13">
      <c r="A10" s="247" t="s">
        <v>2083</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2084</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2085</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2086</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2087</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2088</v>
      </c>
      <c r="B16" s="252"/>
      <c r="C16" s="253"/>
      <c r="D16" s="253"/>
      <c r="E16" s="252"/>
      <c r="F16" s="253"/>
      <c r="G16" s="253"/>
    </row>
    <row r="17" customHeight="1" spans="1:7">
      <c r="A17" s="248" t="s">
        <v>2089</v>
      </c>
      <c r="B17" s="254" t="s">
        <v>2090</v>
      </c>
      <c r="C17" s="254" t="s">
        <v>2091</v>
      </c>
      <c r="D17" s="255"/>
      <c r="E17" s="248" t="s">
        <v>2092</v>
      </c>
      <c r="F17" s="256"/>
      <c r="G17" s="256"/>
    </row>
    <row r="18" s="231" customFormat="1" customHeight="1" spans="1:9">
      <c r="A18" s="257" t="s">
        <v>1684</v>
      </c>
      <c r="B18" s="257" t="s">
        <v>2093</v>
      </c>
      <c r="C18" s="258" t="s">
        <v>2094</v>
      </c>
      <c r="D18" s="259"/>
      <c r="E18" s="257">
        <v>1</v>
      </c>
      <c r="F18" s="260" t="s">
        <v>2095</v>
      </c>
      <c r="G18" s="261"/>
      <c r="H18" s="232"/>
      <c r="I18" s="232"/>
    </row>
    <row r="19" s="231" customFormat="1" customHeight="1" spans="1:9">
      <c r="A19" s="257"/>
      <c r="B19" s="257" t="s">
        <v>2096</v>
      </c>
      <c r="C19" s="258" t="s">
        <v>2097</v>
      </c>
      <c r="D19" s="259"/>
      <c r="E19" s="257">
        <v>0.9</v>
      </c>
      <c r="F19" s="260" t="s">
        <v>2098</v>
      </c>
      <c r="G19" s="261"/>
      <c r="H19" s="232"/>
      <c r="I19" s="232"/>
    </row>
    <row r="20" s="231" customFormat="1" customHeight="1" spans="1:9">
      <c r="A20" s="257"/>
      <c r="B20" s="257"/>
      <c r="C20" s="258" t="s">
        <v>2099</v>
      </c>
      <c r="D20" s="259"/>
      <c r="E20" s="257">
        <v>1.1</v>
      </c>
      <c r="F20" s="260" t="s">
        <v>2100</v>
      </c>
      <c r="G20" s="261"/>
      <c r="H20" s="232"/>
      <c r="I20" s="232"/>
    </row>
    <row r="21" s="231" customFormat="1" customHeight="1" spans="1:9">
      <c r="A21" s="257"/>
      <c r="B21" s="257"/>
      <c r="C21" s="258" t="s">
        <v>2101</v>
      </c>
      <c r="D21" s="259"/>
      <c r="E21" s="257">
        <v>0.8</v>
      </c>
      <c r="F21" s="260" t="s">
        <v>2102</v>
      </c>
      <c r="G21" s="261"/>
      <c r="H21" s="232"/>
      <c r="I21" s="232"/>
    </row>
    <row r="22" s="231" customFormat="1" customHeight="1" spans="1:9">
      <c r="A22" s="257"/>
      <c r="B22" s="257"/>
      <c r="C22" s="258" t="s">
        <v>2103</v>
      </c>
      <c r="D22" s="259"/>
      <c r="E22" s="257">
        <v>0.5</v>
      </c>
      <c r="F22" s="260"/>
      <c r="G22" s="261"/>
      <c r="H22" s="232"/>
      <c r="I22" s="232"/>
    </row>
    <row r="23" s="231" customFormat="1" customHeight="1" spans="1:9">
      <c r="A23" s="257" t="s">
        <v>1685</v>
      </c>
      <c r="B23" s="257" t="s">
        <v>2093</v>
      </c>
      <c r="C23" s="258" t="s">
        <v>2104</v>
      </c>
      <c r="D23" s="259"/>
      <c r="E23" s="257">
        <v>1</v>
      </c>
      <c r="F23" s="260" t="s">
        <v>2105</v>
      </c>
      <c r="G23" s="261"/>
      <c r="H23" s="232"/>
      <c r="I23" s="232"/>
    </row>
    <row r="24" s="231" customFormat="1" customHeight="1" spans="1:9">
      <c r="A24" s="257"/>
      <c r="B24" s="257" t="s">
        <v>2096</v>
      </c>
      <c r="C24" s="258" t="s">
        <v>2106</v>
      </c>
      <c r="D24" s="259"/>
      <c r="E24" s="257">
        <v>0.5</v>
      </c>
      <c r="F24" s="260"/>
      <c r="G24" s="261"/>
      <c r="H24" s="232"/>
      <c r="I24" s="232"/>
    </row>
    <row r="25" s="231" customFormat="1" customHeight="1" spans="1:9">
      <c r="A25" s="257"/>
      <c r="B25" s="257"/>
      <c r="C25" s="258" t="s">
        <v>2107</v>
      </c>
      <c r="D25" s="259"/>
      <c r="E25" s="257">
        <v>1.1</v>
      </c>
      <c r="F25" s="260"/>
      <c r="G25" s="261"/>
      <c r="H25" s="232"/>
      <c r="I25" s="232"/>
    </row>
    <row r="26" s="231" customFormat="1" customHeight="1" spans="1:9">
      <c r="A26" s="257"/>
      <c r="B26" s="257"/>
      <c r="C26" s="258" t="s">
        <v>2108</v>
      </c>
      <c r="D26" s="259"/>
      <c r="E26" s="257">
        <v>1.1</v>
      </c>
      <c r="F26" s="260"/>
      <c r="G26" s="261"/>
      <c r="H26" s="232"/>
      <c r="I26" s="232"/>
    </row>
    <row r="27" s="231" customFormat="1" customHeight="1" spans="1:9">
      <c r="A27" s="257"/>
      <c r="B27" s="257"/>
      <c r="C27" s="258" t="s">
        <v>2109</v>
      </c>
      <c r="D27" s="259"/>
      <c r="E27" s="257">
        <v>0.9</v>
      </c>
      <c r="F27" s="260" t="s">
        <v>2110</v>
      </c>
      <c r="G27" s="261"/>
      <c r="H27" s="232"/>
      <c r="I27" s="232"/>
    </row>
    <row r="28" s="231" customFormat="1" customHeight="1" spans="1:9">
      <c r="A28" s="257"/>
      <c r="B28" s="257"/>
      <c r="C28" s="258" t="s">
        <v>2111</v>
      </c>
      <c r="D28" s="259"/>
      <c r="E28" s="257">
        <v>0.9</v>
      </c>
      <c r="F28" s="260" t="s">
        <v>2112</v>
      </c>
      <c r="G28" s="261"/>
      <c r="H28" s="232"/>
      <c r="I28" s="232"/>
    </row>
    <row r="29" s="231" customFormat="1" customHeight="1" spans="1:9">
      <c r="A29" s="257"/>
      <c r="B29" s="257"/>
      <c r="C29" s="258" t="s">
        <v>2113</v>
      </c>
      <c r="D29" s="259"/>
      <c r="E29" s="257">
        <v>0.9</v>
      </c>
      <c r="F29" s="260" t="s">
        <v>2114</v>
      </c>
      <c r="G29" s="261"/>
      <c r="H29" s="232"/>
      <c r="I29" s="232"/>
    </row>
    <row r="30" s="231" customFormat="1" customHeight="1" spans="1:9">
      <c r="A30" s="257"/>
      <c r="B30" s="257"/>
      <c r="C30" s="258" t="s">
        <v>2115</v>
      </c>
      <c r="D30" s="259"/>
      <c r="E30" s="257">
        <v>0.9</v>
      </c>
      <c r="F30" s="260" t="s">
        <v>2116</v>
      </c>
      <c r="G30" s="261"/>
      <c r="H30" s="232"/>
      <c r="I30" s="232"/>
    </row>
    <row r="31" s="231" customFormat="1" customHeight="1" spans="1:9">
      <c r="A31" s="257"/>
      <c r="B31" s="257"/>
      <c r="C31" s="258" t="s">
        <v>2117</v>
      </c>
      <c r="D31" s="259"/>
      <c r="E31" s="257">
        <v>0.8</v>
      </c>
      <c r="F31" s="260" t="s">
        <v>2118</v>
      </c>
      <c r="G31" s="261"/>
      <c r="H31" s="232"/>
      <c r="I31" s="232"/>
    </row>
    <row r="32" s="231" customFormat="1" customHeight="1" spans="1:9">
      <c r="A32" s="257"/>
      <c r="B32" s="257"/>
      <c r="C32" s="258" t="s">
        <v>2119</v>
      </c>
      <c r="D32" s="259"/>
      <c r="E32" s="257">
        <v>0.8</v>
      </c>
      <c r="F32" s="260" t="s">
        <v>2120</v>
      </c>
      <c r="G32" s="261"/>
      <c r="H32" s="232"/>
      <c r="I32" s="232"/>
    </row>
    <row r="33" s="231" customFormat="1" customHeight="1" spans="1:9">
      <c r="A33" s="257" t="s">
        <v>2121</v>
      </c>
      <c r="B33" s="257" t="s">
        <v>2093</v>
      </c>
      <c r="C33" s="258" t="s">
        <v>1510</v>
      </c>
      <c r="D33" s="259"/>
      <c r="E33" s="257">
        <v>1</v>
      </c>
      <c r="F33" s="260" t="s">
        <v>2122</v>
      </c>
      <c r="G33" s="261"/>
      <c r="H33" s="232"/>
      <c r="I33" s="232"/>
    </row>
    <row r="34" s="231" customFormat="1" customHeight="1" spans="1:9">
      <c r="A34" s="257"/>
      <c r="B34" s="257" t="s">
        <v>2096</v>
      </c>
      <c r="C34" s="258" t="s">
        <v>2123</v>
      </c>
      <c r="D34" s="259"/>
      <c r="E34" s="257">
        <v>1.5</v>
      </c>
      <c r="F34" s="260" t="s">
        <v>2124</v>
      </c>
      <c r="G34" s="261"/>
      <c r="H34" s="232"/>
      <c r="I34" s="232"/>
    </row>
    <row r="35" s="231" customFormat="1" customHeight="1" spans="1:9">
      <c r="A35" s="257" t="s">
        <v>1686</v>
      </c>
      <c r="B35" s="257" t="s">
        <v>2093</v>
      </c>
      <c r="C35" s="258" t="s">
        <v>2125</v>
      </c>
      <c r="D35" s="259"/>
      <c r="E35" s="257">
        <v>1</v>
      </c>
      <c r="F35" s="260" t="s">
        <v>2126</v>
      </c>
      <c r="G35" s="261"/>
      <c r="H35" s="232"/>
      <c r="I35" s="232"/>
    </row>
    <row r="36" s="231" customFormat="1" customHeight="1" spans="1:9">
      <c r="A36" s="257"/>
      <c r="B36" s="257" t="s">
        <v>2096</v>
      </c>
      <c r="C36" s="258" t="s">
        <v>2127</v>
      </c>
      <c r="D36" s="259"/>
      <c r="E36" s="257">
        <v>1</v>
      </c>
      <c r="F36" s="260" t="s">
        <v>2128</v>
      </c>
      <c r="G36" s="261"/>
      <c r="H36" s="232"/>
      <c r="I36" s="232"/>
    </row>
    <row r="37" s="231" customFormat="1" customHeight="1" spans="1:9">
      <c r="A37" s="257"/>
      <c r="B37" s="257"/>
      <c r="C37" s="258" t="s">
        <v>2129</v>
      </c>
      <c r="D37" s="259"/>
      <c r="E37" s="257">
        <v>1.5</v>
      </c>
      <c r="F37" s="260" t="s">
        <v>2130</v>
      </c>
      <c r="G37" s="261"/>
      <c r="H37" s="232"/>
      <c r="I37" s="232"/>
    </row>
    <row r="38" s="231" customFormat="1" customHeight="1" spans="1:9">
      <c r="A38" s="257"/>
      <c r="B38" s="257"/>
      <c r="C38" s="258" t="s">
        <v>2131</v>
      </c>
      <c r="D38" s="259"/>
      <c r="E38" s="257">
        <v>1</v>
      </c>
      <c r="F38" s="260" t="s">
        <v>2132</v>
      </c>
      <c r="G38" s="261"/>
      <c r="H38" s="232"/>
      <c r="I38" s="232"/>
    </row>
    <row r="39" s="231" customFormat="1" customHeight="1" spans="1:9">
      <c r="A39" s="257"/>
      <c r="B39" s="257"/>
      <c r="C39" s="258" t="s">
        <v>2133</v>
      </c>
      <c r="D39" s="259"/>
      <c r="E39" s="257">
        <v>1</v>
      </c>
      <c r="F39" s="260" t="s">
        <v>2134</v>
      </c>
      <c r="G39" s="261"/>
      <c r="H39" s="232"/>
      <c r="I39" s="232"/>
    </row>
    <row r="40" s="231" customFormat="1" customHeight="1" spans="1:9">
      <c r="A40" s="262" t="s">
        <v>2135</v>
      </c>
      <c r="B40" s="262"/>
      <c r="C40" s="262"/>
      <c r="D40" s="262"/>
      <c r="E40" s="262"/>
      <c r="F40" s="263"/>
      <c r="G40" s="263"/>
      <c r="H40" s="232"/>
      <c r="I40" s="232"/>
    </row>
    <row r="42" customHeight="1" spans="1:8">
      <c r="A42" s="264"/>
      <c r="B42" s="248" t="s">
        <v>2136</v>
      </c>
      <c r="C42" s="248" t="s">
        <v>2136</v>
      </c>
      <c r="D42" s="248" t="s">
        <v>2136</v>
      </c>
      <c r="E42" s="250" t="s">
        <v>2136</v>
      </c>
      <c r="F42" s="250" t="s">
        <v>2136</v>
      </c>
      <c r="G42" s="250" t="s">
        <v>2137</v>
      </c>
      <c r="H42" s="250" t="s">
        <v>2136</v>
      </c>
    </row>
    <row r="43" customHeight="1" spans="1:8">
      <c r="A43" s="265"/>
      <c r="B43" s="250" t="s">
        <v>1684</v>
      </c>
      <c r="C43" s="250" t="s">
        <v>1684</v>
      </c>
      <c r="D43" s="250" t="s">
        <v>1684</v>
      </c>
      <c r="E43" s="250" t="s">
        <v>1684</v>
      </c>
      <c r="F43" s="248" t="s">
        <v>1685</v>
      </c>
      <c r="G43" s="248" t="s">
        <v>1686</v>
      </c>
      <c r="H43" s="248" t="s">
        <v>2138</v>
      </c>
    </row>
    <row r="44" customHeight="1" spans="1:8">
      <c r="A44" s="266"/>
      <c r="B44" s="248">
        <v>1</v>
      </c>
      <c r="C44" s="248">
        <v>2</v>
      </c>
      <c r="D44" s="248">
        <v>3</v>
      </c>
      <c r="E44" s="250">
        <v>4</v>
      </c>
      <c r="F44" s="255" t="s">
        <v>2139</v>
      </c>
      <c r="G44" s="255" t="s">
        <v>2139</v>
      </c>
      <c r="H44" s="255" t="s">
        <v>2139</v>
      </c>
    </row>
    <row r="45" customHeight="1" spans="1:8">
      <c r="A45" s="267" t="s">
        <v>1689</v>
      </c>
      <c r="B45" s="248">
        <v>0.8</v>
      </c>
      <c r="C45" s="248">
        <v>0.5</v>
      </c>
      <c r="D45" s="248">
        <v>0.36</v>
      </c>
      <c r="E45" s="248">
        <v>0.3</v>
      </c>
      <c r="F45" s="255">
        <v>0.3</v>
      </c>
      <c r="G45" s="248">
        <v>0.3</v>
      </c>
      <c r="H45" s="248">
        <v>0.25</v>
      </c>
    </row>
    <row r="46" customHeight="1" spans="1:8">
      <c r="A46" s="267" t="s">
        <v>1695</v>
      </c>
      <c r="B46" s="248">
        <v>0.8</v>
      </c>
      <c r="C46" s="248">
        <v>0.5</v>
      </c>
      <c r="D46" s="248">
        <v>0.36</v>
      </c>
      <c r="E46" s="248">
        <v>0.3</v>
      </c>
      <c r="F46" s="248">
        <v>0.3</v>
      </c>
      <c r="G46" s="248">
        <v>0.3</v>
      </c>
      <c r="H46" s="248">
        <v>0.25</v>
      </c>
    </row>
    <row r="47" customHeight="1" spans="1:8">
      <c r="A47" s="267" t="s">
        <v>1715</v>
      </c>
      <c r="B47" s="248">
        <v>0.7</v>
      </c>
      <c r="C47" s="248">
        <v>0.4</v>
      </c>
      <c r="D47" s="248">
        <v>0.28</v>
      </c>
      <c r="E47" s="248">
        <v>0.25</v>
      </c>
      <c r="F47" s="248">
        <v>0.25</v>
      </c>
      <c r="G47" s="248">
        <v>0.25</v>
      </c>
      <c r="H47" s="248">
        <v>0.2</v>
      </c>
    </row>
    <row r="48" customHeight="1" spans="1:8">
      <c r="A48" s="267" t="s">
        <v>1736</v>
      </c>
      <c r="B48" s="248">
        <v>0.7</v>
      </c>
      <c r="C48" s="248">
        <v>0.4</v>
      </c>
      <c r="D48" s="248">
        <v>0.28</v>
      </c>
      <c r="E48" s="248">
        <v>0.25</v>
      </c>
      <c r="F48" s="248">
        <v>0.25</v>
      </c>
      <c r="G48" s="248">
        <v>0.25</v>
      </c>
      <c r="H48" s="248">
        <v>0.2</v>
      </c>
    </row>
    <row r="49" s="232" customFormat="1" customHeight="1" spans="1:8">
      <c r="A49" s="267" t="s">
        <v>1764</v>
      </c>
      <c r="B49" s="248">
        <v>0.7</v>
      </c>
      <c r="C49" s="248">
        <v>0.4</v>
      </c>
      <c r="D49" s="248">
        <v>0.28</v>
      </c>
      <c r="E49" s="248">
        <v>0.25</v>
      </c>
      <c r="F49" s="248">
        <v>0.25</v>
      </c>
      <c r="G49" s="248">
        <v>0.25</v>
      </c>
      <c r="H49" s="248">
        <v>0.2</v>
      </c>
    </row>
    <row r="50" s="232" customFormat="1" customHeight="1" spans="1:8">
      <c r="A50" s="267" t="s">
        <v>1799</v>
      </c>
      <c r="B50" s="248">
        <v>0.7</v>
      </c>
      <c r="C50" s="248">
        <v>0.4</v>
      </c>
      <c r="D50" s="248">
        <v>0.28</v>
      </c>
      <c r="E50" s="248">
        <v>0.25</v>
      </c>
      <c r="F50" s="248">
        <v>0.25</v>
      </c>
      <c r="G50" s="248">
        <v>0.25</v>
      </c>
      <c r="H50" s="248">
        <v>0.2</v>
      </c>
    </row>
    <row r="51" s="232" customFormat="1" customHeight="1" spans="1:8">
      <c r="A51" s="267" t="s">
        <v>1848</v>
      </c>
      <c r="B51" s="248">
        <v>0.7</v>
      </c>
      <c r="C51" s="248">
        <v>0.4</v>
      </c>
      <c r="D51" s="248">
        <v>0.28</v>
      </c>
      <c r="E51" s="248">
        <v>0.25</v>
      </c>
      <c r="F51" s="248">
        <v>0.25</v>
      </c>
      <c r="G51" s="248">
        <v>0.25</v>
      </c>
      <c r="H51" s="248">
        <v>0.2</v>
      </c>
    </row>
    <row r="52" s="232" customFormat="1" customHeight="1" spans="1:8">
      <c r="A52" s="267" t="s">
        <v>1897</v>
      </c>
      <c r="B52" s="248">
        <v>0.6</v>
      </c>
      <c r="C52" s="248">
        <v>0.3</v>
      </c>
      <c r="D52" s="248">
        <v>0.2</v>
      </c>
      <c r="E52" s="248">
        <v>0.2</v>
      </c>
      <c r="F52" s="248">
        <v>0.2</v>
      </c>
      <c r="G52" s="248">
        <v>0.2</v>
      </c>
      <c r="H52" s="248">
        <v>0.15</v>
      </c>
    </row>
    <row r="53" s="232" customFormat="1" customHeight="1" spans="1:8">
      <c r="A53" s="267" t="s">
        <v>1937</v>
      </c>
      <c r="B53" s="248">
        <v>0.6</v>
      </c>
      <c r="C53" s="248">
        <v>0.3</v>
      </c>
      <c r="D53" s="248">
        <v>0.2</v>
      </c>
      <c r="E53" s="248">
        <v>0.2</v>
      </c>
      <c r="F53" s="248">
        <v>0.2</v>
      </c>
      <c r="G53" s="248">
        <v>0.2</v>
      </c>
      <c r="H53" s="248">
        <v>0.15</v>
      </c>
    </row>
    <row r="54" s="232" customFormat="1" customHeight="1" spans="1:8">
      <c r="A54" s="267" t="s">
        <v>1983</v>
      </c>
      <c r="B54" s="248">
        <v>0.6</v>
      </c>
      <c r="C54" s="248">
        <v>0.3</v>
      </c>
      <c r="D54" s="248">
        <v>0.2</v>
      </c>
      <c r="E54" s="248">
        <v>0.2</v>
      </c>
      <c r="F54" s="248">
        <v>0.2</v>
      </c>
      <c r="G54" s="248">
        <v>0.2</v>
      </c>
      <c r="H54" s="248">
        <v>0.15</v>
      </c>
    </row>
    <row r="55" s="232" customFormat="1" customHeight="1" spans="1:8">
      <c r="A55" s="267" t="s">
        <v>2011</v>
      </c>
      <c r="B55" s="248">
        <v>0.6</v>
      </c>
      <c r="C55" s="248">
        <v>0.3</v>
      </c>
      <c r="D55" s="248">
        <v>0.2</v>
      </c>
      <c r="E55" s="248">
        <v>0.2</v>
      </c>
      <c r="F55" s="248">
        <v>0.2</v>
      </c>
      <c r="G55" s="248">
        <v>0.2</v>
      </c>
      <c r="H55" s="248">
        <v>0.15</v>
      </c>
    </row>
    <row r="56" s="232" customFormat="1" customHeight="1" spans="1:8">
      <c r="A56" s="267" t="s">
        <v>2033</v>
      </c>
      <c r="B56" s="248">
        <v>0.6</v>
      </c>
      <c r="C56" s="248">
        <v>0.3</v>
      </c>
      <c r="D56" s="248">
        <v>0.2</v>
      </c>
      <c r="E56" s="248">
        <v>0.2</v>
      </c>
      <c r="F56" s="248">
        <v>0.2</v>
      </c>
      <c r="G56" s="248">
        <v>0.2</v>
      </c>
      <c r="H56" s="248">
        <v>0.15</v>
      </c>
    </row>
    <row r="58" s="232" customFormat="1" customHeight="1" spans="1:6">
      <c r="A58" s="268"/>
      <c r="B58" s="252"/>
      <c r="C58" s="252"/>
      <c r="D58" s="252" t="s">
        <v>2140</v>
      </c>
      <c r="E58" s="252"/>
      <c r="F58" s="252"/>
    </row>
    <row r="59" s="232" customFormat="1" customHeight="1" spans="1:6">
      <c r="A59" s="257" t="s">
        <v>690</v>
      </c>
      <c r="B59" s="257" t="s">
        <v>2141</v>
      </c>
      <c r="C59" s="257" t="s">
        <v>2142</v>
      </c>
      <c r="D59" s="257" t="s">
        <v>2143</v>
      </c>
      <c r="E59" s="257" t="s">
        <v>2144</v>
      </c>
      <c r="F59" s="257" t="s">
        <v>2145</v>
      </c>
    </row>
    <row r="60" ht="13.5" spans="1:6">
      <c r="A60" s="257"/>
      <c r="B60" s="257"/>
      <c r="C60" s="257" t="s">
        <v>2146</v>
      </c>
      <c r="D60" s="257"/>
      <c r="E60" s="269" t="s">
        <v>121</v>
      </c>
      <c r="F60" s="257" t="s">
        <v>121</v>
      </c>
    </row>
    <row r="61" s="232" customFormat="1" ht="24" spans="1:6">
      <c r="A61" s="257">
        <v>1</v>
      </c>
      <c r="B61" s="257" t="s">
        <v>2147</v>
      </c>
      <c r="C61" s="248" t="s">
        <v>2148</v>
      </c>
      <c r="D61" s="248" t="s">
        <v>2149</v>
      </c>
      <c r="E61" s="269">
        <v>0.5</v>
      </c>
      <c r="F61" s="257">
        <v>80</v>
      </c>
    </row>
    <row r="62" s="232" customFormat="1" ht="24" spans="1:6">
      <c r="A62" s="257">
        <v>2</v>
      </c>
      <c r="B62" s="257"/>
      <c r="C62" s="248" t="s">
        <v>2150</v>
      </c>
      <c r="D62" s="248" t="s">
        <v>2151</v>
      </c>
      <c r="E62" s="269">
        <v>0.5</v>
      </c>
      <c r="F62" s="257">
        <v>80</v>
      </c>
    </row>
    <row r="63" s="232" customFormat="1" ht="36" spans="1:6">
      <c r="A63" s="257">
        <v>3</v>
      </c>
      <c r="B63" s="257"/>
      <c r="C63" s="248" t="s">
        <v>2152</v>
      </c>
      <c r="D63" s="248" t="s">
        <v>2153</v>
      </c>
      <c r="E63" s="269">
        <v>0.5</v>
      </c>
      <c r="F63" s="257">
        <v>80</v>
      </c>
    </row>
    <row r="64" s="232" customFormat="1" ht="36" spans="1:6">
      <c r="A64" s="257">
        <v>4</v>
      </c>
      <c r="B64" s="257"/>
      <c r="C64" s="248" t="s">
        <v>2154</v>
      </c>
      <c r="D64" s="248" t="s">
        <v>2155</v>
      </c>
      <c r="E64" s="269">
        <v>0.4</v>
      </c>
      <c r="F64" s="257">
        <v>60</v>
      </c>
    </row>
    <row r="65" s="232" customFormat="1" ht="36" spans="1:6">
      <c r="A65" s="257">
        <v>5</v>
      </c>
      <c r="B65" s="257"/>
      <c r="C65" s="248" t="s">
        <v>2156</v>
      </c>
      <c r="D65" s="248" t="s">
        <v>2157</v>
      </c>
      <c r="E65" s="269">
        <v>0.2</v>
      </c>
      <c r="F65" s="257">
        <v>30</v>
      </c>
    </row>
    <row r="66" s="232" customFormat="1" ht="36" spans="1:6">
      <c r="A66" s="257">
        <v>6</v>
      </c>
      <c r="B66" s="257"/>
      <c r="C66" s="248" t="s">
        <v>2158</v>
      </c>
      <c r="D66" s="248" t="s">
        <v>2159</v>
      </c>
      <c r="E66" s="269">
        <v>0.3</v>
      </c>
      <c r="F66" s="257">
        <v>50</v>
      </c>
    </row>
    <row r="67" s="232" customFormat="1" ht="36" spans="1:6">
      <c r="A67" s="257">
        <v>7</v>
      </c>
      <c r="B67" s="257"/>
      <c r="C67" s="248" t="s">
        <v>2160</v>
      </c>
      <c r="D67" s="248" t="s">
        <v>2161</v>
      </c>
      <c r="E67" s="269">
        <v>0.2</v>
      </c>
      <c r="F67" s="257">
        <v>30</v>
      </c>
    </row>
    <row r="68" s="232" customFormat="1" ht="36" spans="1:6">
      <c r="A68" s="257">
        <v>8</v>
      </c>
      <c r="B68" s="257"/>
      <c r="C68" s="248" t="s">
        <v>2162</v>
      </c>
      <c r="D68" s="248" t="s">
        <v>2163</v>
      </c>
      <c r="E68" s="269">
        <v>0.2</v>
      </c>
      <c r="F68" s="257">
        <v>30</v>
      </c>
    </row>
    <row r="69" s="232" customFormat="1" ht="36" spans="1:6">
      <c r="A69" s="257">
        <v>9</v>
      </c>
      <c r="B69" s="257"/>
      <c r="C69" s="248" t="s">
        <v>2164</v>
      </c>
      <c r="D69" s="248" t="s">
        <v>2165</v>
      </c>
      <c r="E69" s="269">
        <v>0.2</v>
      </c>
      <c r="F69" s="257">
        <v>30</v>
      </c>
    </row>
    <row r="70" s="232" customFormat="1" ht="48" spans="1:6">
      <c r="A70" s="257">
        <v>10</v>
      </c>
      <c r="B70" s="257"/>
      <c r="C70" s="248" t="s">
        <v>2166</v>
      </c>
      <c r="D70" s="248" t="s">
        <v>2167</v>
      </c>
      <c r="E70" s="269">
        <v>0.2</v>
      </c>
      <c r="F70" s="257">
        <v>30</v>
      </c>
    </row>
    <row r="71" s="232" customFormat="1" ht="48" spans="1:6">
      <c r="A71" s="257">
        <v>11</v>
      </c>
      <c r="B71" s="257"/>
      <c r="C71" s="248" t="s">
        <v>2168</v>
      </c>
      <c r="D71" s="248" t="s">
        <v>2169</v>
      </c>
      <c r="E71" s="269">
        <v>0.2</v>
      </c>
      <c r="F71" s="257">
        <v>30</v>
      </c>
    </row>
    <row r="72" s="232" customFormat="1" ht="36" spans="1:6">
      <c r="A72" s="257">
        <v>12</v>
      </c>
      <c r="B72" s="257"/>
      <c r="C72" s="248" t="s">
        <v>2170</v>
      </c>
      <c r="D72" s="248" t="s">
        <v>2171</v>
      </c>
      <c r="E72" s="269">
        <v>0.5</v>
      </c>
      <c r="F72" s="257">
        <v>80</v>
      </c>
    </row>
    <row r="73" s="232" customFormat="1" ht="36" spans="1:6">
      <c r="A73" s="257">
        <v>13</v>
      </c>
      <c r="B73" s="257"/>
      <c r="C73" s="248" t="s">
        <v>2172</v>
      </c>
      <c r="D73" s="248" t="s">
        <v>2173</v>
      </c>
      <c r="E73" s="269">
        <v>0.4</v>
      </c>
      <c r="F73" s="257">
        <v>60</v>
      </c>
    </row>
    <row r="74" s="232" customFormat="1" ht="36" spans="1:6">
      <c r="A74" s="257">
        <v>14</v>
      </c>
      <c r="B74" s="257"/>
      <c r="C74" s="248" t="s">
        <v>2174</v>
      </c>
      <c r="D74" s="248" t="s">
        <v>2175</v>
      </c>
      <c r="E74" s="269">
        <v>0.2</v>
      </c>
      <c r="F74" s="257">
        <v>30</v>
      </c>
    </row>
    <row r="75" s="232" customFormat="1" ht="36" spans="1:6">
      <c r="A75" s="257">
        <v>15</v>
      </c>
      <c r="B75" s="257"/>
      <c r="C75" s="248" t="s">
        <v>2176</v>
      </c>
      <c r="D75" s="248" t="s">
        <v>2177</v>
      </c>
      <c r="E75" s="269">
        <v>0.2</v>
      </c>
      <c r="F75" s="257">
        <v>30</v>
      </c>
    </row>
    <row r="76" s="232" customFormat="1" ht="24" spans="1:6">
      <c r="A76" s="257">
        <v>16</v>
      </c>
      <c r="B76" s="257" t="s">
        <v>2178</v>
      </c>
      <c r="C76" s="248" t="s">
        <v>2179</v>
      </c>
      <c r="D76" s="248" t="s">
        <v>2180</v>
      </c>
      <c r="E76" s="269">
        <v>0.5</v>
      </c>
      <c r="F76" s="257">
        <v>80</v>
      </c>
    </row>
    <row r="77" s="232" customFormat="1" ht="24" spans="1:6">
      <c r="A77" s="257">
        <v>17</v>
      </c>
      <c r="B77" s="257"/>
      <c r="C77" s="248" t="s">
        <v>2181</v>
      </c>
      <c r="D77" s="248" t="s">
        <v>2182</v>
      </c>
      <c r="E77" s="269">
        <v>0.5</v>
      </c>
      <c r="F77" s="257">
        <v>80</v>
      </c>
    </row>
    <row r="78" s="232" customFormat="1" ht="36" spans="1:6">
      <c r="A78" s="257">
        <v>18</v>
      </c>
      <c r="B78" s="257"/>
      <c r="C78" s="248" t="s">
        <v>2183</v>
      </c>
      <c r="D78" s="248" t="s">
        <v>2184</v>
      </c>
      <c r="E78" s="269">
        <v>0.2</v>
      </c>
      <c r="F78" s="257">
        <v>30</v>
      </c>
    </row>
    <row r="79" s="232" customFormat="1" ht="24" spans="1:6">
      <c r="A79" s="257">
        <v>19</v>
      </c>
      <c r="B79" s="257"/>
      <c r="C79" s="248" t="s">
        <v>2185</v>
      </c>
      <c r="D79" s="248" t="s">
        <v>2186</v>
      </c>
      <c r="E79" s="269">
        <v>0.5</v>
      </c>
      <c r="F79" s="257">
        <v>80</v>
      </c>
    </row>
    <row r="80" s="232" customFormat="1" ht="36" spans="1:6">
      <c r="A80" s="257">
        <v>20</v>
      </c>
      <c r="B80" s="257"/>
      <c r="C80" s="248" t="s">
        <v>2187</v>
      </c>
      <c r="D80" s="248" t="s">
        <v>2188</v>
      </c>
      <c r="E80" s="269">
        <v>0.2</v>
      </c>
      <c r="F80" s="257">
        <v>30</v>
      </c>
    </row>
    <row r="81" s="232" customFormat="1" ht="36" spans="1:6">
      <c r="A81" s="257">
        <v>21</v>
      </c>
      <c r="B81" s="257"/>
      <c r="C81" s="248" t="s">
        <v>2189</v>
      </c>
      <c r="D81" s="248" t="s">
        <v>2190</v>
      </c>
      <c r="E81" s="269">
        <v>0.2</v>
      </c>
      <c r="F81" s="257">
        <v>30</v>
      </c>
    </row>
    <row r="82" s="232" customFormat="1" ht="48" spans="1:6">
      <c r="A82" s="257">
        <v>22</v>
      </c>
      <c r="B82" s="257"/>
      <c r="C82" s="248" t="s">
        <v>2191</v>
      </c>
      <c r="D82" s="248" t="s">
        <v>2192</v>
      </c>
      <c r="E82" s="269">
        <v>0.2</v>
      </c>
      <c r="F82" s="257">
        <v>30</v>
      </c>
    </row>
    <row r="83" s="232" customFormat="1" ht="48" spans="1:6">
      <c r="A83" s="257">
        <v>23</v>
      </c>
      <c r="B83" s="257"/>
      <c r="C83" s="248" t="s">
        <v>2193</v>
      </c>
      <c r="D83" s="248" t="s">
        <v>2194</v>
      </c>
      <c r="E83" s="269">
        <v>0.2</v>
      </c>
      <c r="F83" s="257">
        <v>30</v>
      </c>
    </row>
    <row r="84" s="232" customFormat="1" ht="36" spans="1:6">
      <c r="A84" s="257">
        <v>24</v>
      </c>
      <c r="B84" s="257"/>
      <c r="C84" s="248" t="s">
        <v>2195</v>
      </c>
      <c r="D84" s="248" t="s">
        <v>2196</v>
      </c>
      <c r="E84" s="269">
        <v>0.2</v>
      </c>
      <c r="F84" s="257">
        <v>30</v>
      </c>
    </row>
    <row r="85" s="232" customFormat="1" ht="36" spans="1:6">
      <c r="A85" s="257">
        <v>25</v>
      </c>
      <c r="B85" s="257"/>
      <c r="C85" s="248" t="s">
        <v>2197</v>
      </c>
      <c r="D85" s="248" t="s">
        <v>2198</v>
      </c>
      <c r="E85" s="269">
        <v>0.5</v>
      </c>
      <c r="F85" s="257">
        <v>80</v>
      </c>
    </row>
    <row r="86" s="232" customFormat="1" ht="36" spans="1:6">
      <c r="A86" s="257">
        <v>26</v>
      </c>
      <c r="B86" s="257"/>
      <c r="C86" s="248" t="s">
        <v>2199</v>
      </c>
      <c r="D86" s="248" t="s">
        <v>2200</v>
      </c>
      <c r="E86" s="269">
        <v>0.2</v>
      </c>
      <c r="F86" s="257">
        <v>30</v>
      </c>
    </row>
    <row r="87" s="232" customFormat="1" ht="36" spans="1:6">
      <c r="A87" s="257">
        <v>27</v>
      </c>
      <c r="B87" s="257"/>
      <c r="C87" s="248" t="s">
        <v>2201</v>
      </c>
      <c r="D87" s="248" t="s">
        <v>2202</v>
      </c>
      <c r="E87" s="269">
        <v>0.2</v>
      </c>
      <c r="F87" s="257">
        <v>30</v>
      </c>
    </row>
    <row r="88" s="232" customFormat="1" ht="36" spans="1:6">
      <c r="A88" s="257">
        <v>28</v>
      </c>
      <c r="B88" s="257"/>
      <c r="C88" s="248" t="s">
        <v>2203</v>
      </c>
      <c r="D88" s="248" t="s">
        <v>2204</v>
      </c>
      <c r="E88" s="269">
        <v>0.2</v>
      </c>
      <c r="F88" s="257">
        <v>30</v>
      </c>
    </row>
    <row r="89" s="232" customFormat="1" ht="36" spans="1:6">
      <c r="A89" s="257">
        <v>29</v>
      </c>
      <c r="B89" s="257"/>
      <c r="C89" s="248" t="s">
        <v>2205</v>
      </c>
      <c r="D89" s="248" t="s">
        <v>2206</v>
      </c>
      <c r="E89" s="269">
        <v>0.2</v>
      </c>
      <c r="F89" s="257">
        <v>30</v>
      </c>
    </row>
    <row r="90" s="232" customFormat="1" ht="36" spans="1:6">
      <c r="A90" s="257">
        <v>30</v>
      </c>
      <c r="B90" s="257"/>
      <c r="C90" s="248" t="s">
        <v>2207</v>
      </c>
      <c r="D90" s="248" t="s">
        <v>2208</v>
      </c>
      <c r="E90" s="269">
        <v>0.2</v>
      </c>
      <c r="F90" s="257">
        <v>30</v>
      </c>
    </row>
    <row r="91" s="232" customFormat="1" ht="36" spans="1:6">
      <c r="A91" s="257">
        <v>31</v>
      </c>
      <c r="B91" s="257"/>
      <c r="C91" s="248" t="s">
        <v>2209</v>
      </c>
      <c r="D91" s="248" t="s">
        <v>2210</v>
      </c>
      <c r="E91" s="269">
        <v>0.2</v>
      </c>
      <c r="F91" s="257">
        <v>30</v>
      </c>
    </row>
    <row r="92" s="232" customFormat="1" ht="36" spans="1:6">
      <c r="A92" s="257">
        <v>32</v>
      </c>
      <c r="B92" s="257" t="s">
        <v>2211</v>
      </c>
      <c r="C92" s="257" t="s">
        <v>2212</v>
      </c>
      <c r="D92" s="248" t="s">
        <v>2213</v>
      </c>
      <c r="E92" s="269">
        <v>0.2</v>
      </c>
      <c r="F92" s="257">
        <v>30</v>
      </c>
    </row>
    <row r="93" s="232" customFormat="1" ht="36" spans="1:6">
      <c r="A93" s="257">
        <v>33</v>
      </c>
      <c r="B93" s="257"/>
      <c r="C93" s="257" t="s">
        <v>2214</v>
      </c>
      <c r="D93" s="248" t="s">
        <v>2215</v>
      </c>
      <c r="E93" s="269">
        <v>0.2</v>
      </c>
      <c r="F93" s="257">
        <v>30</v>
      </c>
    </row>
    <row r="94" s="232" customFormat="1" ht="48" spans="1:6">
      <c r="A94" s="257">
        <v>34</v>
      </c>
      <c r="B94" s="257"/>
      <c r="C94" s="257" t="s">
        <v>2216</v>
      </c>
      <c r="D94" s="248" t="s">
        <v>2217</v>
      </c>
      <c r="E94" s="269">
        <v>0.2</v>
      </c>
      <c r="F94" s="257">
        <v>30</v>
      </c>
    </row>
    <row r="95" s="232" customFormat="1" ht="36" spans="1:6">
      <c r="A95" s="257">
        <v>35</v>
      </c>
      <c r="B95" s="257"/>
      <c r="C95" s="257" t="s">
        <v>2218</v>
      </c>
      <c r="D95" s="248" t="s">
        <v>2219</v>
      </c>
      <c r="E95" s="269">
        <v>0.2</v>
      </c>
      <c r="F95" s="257">
        <v>30</v>
      </c>
    </row>
    <row r="96" s="232" customFormat="1" ht="48" spans="1:6">
      <c r="A96" s="257">
        <v>36</v>
      </c>
      <c r="B96" s="257"/>
      <c r="C96" s="248" t="s">
        <v>2220</v>
      </c>
      <c r="D96" s="248" t="s">
        <v>2221</v>
      </c>
      <c r="E96" s="269">
        <v>0.2</v>
      </c>
      <c r="F96" s="257">
        <v>30</v>
      </c>
    </row>
    <row r="97" s="232" customFormat="1" ht="36" spans="1:6">
      <c r="A97" s="257">
        <v>37</v>
      </c>
      <c r="B97" s="257"/>
      <c r="C97" s="257" t="s">
        <v>2222</v>
      </c>
      <c r="D97" s="248" t="s">
        <v>2223</v>
      </c>
      <c r="E97" s="269">
        <v>0.2</v>
      </c>
      <c r="F97" s="257">
        <v>30</v>
      </c>
    </row>
    <row r="98" s="232" customFormat="1" ht="36" spans="1:6">
      <c r="A98" s="257">
        <v>38</v>
      </c>
      <c r="B98" s="257"/>
      <c r="C98" s="257" t="s">
        <v>2224</v>
      </c>
      <c r="D98" s="248" t="s">
        <v>2225</v>
      </c>
      <c r="E98" s="269">
        <v>0.2</v>
      </c>
      <c r="F98" s="257">
        <v>30</v>
      </c>
    </row>
    <row r="99" s="232" customFormat="1" ht="36" spans="1:6">
      <c r="A99" s="257">
        <v>39</v>
      </c>
      <c r="B99" s="257" t="s">
        <v>2226</v>
      </c>
      <c r="C99" s="257" t="s">
        <v>2227</v>
      </c>
      <c r="D99" s="248" t="s">
        <v>2228</v>
      </c>
      <c r="E99" s="269">
        <v>0.3</v>
      </c>
      <c r="F99" s="257">
        <v>50</v>
      </c>
    </row>
    <row r="100" s="232" customFormat="1" ht="36" spans="1:6">
      <c r="A100" s="257">
        <v>40</v>
      </c>
      <c r="B100" s="257"/>
      <c r="C100" s="257" t="s">
        <v>2229</v>
      </c>
      <c r="D100" s="248" t="s">
        <v>2230</v>
      </c>
      <c r="E100" s="269">
        <v>0.2</v>
      </c>
      <c r="F100" s="257">
        <v>30</v>
      </c>
    </row>
    <row r="101" s="232" customFormat="1" ht="36" spans="1:6">
      <c r="A101" s="257">
        <v>41</v>
      </c>
      <c r="B101" s="257"/>
      <c r="C101" s="257" t="s">
        <v>2231</v>
      </c>
      <c r="D101" s="248" t="s">
        <v>2228</v>
      </c>
      <c r="E101" s="269">
        <v>0.2</v>
      </c>
      <c r="F101" s="257">
        <v>30</v>
      </c>
    </row>
    <row r="102" s="232" customFormat="1" ht="48" spans="1:6">
      <c r="A102" s="257">
        <v>42</v>
      </c>
      <c r="B102" s="257" t="s">
        <v>2232</v>
      </c>
      <c r="C102" s="248" t="s">
        <v>2233</v>
      </c>
      <c r="D102" s="248" t="s">
        <v>2234</v>
      </c>
      <c r="E102" s="269">
        <v>0.2</v>
      </c>
      <c r="F102" s="257">
        <v>30</v>
      </c>
    </row>
    <row r="103" s="232" customFormat="1" ht="36" spans="1:6">
      <c r="A103" s="257">
        <v>43</v>
      </c>
      <c r="B103" s="257" t="s">
        <v>2235</v>
      </c>
      <c r="C103" s="257" t="s">
        <v>2236</v>
      </c>
      <c r="D103" s="248" t="s">
        <v>2237</v>
      </c>
      <c r="E103" s="269">
        <v>0.2</v>
      </c>
      <c r="F103" s="257">
        <v>30</v>
      </c>
    </row>
    <row r="104" s="232" customFormat="1" ht="36" spans="1:6">
      <c r="A104" s="257">
        <v>44</v>
      </c>
      <c r="B104" s="257" t="s">
        <v>2238</v>
      </c>
      <c r="C104" s="257" t="s">
        <v>2239</v>
      </c>
      <c r="D104" s="248" t="s">
        <v>2240</v>
      </c>
      <c r="E104" s="269">
        <v>0.2</v>
      </c>
      <c r="F104" s="257">
        <v>30</v>
      </c>
    </row>
    <row r="105" s="232" customFormat="1" ht="36" spans="1:6">
      <c r="A105" s="257">
        <v>45</v>
      </c>
      <c r="B105" s="257" t="s">
        <v>2241</v>
      </c>
      <c r="C105" s="257" t="s">
        <v>2242</v>
      </c>
      <c r="D105" s="248" t="s">
        <v>2243</v>
      </c>
      <c r="E105" s="269">
        <v>0.2</v>
      </c>
      <c r="F105" s="257">
        <v>30</v>
      </c>
    </row>
    <row r="106" s="232" customFormat="1" ht="36" spans="1:6">
      <c r="A106" s="257">
        <v>46</v>
      </c>
      <c r="B106" s="257"/>
      <c r="C106" s="257" t="s">
        <v>2244</v>
      </c>
      <c r="D106" s="248" t="s">
        <v>2245</v>
      </c>
      <c r="E106" s="269">
        <v>0.2</v>
      </c>
      <c r="F106" s="257">
        <v>30</v>
      </c>
    </row>
    <row r="107" s="232" customFormat="1" ht="36" spans="1:6">
      <c r="A107" s="257">
        <v>47</v>
      </c>
      <c r="B107" s="257" t="s">
        <v>2246</v>
      </c>
      <c r="C107" s="257" t="s">
        <v>2247</v>
      </c>
      <c r="D107" s="248" t="s">
        <v>2248</v>
      </c>
      <c r="E107" s="269">
        <v>0.3</v>
      </c>
      <c r="F107" s="257">
        <v>50</v>
      </c>
    </row>
    <row r="108" s="232" customFormat="1" ht="36" spans="1:6">
      <c r="A108" s="257">
        <v>48</v>
      </c>
      <c r="B108" s="257"/>
      <c r="C108" s="257" t="s">
        <v>2249</v>
      </c>
      <c r="D108" s="248" t="s">
        <v>2250</v>
      </c>
      <c r="E108" s="269">
        <v>0.2</v>
      </c>
      <c r="F108" s="257">
        <v>30</v>
      </c>
    </row>
    <row r="109" s="232" customFormat="1" ht="36" spans="1:6">
      <c r="A109" s="257">
        <v>49</v>
      </c>
      <c r="B109" s="257" t="s">
        <v>2251</v>
      </c>
      <c r="C109" s="257" t="s">
        <v>2252</v>
      </c>
      <c r="D109" s="248" t="s">
        <v>2253</v>
      </c>
      <c r="E109" s="269">
        <v>0.2</v>
      </c>
      <c r="F109" s="257">
        <v>30</v>
      </c>
    </row>
    <row r="110" s="232" customFormat="1" ht="36" spans="1:6">
      <c r="A110" s="257">
        <v>50</v>
      </c>
      <c r="B110" s="257" t="s">
        <v>2254</v>
      </c>
      <c r="C110" s="257" t="s">
        <v>2255</v>
      </c>
      <c r="D110" s="248" t="s">
        <v>2256</v>
      </c>
      <c r="E110" s="269">
        <v>0.2</v>
      </c>
      <c r="F110" s="257">
        <v>30</v>
      </c>
    </row>
    <row r="111" s="232" customFormat="1" ht="36" spans="1:6">
      <c r="A111" s="257">
        <v>51</v>
      </c>
      <c r="B111" s="257" t="s">
        <v>2257</v>
      </c>
      <c r="C111" s="257" t="s">
        <v>2258</v>
      </c>
      <c r="D111" s="248" t="s">
        <v>2259</v>
      </c>
      <c r="E111" s="269">
        <v>0.2</v>
      </c>
      <c r="F111" s="257">
        <v>30</v>
      </c>
    </row>
    <row r="112" s="232" customFormat="1" ht="36" spans="1:6">
      <c r="A112" s="257">
        <v>52</v>
      </c>
      <c r="B112" s="257"/>
      <c r="C112" s="257" t="s">
        <v>2260</v>
      </c>
      <c r="D112" s="248" t="s">
        <v>2261</v>
      </c>
      <c r="E112" s="269">
        <v>0.2</v>
      </c>
      <c r="F112" s="257">
        <v>30</v>
      </c>
    </row>
    <row r="113" s="232" customFormat="1" ht="36" spans="1:6">
      <c r="A113" s="257">
        <v>53</v>
      </c>
      <c r="B113" s="257"/>
      <c r="C113" s="257" t="s">
        <v>2262</v>
      </c>
      <c r="D113" s="248" t="s">
        <v>2263</v>
      </c>
      <c r="E113" s="269">
        <v>0.2</v>
      </c>
      <c r="F113" s="257">
        <v>30</v>
      </c>
    </row>
    <row r="114" ht="36" spans="1:6">
      <c r="A114" s="257">
        <v>54</v>
      </c>
      <c r="B114" s="257" t="s">
        <v>2264</v>
      </c>
      <c r="C114" s="257" t="s">
        <v>2265</v>
      </c>
      <c r="D114" s="248" t="s">
        <v>2266</v>
      </c>
      <c r="E114" s="269">
        <v>0.2</v>
      </c>
      <c r="F114" s="257">
        <v>30</v>
      </c>
    </row>
    <row r="115" ht="36" spans="1:6">
      <c r="A115" s="257">
        <v>55</v>
      </c>
      <c r="B115" s="257" t="s">
        <v>2267</v>
      </c>
      <c r="C115" s="257" t="s">
        <v>2268</v>
      </c>
      <c r="D115" s="248" t="s">
        <v>2269</v>
      </c>
      <c r="E115" s="269">
        <v>0.2</v>
      </c>
      <c r="F115" s="257">
        <v>30</v>
      </c>
    </row>
    <row r="116" ht="36" spans="1:6">
      <c r="A116" s="257">
        <v>56</v>
      </c>
      <c r="B116" s="257" t="s">
        <v>2270</v>
      </c>
      <c r="C116" s="257" t="s">
        <v>2271</v>
      </c>
      <c r="D116" s="248" t="s">
        <v>2272</v>
      </c>
      <c r="E116" s="269">
        <v>0.2</v>
      </c>
      <c r="F116" s="257">
        <v>30</v>
      </c>
    </row>
    <row r="117" ht="36" spans="1:6">
      <c r="A117" s="257">
        <v>57</v>
      </c>
      <c r="B117" s="257"/>
      <c r="C117" s="257" t="s">
        <v>2273</v>
      </c>
      <c r="D117" s="248" t="s">
        <v>2274</v>
      </c>
      <c r="E117" s="269">
        <v>0.2</v>
      </c>
      <c r="F117" s="257">
        <v>30</v>
      </c>
    </row>
    <row r="118" ht="36" spans="1:6">
      <c r="A118" s="257">
        <v>58</v>
      </c>
      <c r="B118" s="257" t="s">
        <v>2275</v>
      </c>
      <c r="C118" s="257" t="s">
        <v>2276</v>
      </c>
      <c r="D118" s="248" t="s">
        <v>2277</v>
      </c>
      <c r="E118" s="269">
        <v>0.2</v>
      </c>
      <c r="F118" s="257">
        <v>30</v>
      </c>
    </row>
    <row r="119" ht="13.5" spans="1:6">
      <c r="A119" s="257"/>
      <c r="B119" s="257"/>
      <c r="C119" s="257" t="s">
        <v>2146</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2278</v>
      </c>
      <c r="B1" s="223"/>
      <c r="C1" s="223"/>
      <c r="D1" s="223"/>
      <c r="E1" s="223"/>
      <c r="F1" s="223"/>
      <c r="G1" s="223"/>
      <c r="H1" s="223"/>
      <c r="I1" s="223"/>
      <c r="J1" s="223"/>
      <c r="K1" s="223"/>
      <c r="L1" s="223"/>
      <c r="M1" s="223"/>
      <c r="N1" s="223"/>
    </row>
    <row r="2" spans="1:13">
      <c r="A2" s="224" t="s">
        <v>2279</v>
      </c>
      <c r="B2" s="225" t="s">
        <v>1689</v>
      </c>
      <c r="C2" s="225" t="s">
        <v>1695</v>
      </c>
      <c r="D2" s="225" t="s">
        <v>1715</v>
      </c>
      <c r="E2" s="225" t="s">
        <v>1736</v>
      </c>
      <c r="F2" s="225" t="s">
        <v>1764</v>
      </c>
      <c r="G2" s="225" t="s">
        <v>1799</v>
      </c>
      <c r="H2" s="226" t="s">
        <v>1848</v>
      </c>
      <c r="I2" s="226" t="s">
        <v>1897</v>
      </c>
      <c r="J2" s="229" t="s">
        <v>1937</v>
      </c>
      <c r="K2" s="229" t="s">
        <v>1983</v>
      </c>
      <c r="L2" s="229" t="s">
        <v>2011</v>
      </c>
      <c r="M2" s="229" t="s">
        <v>2033</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2280</v>
      </c>
      <c r="B103" s="223"/>
      <c r="C103" s="223"/>
      <c r="D103" s="223"/>
      <c r="E103" s="223"/>
      <c r="F103" s="223"/>
      <c r="G103" s="223"/>
      <c r="H103" s="223"/>
      <c r="I103" s="223"/>
      <c r="J103" s="223"/>
      <c r="K103" s="223"/>
      <c r="L103" s="223"/>
      <c r="M103" s="223"/>
      <c r="N103" s="223"/>
    </row>
    <row r="104" ht="14.25" spans="1:14">
      <c r="A104" s="224" t="s">
        <v>2279</v>
      </c>
      <c r="B104" s="225" t="s">
        <v>1689</v>
      </c>
      <c r="C104" s="225" t="s">
        <v>1695</v>
      </c>
      <c r="D104" s="225" t="s">
        <v>1715</v>
      </c>
      <c r="E104" s="225" t="s">
        <v>1736</v>
      </c>
      <c r="F104" s="225" t="s">
        <v>1764</v>
      </c>
      <c r="G104" s="225" t="s">
        <v>1799</v>
      </c>
      <c r="H104" s="226" t="s">
        <v>1848</v>
      </c>
      <c r="I104" s="226" t="s">
        <v>1897</v>
      </c>
      <c r="J104" s="229" t="s">
        <v>1937</v>
      </c>
      <c r="K104" s="229" t="s">
        <v>1983</v>
      </c>
      <c r="L104" s="229" t="s">
        <v>2011</v>
      </c>
      <c r="M104" s="229" t="s">
        <v>2033</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2281</v>
      </c>
      <c r="B205" s="223"/>
      <c r="C205" s="223"/>
      <c r="D205" s="223"/>
      <c r="E205" s="223"/>
      <c r="F205" s="223"/>
      <c r="G205" s="223"/>
      <c r="H205" s="223"/>
      <c r="I205" s="223"/>
      <c r="J205" s="223"/>
      <c r="K205" s="223"/>
      <c r="L205" s="223"/>
      <c r="M205" s="223"/>
    </row>
    <row r="206" spans="1:13">
      <c r="A206" s="224" t="s">
        <v>2279</v>
      </c>
      <c r="B206" s="225" t="s">
        <v>1689</v>
      </c>
      <c r="C206" s="225" t="s">
        <v>1695</v>
      </c>
      <c r="D206" s="225" t="s">
        <v>1715</v>
      </c>
      <c r="E206" s="225" t="s">
        <v>1736</v>
      </c>
      <c r="F206" s="225" t="s">
        <v>1764</v>
      </c>
      <c r="G206" s="225" t="s">
        <v>1799</v>
      </c>
      <c r="H206" s="226" t="s">
        <v>1848</v>
      </c>
      <c r="I206" s="226" t="s">
        <v>1897</v>
      </c>
      <c r="J206" s="229" t="s">
        <v>1937</v>
      </c>
      <c r="K206" s="229" t="s">
        <v>1983</v>
      </c>
      <c r="L206" s="229" t="s">
        <v>2011</v>
      </c>
      <c r="M206" s="229" t="s">
        <v>2033</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2282</v>
      </c>
      <c r="B307" s="223"/>
      <c r="C307" s="223"/>
      <c r="D307" s="223"/>
      <c r="E307" s="223"/>
      <c r="F307" s="223"/>
      <c r="G307" s="223"/>
      <c r="H307" s="223"/>
      <c r="I307" s="223"/>
      <c r="J307" s="223"/>
      <c r="K307" s="223"/>
      <c r="L307" s="223"/>
      <c r="M307" s="223"/>
    </row>
    <row r="308" spans="1:13">
      <c r="A308" s="224" t="s">
        <v>2279</v>
      </c>
      <c r="B308" s="225" t="s">
        <v>1689</v>
      </c>
      <c r="C308" s="225" t="s">
        <v>1695</v>
      </c>
      <c r="D308" s="225" t="s">
        <v>1715</v>
      </c>
      <c r="E308" s="225" t="s">
        <v>1736</v>
      </c>
      <c r="F308" s="225" t="s">
        <v>1764</v>
      </c>
      <c r="G308" s="225" t="s">
        <v>1799</v>
      </c>
      <c r="H308" s="226" t="s">
        <v>1848</v>
      </c>
      <c r="I308" s="226" t="s">
        <v>1897</v>
      </c>
      <c r="J308" s="229" t="s">
        <v>1937</v>
      </c>
      <c r="K308" s="229" t="s">
        <v>1983</v>
      </c>
      <c r="L308" s="229" t="s">
        <v>2011</v>
      </c>
      <c r="M308" s="229" t="s">
        <v>2033</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P39" sqref="P3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2283</v>
      </c>
      <c r="C1" s="84"/>
      <c r="D1" s="84"/>
      <c r="E1" s="84"/>
      <c r="F1" s="84"/>
      <c r="G1" s="72" t="s">
        <v>2284</v>
      </c>
      <c r="N1" s="72" t="s">
        <v>2285</v>
      </c>
      <c r="S1" s="72" t="s">
        <v>2286</v>
      </c>
      <c r="X1" s="168" t="s">
        <v>2287</v>
      </c>
      <c r="AD1" s="168" t="s">
        <v>2288</v>
      </c>
    </row>
    <row r="2" s="73" customFormat="1" ht="14.25" spans="2:34">
      <c r="B2" s="85" t="s">
        <v>2289</v>
      </c>
      <c r="C2" s="85" t="s">
        <v>2290</v>
      </c>
      <c r="D2" s="86" t="s">
        <v>1685</v>
      </c>
      <c r="E2" s="86" t="s">
        <v>461</v>
      </c>
      <c r="F2" s="85" t="s">
        <v>2291</v>
      </c>
      <c r="G2" s="87"/>
      <c r="I2" s="85" t="s">
        <v>2289</v>
      </c>
      <c r="J2" s="86" t="s">
        <v>2292</v>
      </c>
      <c r="K2" s="86" t="s">
        <v>461</v>
      </c>
      <c r="L2" s="85" t="s">
        <v>2291</v>
      </c>
      <c r="N2" s="85" t="s">
        <v>2289</v>
      </c>
      <c r="O2" s="86" t="s">
        <v>2292</v>
      </c>
      <c r="P2" s="86" t="s">
        <v>461</v>
      </c>
      <c r="Q2" s="85" t="s">
        <v>2291</v>
      </c>
      <c r="S2" s="85" t="s">
        <v>2289</v>
      </c>
      <c r="T2" s="86" t="s">
        <v>2292</v>
      </c>
      <c r="U2" s="86" t="s">
        <v>461</v>
      </c>
      <c r="V2" s="85" t="s">
        <v>2291</v>
      </c>
      <c r="X2" s="85" t="s">
        <v>2289</v>
      </c>
      <c r="Y2" s="85" t="s">
        <v>2290</v>
      </c>
      <c r="Z2" s="86" t="s">
        <v>1685</v>
      </c>
      <c r="AA2" s="86" t="s">
        <v>461</v>
      </c>
      <c r="AB2" s="85" t="s">
        <v>2291</v>
      </c>
      <c r="AD2" s="85" t="s">
        <v>2289</v>
      </c>
      <c r="AE2" s="85" t="s">
        <v>2290</v>
      </c>
      <c r="AF2" s="86" t="s">
        <v>1685</v>
      </c>
      <c r="AG2" s="86" t="s">
        <v>461</v>
      </c>
      <c r="AH2" s="85" t="s">
        <v>2291</v>
      </c>
    </row>
    <row r="3" s="74" customFormat="1" ht="14.25" spans="1:34">
      <c r="A3" s="88" t="s">
        <v>2293</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2294</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2295</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5" customHeight="1" spans="1:34">
      <c r="A6" s="102" t="s">
        <v>2296</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5" customHeight="1" spans="1:34">
      <c r="A7" s="102" t="s">
        <v>2297</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5" customHeight="1" spans="1:34">
      <c r="A8" s="102" t="s">
        <v>2298</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5" customHeight="1" spans="1:34">
      <c r="A9" s="102" t="s">
        <v>2299</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5" customHeight="1" spans="1:34">
      <c r="A10" s="102" t="s">
        <v>2300</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5" customHeight="1" spans="1:34">
      <c r="A11" s="102" t="s">
        <v>2301</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5" customHeight="1" spans="1:34">
      <c r="A12" s="102" t="s">
        <v>2302</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5" customHeight="1" spans="1:34">
      <c r="A13" s="102" t="s">
        <v>2303</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5" customHeight="1" spans="1:34">
      <c r="A14" s="102" t="s">
        <v>2304</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5" customHeight="1" spans="1:34">
      <c r="A15" s="102" t="s">
        <v>2305</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5" customHeight="1" spans="1:34">
      <c r="A16" s="102" t="s">
        <v>2306</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2307</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5" customHeight="1" spans="1:34">
      <c r="A18" s="102" t="s">
        <v>2308</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5" customHeight="1" spans="1:34">
      <c r="A19" s="102" t="s">
        <v>2309</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2310</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2311</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5" customHeight="1" spans="1:34">
      <c r="A22" s="102" t="s">
        <v>2312</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5" customHeight="1" spans="1:34">
      <c r="A23" s="102" t="s">
        <v>2313</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2314</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2315</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2316</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2317</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2318</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2319</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2320</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2321</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2322</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2323</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2324</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2325</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2326</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2327</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2328</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2329</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2330</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2331</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2332</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2333</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2334</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2335</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2336</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2337</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2338</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2339</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2340</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2341</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2342</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2343</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2344</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2345</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2346</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2347</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2348</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2349</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2350</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2351</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2352</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2353</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2354</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2355</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2356</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2357</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2358</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2359</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2360</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2361</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2362</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2363</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2364</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2365</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2366</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2367</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2368</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2369</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2370</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2371</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2372</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2373</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2374</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2375</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2376</v>
      </c>
      <c r="G87" s="201"/>
      <c r="N87" s="201"/>
      <c r="S87" s="201"/>
    </row>
    <row r="88" s="81" customFormat="1" spans="1:19">
      <c r="A88" s="81" t="s">
        <v>2377</v>
      </c>
      <c r="G88" s="201"/>
      <c r="N88" s="201"/>
      <c r="S88" s="201"/>
    </row>
    <row r="89" s="81" customFormat="1" spans="1:22">
      <c r="A89" s="81" t="s">
        <v>2378</v>
      </c>
      <c r="G89" s="201"/>
      <c r="I89" s="208"/>
      <c r="J89" s="208"/>
      <c r="K89" s="208"/>
      <c r="L89" s="208"/>
      <c r="N89" s="209"/>
      <c r="O89" s="208"/>
      <c r="P89" s="208"/>
      <c r="Q89" s="208"/>
      <c r="S89" s="209"/>
      <c r="T89" s="208"/>
      <c r="U89" s="208"/>
      <c r="V89" s="208"/>
    </row>
    <row r="90" s="81" customFormat="1" spans="1:19">
      <c r="A90" s="81" t="s">
        <v>2379</v>
      </c>
      <c r="G90" s="201"/>
      <c r="N90" s="201"/>
      <c r="S90" s="201"/>
    </row>
    <row r="97" ht="13.5"/>
    <row r="98" spans="7:22">
      <c r="G98" s="82"/>
      <c r="S98" s="212" t="s">
        <v>2380</v>
      </c>
      <c r="T98" s="213" t="s">
        <v>2381</v>
      </c>
      <c r="U98" s="213" t="s">
        <v>2382</v>
      </c>
      <c r="V98" s="213" t="s">
        <v>2383</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P39" sqref="P39"/>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676</v>
      </c>
      <c r="C1" s="8">
        <f>项目基本情况!D2</f>
        <v>44490</v>
      </c>
      <c r="D1" s="7" t="s">
        <v>2384</v>
      </c>
      <c r="E1" s="9">
        <f>'数据-取费表'!B24</f>
        <v>2</v>
      </c>
      <c r="F1" s="7" t="s">
        <v>2385</v>
      </c>
      <c r="G1" s="10">
        <f ca="1">INDIRECT("d"&amp;$K$1)/100</f>
        <v>0.0385</v>
      </c>
      <c r="H1" s="7" t="s">
        <v>2386</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2385</v>
      </c>
      <c r="E2" s="11"/>
      <c r="F2" s="11" t="s">
        <v>2387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2388</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2389</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2390</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2391</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2392</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2393</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2394</v>
      </c>
      <c r="C10" s="35"/>
      <c r="D10" s="35"/>
      <c r="E10" s="35"/>
      <c r="F10" s="35"/>
      <c r="G10" s="35"/>
      <c r="H10" s="35"/>
      <c r="I10" s="3"/>
      <c r="J10" s="3"/>
      <c r="K10" s="35"/>
      <c r="L10" s="36" t="s">
        <v>2395</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2396</v>
      </c>
      <c r="C11" s="39" t="s">
        <v>2397</v>
      </c>
      <c r="D11" s="40" t="s">
        <v>2398</v>
      </c>
      <c r="E11" s="41"/>
      <c r="F11" s="40" t="s">
        <v>2399</v>
      </c>
      <c r="G11" s="42"/>
      <c r="H11" s="41"/>
      <c r="I11" s="40" t="s">
        <v>2400</v>
      </c>
      <c r="J11" s="41"/>
      <c r="K11" s="37"/>
      <c r="L11" s="38" t="s">
        <v>2396</v>
      </c>
      <c r="M11" s="39" t="s">
        <v>2397</v>
      </c>
      <c r="N11" s="38" t="s">
        <v>2401</v>
      </c>
      <c r="O11" s="40" t="s">
        <v>2402</v>
      </c>
      <c r="P11" s="42"/>
      <c r="Q11" s="42"/>
      <c r="R11" s="42"/>
      <c r="S11" s="42"/>
      <c r="T11" s="41"/>
      <c r="U11" s="40" t="s">
        <v>2403</v>
      </c>
      <c r="V11" s="42"/>
      <c r="W11" s="41"/>
      <c r="X11" s="38" t="s">
        <v>2404</v>
      </c>
      <c r="Y11" s="38" t="s">
        <v>2405</v>
      </c>
      <c r="Z11" s="38" t="s">
        <v>2406</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2407</v>
      </c>
      <c r="E12" s="46" t="s">
        <v>2389</v>
      </c>
      <c r="F12" s="46" t="s">
        <v>2390</v>
      </c>
      <c r="G12" s="46" t="s">
        <v>2391</v>
      </c>
      <c r="H12" s="46" t="s">
        <v>2392</v>
      </c>
      <c r="I12" s="59" t="s">
        <v>2408</v>
      </c>
      <c r="J12" s="59" t="s">
        <v>2408</v>
      </c>
      <c r="K12" s="43"/>
      <c r="L12" s="44"/>
      <c r="M12" s="45"/>
      <c r="N12" s="44"/>
      <c r="O12" s="59" t="s">
        <v>2409</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2410</v>
      </c>
      <c r="C13" s="49">
        <v>43941</v>
      </c>
      <c r="D13" s="50">
        <v>3.85</v>
      </c>
      <c r="E13" s="50">
        <f>D13</f>
        <v>3.85</v>
      </c>
      <c r="F13" s="50">
        <f>D13</f>
        <v>3.85</v>
      </c>
      <c r="G13" s="50">
        <f>D13</f>
        <v>3.85</v>
      </c>
      <c r="H13" s="50">
        <v>4.65</v>
      </c>
      <c r="I13" s="50"/>
      <c r="J13" s="50"/>
      <c r="K13" s="47"/>
      <c r="L13" s="48" t="s">
        <v>2410</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2411</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2412</v>
      </c>
      <c r="Y43" s="51" t="s">
        <v>2412</v>
      </c>
      <c r="Z43" s="51" t="s">
        <v>2412</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2412</v>
      </c>
      <c r="Y44" s="51" t="s">
        <v>2412</v>
      </c>
      <c r="Z44" s="51" t="s">
        <v>2412</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2412</v>
      </c>
      <c r="Y45" s="51" t="s">
        <v>2412</v>
      </c>
      <c r="Z45" s="51" t="s">
        <v>2412</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2412</v>
      </c>
      <c r="Y46" s="51" t="s">
        <v>2412</v>
      </c>
      <c r="Z46" s="51" t="s">
        <v>2412</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2412</v>
      </c>
      <c r="Y47" s="51" t="s">
        <v>2412</v>
      </c>
      <c r="Z47" s="51" t="s">
        <v>2412</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2412</v>
      </c>
      <c r="Y48" s="51" t="s">
        <v>2412</v>
      </c>
      <c r="Z48" s="51" t="s">
        <v>2412</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2412</v>
      </c>
      <c r="Y49" s="51" t="s">
        <v>2412</v>
      </c>
      <c r="Z49" s="51" t="s">
        <v>2412</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2412</v>
      </c>
      <c r="Y50" s="51" t="s">
        <v>2412</v>
      </c>
      <c r="Z50" s="51" t="s">
        <v>2412</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2412</v>
      </c>
      <c r="Y51" s="51" t="s">
        <v>2412</v>
      </c>
      <c r="Z51" s="51" t="s">
        <v>2412</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2412</v>
      </c>
      <c r="V52" s="51" t="s">
        <v>2412</v>
      </c>
      <c r="W52" s="51" t="s">
        <v>2412</v>
      </c>
      <c r="X52" s="51" t="s">
        <v>2412</v>
      </c>
      <c r="Y52" s="51" t="s">
        <v>2412</v>
      </c>
      <c r="Z52" s="51" t="s">
        <v>2412</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2412</v>
      </c>
      <c r="J60" s="51" t="s">
        <v>2412</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345" customWidth="1"/>
    <col min="2" max="2" width="37.875" style="3345" customWidth="1"/>
    <col min="3" max="3" width="16.125" style="3345" customWidth="1"/>
    <col min="4" max="4" width="22.25" style="3345" customWidth="1"/>
    <col min="5" max="5" width="4.125" style="3345" customWidth="1"/>
    <col min="6" max="7" width="13" style="3345" customWidth="1"/>
    <col min="8" max="16384" width="9" style="3345"/>
  </cols>
  <sheetData>
    <row r="1" ht="18.75" spans="1:5">
      <c r="A1" s="3346" t="s">
        <v>86</v>
      </c>
      <c r="B1" s="3347"/>
      <c r="C1" s="3347"/>
      <c r="D1" s="3347"/>
      <c r="E1" s="3347"/>
    </row>
    <row r="2" ht="78.75" customHeight="1" spans="1:5">
      <c r="A2" s="334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8"/>
      <c r="C2" s="3348"/>
      <c r="D2" s="3348"/>
      <c r="E2" s="3348"/>
    </row>
    <row r="3" customHeight="1" spans="1:5">
      <c r="A3" s="3349"/>
      <c r="B3" s="3349"/>
      <c r="C3" s="3349"/>
      <c r="D3" s="3349"/>
      <c r="E3" s="3349"/>
    </row>
    <row r="4" ht="19.5" spans="1:5">
      <c r="A4" s="3350" t="str">
        <f>IF(项目基本情况!D5="房地产市场价值","估价结果一览表（市场价值不需本页表格)","估价结果一览表")</f>
        <v>估价结果一览表</v>
      </c>
      <c r="B4" s="3350"/>
      <c r="C4" s="3350"/>
      <c r="D4" s="3350"/>
      <c r="E4" s="3350"/>
    </row>
    <row r="5" ht="14.25" customHeight="1" spans="1:5">
      <c r="A5" s="3347"/>
      <c r="B5" s="3351" t="s">
        <v>87</v>
      </c>
      <c r="C5" s="3352" t="s">
        <v>88</v>
      </c>
      <c r="D5" s="3353"/>
      <c r="E5" s="3347"/>
    </row>
    <row r="6" ht="14.25" spans="1:5">
      <c r="A6" s="3347"/>
      <c r="B6" s="3354" t="str">
        <f>项目基本情况!I1</f>
        <v>北京市房地产</v>
      </c>
      <c r="C6" s="3355">
        <f>项目基本情况!C12</f>
        <v>164.75</v>
      </c>
      <c r="D6" s="3355"/>
      <c r="E6" s="3347"/>
    </row>
    <row r="7" ht="14.25" spans="1:5">
      <c r="A7" s="3347"/>
      <c r="B7" s="3356" t="s">
        <v>89</v>
      </c>
      <c r="C7" s="3357" t="str">
        <f>IF('数据-取费表'!B3="万元","总价（万元）","总价（元）")</f>
        <v>总价（元）</v>
      </c>
      <c r="D7" s="3355">
        <f ca="1">IF('数据-取费表'!E3="否",结果表!I102,'结果表 (1修多)'!I104)</f>
        <v>10966254</v>
      </c>
      <c r="E7" s="3347"/>
    </row>
    <row r="8" ht="28.5" spans="1:5">
      <c r="A8" s="3347"/>
      <c r="B8" s="3356"/>
      <c r="C8" s="3358" t="s">
        <v>90</v>
      </c>
      <c r="D8" s="3359" t="str">
        <f ca="1">IF('数据-取费表'!B3="万元",NUMBERSTRING(INT(D7*10000),2)&amp;"元整",NUMBERSTRING(INT(D7),2)&amp;"元整")</f>
        <v>壹仟零玖拾陆万陆仟贰佰伍拾肆元整</v>
      </c>
      <c r="E8" s="3347"/>
    </row>
    <row r="9" ht="14.25" spans="1:5">
      <c r="A9" s="3347"/>
      <c r="B9" s="3356"/>
      <c r="C9" s="3360" t="s">
        <v>91</v>
      </c>
      <c r="D9" s="3355">
        <f ca="1">IF('数据-取费表'!E3="否",结果表!I103,'结果表 (1修多)'!I105)</f>
        <v>66563</v>
      </c>
      <c r="E9" s="3347"/>
    </row>
    <row r="10" ht="14.25" spans="1:5">
      <c r="A10" s="3347"/>
      <c r="B10" s="3354" t="str">
        <f>IF('数据-取费表'!E3="否",结果表!F105,'结果表 (1修多)'!F107)</f>
        <v>2.估价师所知悉的法定优先受偿款</v>
      </c>
      <c r="C10" s="3361" t="str">
        <f>IF('数据-取费表'!B3="万元","总额（万元）","总额（元）")</f>
        <v>总额（元）</v>
      </c>
      <c r="D10" s="3355">
        <f>IF('数据-取费表'!E3="否",结果表!I105,'结果表 (1修多)'!I107)</f>
        <v>0</v>
      </c>
      <c r="E10" s="3347"/>
    </row>
    <row r="11" ht="14.25" spans="1:5">
      <c r="A11" s="3347"/>
      <c r="B11" s="3354"/>
      <c r="C11" s="3358" t="s">
        <v>90</v>
      </c>
      <c r="D11" s="3359" t="str">
        <f>IF('数据-取费表'!B3="万元",NUMBERSTRING(INT(D10*10000),2)&amp;"元整",NUMBERSTRING(INT(D10),2)&amp;"元整")</f>
        <v>零元整</v>
      </c>
      <c r="E11" s="3347"/>
    </row>
    <row r="12" ht="14.25" spans="1:5">
      <c r="A12" s="3347"/>
      <c r="B12" s="3362" t="s">
        <v>92</v>
      </c>
      <c r="C12" s="3363" t="str">
        <f>C10</f>
        <v>总额（元）</v>
      </c>
      <c r="D12" s="3364">
        <f>IF('数据-取费表'!E3="否",结果表!I106,'结果表 (1修多)'!I108)</f>
        <v>0</v>
      </c>
      <c r="E12" s="3347"/>
    </row>
    <row r="13" ht="14.25" spans="1:5">
      <c r="A13" s="3347"/>
      <c r="B13" s="3362" t="s">
        <v>93</v>
      </c>
      <c r="C13" s="3363" t="str">
        <f>C10</f>
        <v>总额（元）</v>
      </c>
      <c r="D13" s="3364">
        <f>IF('数据-取费表'!E3="否",结果表!I107,'结果表 (1修多)'!I109)</f>
        <v>0</v>
      </c>
      <c r="E13" s="3347"/>
    </row>
    <row r="14" ht="14.25" spans="1:5">
      <c r="A14" s="3347"/>
      <c r="B14" s="3362" t="s">
        <v>94</v>
      </c>
      <c r="C14" s="3363" t="str">
        <f>C10</f>
        <v>总额（元）</v>
      </c>
      <c r="D14" s="3364">
        <f>IF('数据-取费表'!E3="否",结果表!I108,'结果表 (1修多)'!I110)</f>
        <v>0</v>
      </c>
      <c r="E14" s="3347"/>
    </row>
    <row r="15" ht="14.25" spans="1:5">
      <c r="A15" s="3347"/>
      <c r="B15" s="3354" t="str">
        <f>IF('数据-取费表'!E3="否",结果表!F110,'结果表 (1修多)'!F112)</f>
        <v>3.房地产抵押价值</v>
      </c>
      <c r="C15" s="3365" t="str">
        <f>C7</f>
        <v>总价（元）</v>
      </c>
      <c r="D15" s="3355">
        <f ca="1">IF('数据-取费表'!E3="否",结果表!I110,'结果表 (1修多)'!I112)</f>
        <v>10966254</v>
      </c>
      <c r="E15" s="3347"/>
    </row>
    <row r="16" ht="28.5" spans="1:5">
      <c r="A16" s="3347"/>
      <c r="B16" s="3354"/>
      <c r="C16" s="3358" t="s">
        <v>90</v>
      </c>
      <c r="D16" s="3355" t="str">
        <f ca="1">IF('数据-取费表'!B3="万元",NUMBERSTRING(INT(D15*10000),2)&amp;"元整",NUMBERSTRING(INT(D15),2)&amp;"元整")</f>
        <v>壹仟零玖拾陆万陆仟贰佰伍拾肆元整</v>
      </c>
      <c r="E16" s="3347"/>
    </row>
    <row r="17" ht="14.25" spans="1:5">
      <c r="A17" s="3347"/>
      <c r="B17" s="3354"/>
      <c r="C17" s="3360" t="s">
        <v>91</v>
      </c>
      <c r="D17" s="3355">
        <f ca="1">IF('数据-取费表'!E3="否",结果表!I111,'结果表 (1修多)'!I113)</f>
        <v>66563</v>
      </c>
      <c r="E17" s="3347"/>
    </row>
    <row r="18" ht="14.25" spans="1:5">
      <c r="A18" s="3347"/>
      <c r="B18" s="3354" t="str">
        <f>IF('数据-取费表'!E3="否",结果表!F112,'结果表 (1修多)'!F114)</f>
        <v>——</v>
      </c>
      <c r="C18" s="3365" t="str">
        <f>C7</f>
        <v>总价（元）</v>
      </c>
      <c r="D18" s="3355" t="str">
        <f ca="1">IF('数据-取费表'!E3="否",结果表!I112,'结果表 (1修多)'!I114)</f>
        <v>——</v>
      </c>
      <c r="E18" s="3347"/>
    </row>
    <row r="19" ht="14.25" spans="1:5">
      <c r="A19" s="3347"/>
      <c r="B19" s="3354"/>
      <c r="C19" s="3358" t="s">
        <v>90</v>
      </c>
      <c r="D19" s="3355" t="e">
        <f ca="1">IF('数据-取费表'!B3="万元",NUMBERSTRING(INT(D18*10000),2)&amp;"元整",NUMBERSTRING(INT(D18),2)&amp;"元整")</f>
        <v>#VALUE!</v>
      </c>
      <c r="E19" s="3347"/>
    </row>
    <row r="20" ht="14.25" spans="1:5">
      <c r="A20" s="3347"/>
      <c r="B20" s="3354"/>
      <c r="C20" s="3360" t="s">
        <v>91</v>
      </c>
      <c r="D20" s="3355" t="str">
        <f ca="1">IF('数据-取费表'!E3="否",结果表!I113,'结果表 (1修多)'!I115)</f>
        <v>——</v>
      </c>
      <c r="E20" s="3347"/>
    </row>
    <row r="21" ht="14.25" spans="1:5">
      <c r="A21" s="3347"/>
      <c r="B21" s="3356" t="str">
        <f>IF('数据-取费表'!E3="否",结果表!F114,'结果表 (1修多)'!F116)</f>
        <v>——</v>
      </c>
      <c r="C21" s="3357" t="str">
        <f>C7</f>
        <v>总价（元）</v>
      </c>
      <c r="D21" s="3355" t="str">
        <f ca="1">IF('数据-取费表'!E3="否",结果表!I114,'结果表 (1修多)'!I116)</f>
        <v>——</v>
      </c>
      <c r="E21" s="3347"/>
    </row>
    <row r="22" ht="14.25" spans="1:5">
      <c r="A22" s="3347"/>
      <c r="B22" s="3356"/>
      <c r="C22" s="3358" t="s">
        <v>90</v>
      </c>
      <c r="D22" s="3359" t="e">
        <f ca="1">IF('数据-取费表'!B3="万元",NUMBERSTRING(INT(D21*10000),2)&amp;"元整",NUMBERSTRING(INT(D21),2)&amp;"元整")</f>
        <v>#VALUE!</v>
      </c>
      <c r="E22" s="3347"/>
    </row>
    <row r="23" ht="15" spans="1:5">
      <c r="A23" s="3347"/>
      <c r="B23" s="3366"/>
      <c r="C23" s="3367" t="s">
        <v>91</v>
      </c>
      <c r="D23" s="3368" t="str">
        <f ca="1">IF('数据-取费表'!E3="否",结果表!I115,'结果表 (1修多)'!I117)</f>
        <v>——</v>
      </c>
      <c r="E23" s="3347"/>
    </row>
    <row r="24" ht="14.25" spans="1:5">
      <c r="A24" s="3347"/>
      <c r="B24" s="3347"/>
      <c r="C24" s="3347"/>
      <c r="D24" s="3347"/>
      <c r="E24" s="3347"/>
    </row>
    <row r="25" ht="18.75" customHeight="1" spans="1:5">
      <c r="A25" s="3347"/>
      <c r="B25" s="3369" t="s">
        <v>95</v>
      </c>
      <c r="C25" s="3369"/>
      <c r="D25" s="3369"/>
      <c r="E25" s="3347"/>
    </row>
    <row r="26" ht="18.75" customHeight="1" spans="1:5">
      <c r="A26" s="3347"/>
      <c r="B26" s="3370" t="s">
        <v>96</v>
      </c>
      <c r="C26" s="3371"/>
      <c r="D26" s="3372" t="s">
        <v>97</v>
      </c>
      <c r="E26" s="3347"/>
    </row>
    <row r="27" ht="18.75" customHeight="1" spans="1:5">
      <c r="A27" s="3347"/>
      <c r="B27" s="3373"/>
      <c r="C27" s="3374"/>
      <c r="D27" s="3375"/>
      <c r="E27" s="3347"/>
    </row>
    <row r="28" ht="14.25" spans="1:5">
      <c r="A28" s="3347"/>
      <c r="B28" s="3376" t="s">
        <v>89</v>
      </c>
      <c r="C28" s="3377" t="s">
        <v>98</v>
      </c>
      <c r="D28" s="3378">
        <f ca="1">IF('数据-取费表'!E3="否",结果表!I102,'结果表 (1修多)'!I104)</f>
        <v>10966254</v>
      </c>
      <c r="E28" s="3347"/>
    </row>
    <row r="29" ht="28.5" spans="1:5">
      <c r="A29" s="3347"/>
      <c r="B29" s="3379"/>
      <c r="C29" s="3380" t="s">
        <v>90</v>
      </c>
      <c r="D29" s="3381" t="str">
        <f ca="1">IF('数据-取费表'!B3="万元",NUMBERSTRING(INT(D28*10000),2)&amp;"元整",NUMBERSTRING(INT(D28),2)&amp;"元整")</f>
        <v>壹仟零玖拾陆万陆仟贰佰伍拾肆元整</v>
      </c>
      <c r="E29" s="3347"/>
    </row>
    <row r="30" ht="14.25" spans="1:5">
      <c r="A30" s="3347"/>
      <c r="B30" s="3382"/>
      <c r="C30" s="3360" t="s">
        <v>99</v>
      </c>
      <c r="D30" s="3383">
        <f ca="1">IF('数据-取费表'!E3="否",结果表!I103,'结果表 (1修多)'!I105)</f>
        <v>66563</v>
      </c>
      <c r="E30" s="3347"/>
    </row>
    <row r="31" ht="14.25" spans="1:5">
      <c r="A31" s="3347"/>
      <c r="B31" s="3384" t="str">
        <f>B10</f>
        <v>2.估价师所知悉的法定优先受偿款</v>
      </c>
      <c r="C31" s="3385" t="s">
        <v>100</v>
      </c>
      <c r="D31" s="3375">
        <f>IF('数据-取费表'!E3="否",结果表!I105,'结果表 (1修多)'!I107)</f>
        <v>0</v>
      </c>
      <c r="E31" s="3347"/>
    </row>
    <row r="32" ht="14.25" spans="1:5">
      <c r="A32" s="3347"/>
      <c r="B32" s="3377"/>
      <c r="C32" s="3380" t="s">
        <v>90</v>
      </c>
      <c r="D32" s="3386" t="str">
        <f>IF('数据-取费表'!B3="万元",NUMBERSTRING(INT(D31*10000),2)&amp;"元整",NUMBERSTRING(INT(D31),2)&amp;"元整")</f>
        <v>零元整</v>
      </c>
      <c r="E32" s="3347"/>
    </row>
    <row r="33" ht="14.25" spans="1:5">
      <c r="A33" s="3347"/>
      <c r="B33" s="3358" t="s">
        <v>92</v>
      </c>
      <c r="C33" s="3358" t="str">
        <f>C31</f>
        <v>总额</v>
      </c>
      <c r="D33" s="3383">
        <f>IF('数据-取费表'!E3="否",结果表!I106,'结果表 (1修多)'!I108)</f>
        <v>0</v>
      </c>
      <c r="E33" s="3347"/>
    </row>
    <row r="34" ht="14.25" spans="1:5">
      <c r="A34" s="3347"/>
      <c r="B34" s="3358" t="s">
        <v>93</v>
      </c>
      <c r="C34" s="3358" t="str">
        <f>C31</f>
        <v>总额</v>
      </c>
      <c r="D34" s="3383">
        <f>IF('数据-取费表'!E3="否",结果表!I107,'结果表 (1修多)'!I109)</f>
        <v>0</v>
      </c>
      <c r="E34" s="3347"/>
    </row>
    <row r="35" ht="14.25" spans="1:5">
      <c r="A35" s="3347"/>
      <c r="B35" s="3358" t="s">
        <v>94</v>
      </c>
      <c r="C35" s="3358" t="str">
        <f>C31</f>
        <v>总额</v>
      </c>
      <c r="D35" s="3383">
        <f>IF('数据-取费表'!E3="否",结果表!I108,'结果表 (1修多)'!I110)</f>
        <v>0</v>
      </c>
      <c r="E35" s="3347"/>
    </row>
    <row r="36" ht="14.25" spans="1:5">
      <c r="A36" s="3347"/>
      <c r="B36" s="3385" t="str">
        <f>B15</f>
        <v>3.房地产抵押价值</v>
      </c>
      <c r="C36" s="3385" t="str">
        <f>C28</f>
        <v>总价</v>
      </c>
      <c r="D36" s="3375">
        <f ca="1">IF('数据-取费表'!E3="否",结果表!I110,'结果表 (1修多)'!I112)</f>
        <v>10966254</v>
      </c>
      <c r="E36" s="3347"/>
    </row>
    <row r="37" ht="28.5" spans="1:5">
      <c r="A37" s="3347"/>
      <c r="B37" s="3385"/>
      <c r="C37" s="3380" t="s">
        <v>90</v>
      </c>
      <c r="D37" s="3386" t="str">
        <f ca="1">IF('数据-取费表'!B3="万元",NUMBERSTRING(INT(D36*10000),2)&amp;"元整",NUMBERSTRING(INT(D36),2)&amp;"元整")</f>
        <v>壹仟零玖拾陆万陆仟贰佰伍拾肆元整</v>
      </c>
      <c r="E37" s="3347"/>
    </row>
    <row r="38" ht="14.25" spans="1:5">
      <c r="A38" s="3347"/>
      <c r="B38" s="3385"/>
      <c r="C38" s="3360" t="s">
        <v>99</v>
      </c>
      <c r="D38" s="3383">
        <f ca="1">IF('数据-取费表'!E3="否",结果表!D113,'结果表 (1修多)'!D117)</f>
        <v>66563</v>
      </c>
      <c r="E38" s="3347"/>
    </row>
    <row r="39" ht="14.25" spans="1:5">
      <c r="A39" s="3347"/>
      <c r="B39" s="3387" t="str">
        <f>B18</f>
        <v>——</v>
      </c>
      <c r="C39" s="3385" t="str">
        <f>C28</f>
        <v>总价</v>
      </c>
      <c r="D39" s="3375" t="str">
        <f ca="1">IF('数据-取费表'!E3="否",结果表!I112,'结果表 (1修多)'!I114)</f>
        <v>——</v>
      </c>
      <c r="E39" s="3347"/>
    </row>
    <row r="40" ht="14.25" spans="1:5">
      <c r="A40" s="3347"/>
      <c r="B40" s="3387"/>
      <c r="C40" s="3380" t="s">
        <v>90</v>
      </c>
      <c r="D40" s="3386" t="e">
        <f ca="1">IF('数据-取费表'!B3="万元",NUMBERSTRING(INT(D39*10000),2)&amp;"元整",NUMBERSTRING(INT(D39),2)&amp;"元整")</f>
        <v>#VALUE!</v>
      </c>
      <c r="E40" s="3347"/>
    </row>
    <row r="41" ht="14.25" spans="1:5">
      <c r="A41" s="3347"/>
      <c r="B41" s="3387"/>
      <c r="C41" s="3360" t="s">
        <v>99</v>
      </c>
      <c r="D41" s="3383" t="str">
        <f ca="1">IF('数据-取费表'!E3="否",结果表!D115,'结果表 (1修多)'!D119)</f>
        <v>——</v>
      </c>
      <c r="E41" s="3347"/>
    </row>
    <row r="42" ht="14.25" spans="1:5">
      <c r="A42" s="3347"/>
      <c r="B42" s="3385" t="str">
        <f>B21</f>
        <v>——</v>
      </c>
      <c r="C42" s="3385" t="str">
        <f>C28</f>
        <v>总价</v>
      </c>
      <c r="D42" s="3375" t="str">
        <f ca="1">IF('数据-取费表'!E3="否",结果表!I114,'结果表 (1修多)'!I116)</f>
        <v>——</v>
      </c>
      <c r="E42" s="3347"/>
    </row>
    <row r="43" ht="14.25" spans="1:5">
      <c r="A43" s="3347"/>
      <c r="B43" s="3384"/>
      <c r="C43" s="3380" t="s">
        <v>90</v>
      </c>
      <c r="D43" s="3388" t="e">
        <f ca="1">IF('数据-取费表'!B3="万元",NUMBERSTRING(INT(D42*10000),2)&amp;"元整",NUMBERSTRING(INT(D42),2)&amp;"元整")</f>
        <v>#VALUE!</v>
      </c>
      <c r="E43" s="3347"/>
    </row>
    <row r="44" ht="15" spans="1:5">
      <c r="A44" s="3347"/>
      <c r="B44" s="3389"/>
      <c r="C44" s="3367" t="s">
        <v>99</v>
      </c>
      <c r="D44" s="3390" t="str">
        <f ca="1">IF('数据-取费表'!E3="否",结果表!D117,'结果表 (1修多)'!D121)</f>
        <v>——</v>
      </c>
      <c r="E44" s="3347"/>
    </row>
    <row r="45" ht="14.25" spans="1:5">
      <c r="A45" s="3347"/>
      <c r="B45" s="3347" t="str">
        <f>IF('数据-取费表'!B3="元","单位：元、元/平方米（单位：人民币）","单位：万元、元/平方米（单位：人民币）")</f>
        <v>单位：元、元/平方米（单位：人民币）</v>
      </c>
      <c r="C45" s="3347"/>
      <c r="D45" s="3347"/>
      <c r="E45" s="3347"/>
    </row>
    <row r="46" ht="18.75" spans="2:2">
      <c r="B46" s="3391"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315" customWidth="1"/>
    <col min="2" max="9" width="12.25" style="3315" customWidth="1"/>
    <col min="10" max="16384" width="9" style="3315"/>
  </cols>
  <sheetData>
    <row r="1" ht="16.5" spans="1:9">
      <c r="A1" s="3334" t="str">
        <f>IF(项目基本情况!D5="房地产市场价值","估价结果一览表","结果表-2")</f>
        <v>结果表-2</v>
      </c>
      <c r="B1" s="3334"/>
      <c r="C1" s="3334"/>
      <c r="D1" s="3334"/>
      <c r="E1" s="3334"/>
      <c r="F1" s="3334"/>
      <c r="G1" s="3334"/>
      <c r="H1" s="3334"/>
      <c r="I1" s="3334"/>
    </row>
    <row r="2" ht="30" customHeight="1" spans="1:9">
      <c r="A2" s="3335" t="s">
        <v>102</v>
      </c>
      <c r="B2" s="3335" t="s">
        <v>103</v>
      </c>
      <c r="C2" s="3335" t="s">
        <v>104</v>
      </c>
      <c r="D2" s="3335" t="str">
        <f>IF('数据-取费表'!E3="否",结果表!D119,'结果表 (1修多)'!D123)</f>
        <v>出让国有建设用地使用权价值</v>
      </c>
      <c r="E2" s="3335"/>
      <c r="F2" s="3335" t="s">
        <v>105</v>
      </c>
      <c r="G2" s="3335"/>
      <c r="H2" s="3335" t="s">
        <v>106</v>
      </c>
      <c r="I2" s="3335"/>
    </row>
    <row r="3" ht="15" spans="1:9">
      <c r="A3" s="3336"/>
      <c r="B3" s="3336"/>
      <c r="C3" s="3336"/>
      <c r="D3" s="3336" t="s">
        <v>107</v>
      </c>
      <c r="E3" s="3336" t="s">
        <v>108</v>
      </c>
      <c r="F3" s="3336" t="s">
        <v>107</v>
      </c>
      <c r="G3" s="3336" t="s">
        <v>108</v>
      </c>
      <c r="H3" s="3336" t="s">
        <v>107</v>
      </c>
      <c r="I3" s="3336" t="s">
        <v>108</v>
      </c>
    </row>
    <row r="4" ht="46.5" customHeight="1" spans="1:9">
      <c r="A4" s="3336" t="str">
        <f>项目基本情况!I1</f>
        <v>北京市房地产</v>
      </c>
      <c r="B4" s="3336">
        <f>结果表!B121</f>
        <v>164.75</v>
      </c>
      <c r="C4" s="3336">
        <f>结果表!C121</f>
        <v>0</v>
      </c>
      <c r="D4" s="3336">
        <f ca="1">IF('数据-取费表'!E3="否",结果表!D121,'结果表 (1修多)'!D125)</f>
        <v>9869678</v>
      </c>
      <c r="E4" s="3336">
        <f ca="1">IF('数据-取费表'!E3="否",结果表!E121,'结果表 (1修多)'!E125)</f>
        <v>59907</v>
      </c>
      <c r="F4" s="3336">
        <f ca="1">IF('数据-取费表'!E3="否",结果表!F121,'结果表 (1修多)'!F125)</f>
        <v>1096576</v>
      </c>
      <c r="G4" s="3336">
        <f ca="1">IF('数据-取费表'!E3="否",结果表!G121,'结果表 (1修多)'!G125)</f>
        <v>6656</v>
      </c>
      <c r="H4" s="3336">
        <f ca="1">IF('数据-取费表'!E3="否",结果表!H121,'结果表 (1修多)'!H125)</f>
        <v>10966254</v>
      </c>
      <c r="I4" s="3336">
        <f ca="1">IF('数据-取费表'!E3="否",结果表!I121,'结果表 (1修多)'!I125)</f>
        <v>66563</v>
      </c>
    </row>
    <row r="5" ht="15" spans="1:9">
      <c r="A5" s="3336" t="s">
        <v>109</v>
      </c>
      <c r="B5" s="3336"/>
      <c r="C5" s="3336"/>
      <c r="D5" s="3337" t="str">
        <f ca="1">IF('数据-取费表'!E3="否",结果表!D122,'结果表 (1修多)'!D126)</f>
        <v>玖佰捌拾陆万玖仟陆佰柒拾捌元整</v>
      </c>
      <c r="E5" s="3337"/>
      <c r="F5" s="3337" t="str">
        <f ca="1">IF('数据-取费表'!E3="否",结果表!F122,'结果表 (1修多)'!F126)</f>
        <v>壹佰零玖万陆仟伍佰柒拾陆元整</v>
      </c>
      <c r="G5" s="3337"/>
      <c r="H5" s="3337" t="str">
        <f ca="1">IF('数据-取费表'!E3="否",结果表!H122,'结果表 (1修多)'!H126)</f>
        <v>壹仟零玖拾陆万陆仟贰佰伍拾肆元整</v>
      </c>
      <c r="I5" s="3337"/>
    </row>
    <row r="6" ht="15.75" spans="1:9">
      <c r="A6" s="3338" t="str">
        <f>IF('数据-取费表'!E3="否",结果表!A123,'结果表 (1修多)'!A127)</f>
        <v>估价师所知悉的法定优先受偿款</v>
      </c>
      <c r="B6" s="3338"/>
      <c r="C6" s="3338"/>
      <c r="D6" s="3338">
        <f>IF('数据-取费表'!E3="否",结果表!D123,'结果表 (1修多)'!D127)</f>
        <v>0</v>
      </c>
      <c r="E6" s="3338"/>
      <c r="F6" s="3338"/>
      <c r="G6" s="3338"/>
      <c r="H6" s="3338"/>
      <c r="I6" s="3338"/>
    </row>
    <row r="7" ht="15" spans="1:9">
      <c r="A7" s="3336" t="s">
        <v>109</v>
      </c>
      <c r="B7" s="3336"/>
      <c r="C7" s="3336"/>
      <c r="D7" s="3339">
        <f>IF('数据-取费表'!E3="否",结果表!D124,'结果表 (1修多)'!D128)</f>
        <v>0</v>
      </c>
      <c r="E7" s="3340"/>
      <c r="F7" s="3340"/>
      <c r="G7" s="3340"/>
      <c r="H7" s="3340"/>
      <c r="I7" s="3344"/>
    </row>
    <row r="8" ht="15.75" spans="1:9">
      <c r="A8" s="3338" t="str">
        <f>IF('数据-取费表'!E3="否",结果表!A125,'结果表 (1修多)'!A129)</f>
        <v>房地产抵押价值</v>
      </c>
      <c r="B8" s="3338"/>
      <c r="C8" s="3338"/>
      <c r="D8" s="3338">
        <f ca="1">IF('数据-取费表'!E3="否",结果表!D125,'结果表 (1修多)'!D129)</f>
        <v>10966254</v>
      </c>
      <c r="E8" s="3338"/>
      <c r="F8" s="3338"/>
      <c r="G8" s="3338"/>
      <c r="H8" s="3338"/>
      <c r="I8" s="3338"/>
    </row>
    <row r="9" ht="15" spans="1:9">
      <c r="A9" s="3336" t="s">
        <v>109</v>
      </c>
      <c r="B9" s="3336"/>
      <c r="C9" s="3336"/>
      <c r="D9" s="3337">
        <f ca="1">IF('数据-取费表'!E3="否",结果表!D126,'结果表 (1修多)'!D130)</f>
        <v>66563</v>
      </c>
      <c r="E9" s="3337"/>
      <c r="F9" s="3337"/>
      <c r="G9" s="3337"/>
      <c r="H9" s="3337"/>
      <c r="I9" s="3337"/>
    </row>
    <row r="10" ht="15.75" spans="1:9">
      <c r="A10" s="3338" t="str">
        <f>IF('数据-取费表'!E3="否",结果表!A127,'结果表 (1修多)'!A131)</f>
        <v/>
      </c>
      <c r="B10" s="3338"/>
      <c r="C10" s="3338"/>
      <c r="D10" s="3338" t="str">
        <f ca="1">IF('数据-取费表'!E3="否",结果表!D127,'结果表 (1修多)'!D130)</f>
        <v>——</v>
      </c>
      <c r="E10" s="3338"/>
      <c r="F10" s="3338"/>
      <c r="G10" s="3338"/>
      <c r="H10" s="3338"/>
      <c r="I10" s="3338"/>
    </row>
    <row r="11" ht="15" spans="1:9">
      <c r="A11" s="3336" t="s">
        <v>109</v>
      </c>
      <c r="B11" s="3336"/>
      <c r="C11" s="3336"/>
      <c r="D11" s="3337" t="str">
        <f ca="1">IF('数据-取费表'!E3="否",结果表!D128,'结果表 (1修多)'!D132)</f>
        <v>——</v>
      </c>
      <c r="E11" s="3337"/>
      <c r="F11" s="3337"/>
      <c r="G11" s="3337"/>
      <c r="H11" s="3337"/>
      <c r="I11" s="3337"/>
    </row>
    <row r="12" ht="15.75" spans="1:9">
      <c r="A12" s="3338" t="str">
        <f>IF('数据-取费表'!E3="否",结果表!A129,'结果表 (1修多)'!A133)</f>
        <v/>
      </c>
      <c r="B12" s="3338"/>
      <c r="C12" s="3338"/>
      <c r="D12" s="3338" t="str">
        <f ca="1">IF('数据-取费表'!E3="否",结果表!D129,'结果表 (1修多)'!D133)</f>
        <v>——</v>
      </c>
      <c r="E12" s="3338"/>
      <c r="F12" s="3338"/>
      <c r="G12" s="3338"/>
      <c r="H12" s="3338"/>
      <c r="I12" s="3338"/>
    </row>
    <row r="13" ht="15.75" spans="1:9">
      <c r="A13" s="3341" t="s">
        <v>109</v>
      </c>
      <c r="B13" s="3341"/>
      <c r="C13" s="3341"/>
      <c r="D13" s="3342">
        <f>IF('数据-取费表'!E3="否",结果表!D130,'结果表 (1修多)'!D134)</f>
        <v>0</v>
      </c>
      <c r="E13" s="3342"/>
      <c r="F13" s="3342"/>
      <c r="G13" s="3342"/>
      <c r="H13" s="3342"/>
      <c r="I13" s="3342"/>
    </row>
    <row r="14" spans="1:9">
      <c r="A14" s="3343" t="str">
        <f>IF('数据-取费表'!E3="否",结果表!A131,'结果表 (1修多)'!A135)</f>
        <v>单位：平方米、元、元/平方米（币种：人民币）</v>
      </c>
      <c r="B14" s="3343"/>
      <c r="C14" s="3343"/>
      <c r="D14" s="3343"/>
      <c r="E14" s="3343"/>
      <c r="F14" s="3343"/>
      <c r="G14" s="3343"/>
      <c r="H14" s="3343"/>
      <c r="I14" s="3343"/>
    </row>
    <row r="15" spans="1:9">
      <c r="A15" s="3244"/>
      <c r="B15" s="3244"/>
      <c r="C15" s="3244"/>
      <c r="D15" s="3244"/>
      <c r="E15" s="3244"/>
      <c r="F15" s="3244"/>
      <c r="G15" s="3244"/>
      <c r="H15" s="3244"/>
      <c r="I15" s="3244"/>
    </row>
    <row r="16" ht="18.75" spans="1:9">
      <c r="A16" s="3292" t="s">
        <v>110</v>
      </c>
      <c r="B16" s="3244"/>
      <c r="C16" s="3244"/>
      <c r="D16" s="3244"/>
      <c r="E16" s="3244"/>
      <c r="F16" s="3244"/>
      <c r="G16" s="3244"/>
      <c r="H16" s="3244"/>
      <c r="I16" s="3244"/>
    </row>
    <row r="17" spans="1:9">
      <c r="A17" s="3244"/>
      <c r="B17" s="3244"/>
      <c r="C17" s="3244"/>
      <c r="D17" s="3244"/>
      <c r="E17" s="3244"/>
      <c r="F17" s="3244"/>
      <c r="G17" s="3244"/>
      <c r="H17" s="3244"/>
      <c r="I17" s="3244"/>
    </row>
    <row r="18" spans="1:9">
      <c r="A18" s="3244"/>
      <c r="B18" s="3244"/>
      <c r="C18" s="3244"/>
      <c r="D18" s="3244"/>
      <c r="E18" s="3244"/>
      <c r="F18" s="3244"/>
      <c r="G18" s="3244"/>
      <c r="H18" s="3244"/>
      <c r="I18" s="3244"/>
    </row>
    <row r="19" spans="1:9">
      <c r="A19" s="3244"/>
      <c r="B19" s="3244"/>
      <c r="C19" s="3244"/>
      <c r="D19" s="3244"/>
      <c r="E19" s="3244"/>
      <c r="F19" s="3244"/>
      <c r="G19" s="3244"/>
      <c r="H19" s="3244"/>
      <c r="I19" s="3244"/>
    </row>
    <row r="20" spans="1:9">
      <c r="A20" s="3244"/>
      <c r="B20" s="3244"/>
      <c r="C20" s="3244"/>
      <c r="D20" s="3244"/>
      <c r="E20" s="3244"/>
      <c r="F20" s="3244"/>
      <c r="G20" s="3244"/>
      <c r="H20" s="3244"/>
      <c r="I20" s="3244"/>
    </row>
    <row r="21" spans="1:9">
      <c r="A21" s="3244"/>
      <c r="B21" s="3244"/>
      <c r="C21" s="3244"/>
      <c r="D21" s="3244"/>
      <c r="E21" s="3244"/>
      <c r="F21" s="3244"/>
      <c r="G21" s="3244"/>
      <c r="H21" s="3244"/>
      <c r="I21" s="3244"/>
    </row>
    <row r="22" spans="1:9">
      <c r="A22" s="3244"/>
      <c r="B22" s="3244"/>
      <c r="C22" s="3244"/>
      <c r="D22" s="3244"/>
      <c r="E22" s="3244"/>
      <c r="F22" s="3244"/>
      <c r="G22" s="3244"/>
      <c r="H22" s="3244"/>
      <c r="I22" s="3244"/>
    </row>
    <row r="23" spans="1:9">
      <c r="A23" s="3244"/>
      <c r="B23" s="3244"/>
      <c r="C23" s="3244"/>
      <c r="D23" s="3244"/>
      <c r="E23" s="3244"/>
      <c r="F23" s="3244"/>
      <c r="G23" s="3244"/>
      <c r="H23" s="3244"/>
      <c r="I23" s="3244"/>
    </row>
    <row r="24" spans="1:9">
      <c r="A24" s="3244"/>
      <c r="B24" s="3244"/>
      <c r="C24" s="3244"/>
      <c r="D24" s="3244"/>
      <c r="E24" s="3244"/>
      <c r="F24" s="3244"/>
      <c r="G24" s="3244"/>
      <c r="H24" s="3244"/>
      <c r="I24" s="3244"/>
    </row>
    <row r="25" spans="1:9">
      <c r="A25" s="3244"/>
      <c r="B25" s="3244"/>
      <c r="C25" s="3244"/>
      <c r="D25" s="3244"/>
      <c r="E25" s="3244"/>
      <c r="F25" s="3244"/>
      <c r="G25" s="3244"/>
      <c r="H25" s="3244"/>
      <c r="I25" s="3244"/>
    </row>
    <row r="26" spans="1:9">
      <c r="A26" s="3244"/>
      <c r="B26" s="3244"/>
      <c r="C26" s="3244"/>
      <c r="D26" s="3244"/>
      <c r="E26" s="3244"/>
      <c r="F26" s="3244"/>
      <c r="G26" s="3244"/>
      <c r="H26" s="3244"/>
      <c r="I26" s="324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315" customWidth="1"/>
    <col min="2" max="2" width="24" style="3315" customWidth="1"/>
    <col min="3" max="3" width="23.25" style="3315" customWidth="1"/>
    <col min="4" max="4" width="21" style="3315" customWidth="1"/>
    <col min="5" max="16384" width="9" style="3315"/>
  </cols>
  <sheetData>
    <row r="1" ht="18.75" spans="1:4">
      <c r="A1" s="3316" t="s">
        <v>111</v>
      </c>
      <c r="B1" s="3316"/>
      <c r="C1" s="3316"/>
      <c r="D1" s="3316"/>
    </row>
    <row r="2" ht="18" spans="1:4">
      <c r="A2" s="3317" t="s">
        <v>112</v>
      </c>
      <c r="B2" s="3317"/>
      <c r="C2" s="3317"/>
      <c r="D2" s="3317"/>
    </row>
    <row r="3" ht="18.75" spans="1:4">
      <c r="A3" s="3318" t="s">
        <v>113</v>
      </c>
      <c r="B3" s="3318" t="s">
        <v>114</v>
      </c>
      <c r="C3" s="3318" t="s">
        <v>115</v>
      </c>
      <c r="D3" s="3318" t="s">
        <v>116</v>
      </c>
    </row>
    <row r="4" ht="56.25" customHeight="1" spans="1:4">
      <c r="A4" s="3319" t="str">
        <f>项目基本情况!B3</f>
        <v>陈颖</v>
      </c>
      <c r="B4" s="3320">
        <f ca="1">项目基本情况!C3</f>
        <v>1120060040</v>
      </c>
      <c r="C4" s="3321"/>
      <c r="D4" s="3322" t="s">
        <v>117</v>
      </c>
    </row>
    <row r="5" ht="56.25" customHeight="1" spans="1:4">
      <c r="A5" s="3319">
        <f>项目基本情况!D3</f>
        <v>0</v>
      </c>
      <c r="B5" s="3320">
        <f ca="1">项目基本情况!E3</f>
        <v>0</v>
      </c>
      <c r="C5" s="3323"/>
      <c r="D5" s="3322" t="s">
        <v>117</v>
      </c>
    </row>
    <row r="6" ht="12" customHeight="1" spans="1:4">
      <c r="A6" s="3319"/>
      <c r="B6" s="3320"/>
      <c r="C6" s="3324"/>
      <c r="D6" s="3322"/>
    </row>
    <row r="7" ht="18" spans="1:4">
      <c r="A7" s="3317" t="s">
        <v>118</v>
      </c>
      <c r="B7" s="3317"/>
      <c r="C7" s="3317"/>
      <c r="D7" s="3317"/>
    </row>
    <row r="8" ht="18.75" spans="1:4">
      <c r="A8" s="3318" t="s">
        <v>113</v>
      </c>
      <c r="B8" s="3320" t="s">
        <v>119</v>
      </c>
      <c r="C8" s="3318" t="s">
        <v>115</v>
      </c>
      <c r="D8" s="3318" t="s">
        <v>116</v>
      </c>
    </row>
    <row r="9" ht="56.25" customHeight="1" spans="1:4">
      <c r="A9" s="3325" t="s">
        <v>120</v>
      </c>
      <c r="B9" s="3325" t="s">
        <v>121</v>
      </c>
      <c r="C9" s="3321"/>
      <c r="D9" s="3322" t="s">
        <v>117</v>
      </c>
    </row>
    <row r="11" ht="18.75" spans="1:1">
      <c r="A11" s="3316" t="s">
        <v>122</v>
      </c>
    </row>
    <row r="12" ht="30" customHeight="1" spans="1:4">
      <c r="A12" s="3326" t="s">
        <v>123</v>
      </c>
      <c r="B12" s="3327"/>
      <c r="C12" s="3327"/>
      <c r="D12" s="3327"/>
    </row>
    <row r="13" ht="15" spans="1:4">
      <c r="A13" s="332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7"/>
      <c r="C13" s="3327"/>
      <c r="D13" s="3327"/>
    </row>
    <row r="14" ht="30" customHeight="1" spans="1:4">
      <c r="A14" s="3326" t="str">
        <f>IF(项目基本情况!D4="抵押","3.抵押双方在办理抵押登记手续时，应使用本公司出具的正式《不动产估价报告书》，特提醒报告使用者注意。","——")</f>
        <v>——</v>
      </c>
      <c r="B14" s="3327"/>
      <c r="C14" s="3327"/>
      <c r="D14" s="3327"/>
    </row>
    <row r="15" ht="15.75" customHeight="1" spans="1:4">
      <c r="A15" s="3326" t="str">
        <f>IF(项目基本情况!D4="抵押","4.本次评估估价师所知悉的法定优先受偿款情况说明如下：","——")</f>
        <v>——</v>
      </c>
      <c r="B15" s="3327"/>
      <c r="C15" s="3327"/>
      <c r="D15" s="3327"/>
    </row>
    <row r="16" ht="75" customHeight="1" spans="1:4">
      <c r="A16" s="3326" t="str">
        <f>IF(项目基本情况!D4="抵押",CONCATENATE(项目基本情况!J13,项目基本情况!J14,项目基本情况!J15),"——")</f>
        <v>——</v>
      </c>
      <c r="B16" s="3326"/>
      <c r="C16" s="3326"/>
      <c r="D16" s="3326"/>
    </row>
    <row r="17" ht="63.75" customHeight="1" spans="1:4">
      <c r="A17" s="3328" t="s">
        <v>124</v>
      </c>
      <c r="B17" s="3328"/>
      <c r="C17" s="3328"/>
      <c r="D17" s="3328"/>
    </row>
    <row r="18" ht="15.75" customHeight="1" spans="1:4">
      <c r="A18" s="3326" t="str">
        <f>IF(项目基本情况!D4="抵押",结果表!L106,"——")</f>
        <v>——</v>
      </c>
      <c r="B18" s="3326"/>
      <c r="C18" s="3326"/>
      <c r="D18" s="3326"/>
    </row>
    <row r="19" ht="46.5" customHeight="1" spans="1:4">
      <c r="A19" s="332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6"/>
      <c r="C19" s="3326"/>
      <c r="D19" s="3326"/>
    </row>
    <row r="20" ht="15" spans="1:4">
      <c r="A20" s="3328" t="s">
        <v>125</v>
      </c>
      <c r="B20" s="3328"/>
      <c r="C20" s="3328"/>
      <c r="D20" s="3328"/>
    </row>
    <row r="21" spans="1:4">
      <c r="A21" s="3329"/>
      <c r="B21" s="322"/>
      <c r="C21" s="322"/>
      <c r="D21" s="322"/>
    </row>
    <row r="22" spans="1:4">
      <c r="A22" s="3329"/>
      <c r="B22" s="322"/>
      <c r="C22" s="322"/>
      <c r="D22" s="322"/>
    </row>
    <row r="23" ht="18.75" spans="1:1">
      <c r="A23" s="3330" t="s">
        <v>126</v>
      </c>
    </row>
    <row r="24" ht="18" spans="1:1">
      <c r="A24" s="3330"/>
    </row>
    <row r="25" ht="18.75" spans="1:1">
      <c r="A25" s="3330" t="s">
        <v>127</v>
      </c>
    </row>
    <row r="28" ht="21" customHeight="1" spans="4:4">
      <c r="D28" s="3331" t="s">
        <v>128</v>
      </c>
    </row>
    <row r="29" ht="21" customHeight="1" spans="3:4">
      <c r="C29" s="3332"/>
      <c r="D29" s="3333">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293" customWidth="1"/>
    <col min="2" max="16384" width="14.5" style="3244"/>
  </cols>
  <sheetData>
    <row r="1" s="3292" customFormat="1" ht="18.75" spans="1:1">
      <c r="A1" s="3294" t="s">
        <v>129</v>
      </c>
    </row>
    <row r="3" ht="14.25" spans="1:7">
      <c r="A3" s="3295" t="s">
        <v>130</v>
      </c>
      <c r="B3" s="3244" t="s">
        <v>131</v>
      </c>
      <c r="G3" s="3296"/>
    </row>
    <row r="4" spans="7:7">
      <c r="G4" s="3296"/>
    </row>
    <row r="5" ht="14.25" spans="1:7">
      <c r="A5" s="3297" t="s">
        <v>132</v>
      </c>
      <c r="B5" s="3244" t="s">
        <v>133</v>
      </c>
      <c r="G5" s="3296"/>
    </row>
    <row r="6" spans="7:7">
      <c r="G6" s="3296"/>
    </row>
    <row r="7" ht="14.25" spans="1:7">
      <c r="A7" s="3298" t="s">
        <v>134</v>
      </c>
      <c r="B7" s="3244" t="s">
        <v>135</v>
      </c>
      <c r="G7" s="3296"/>
    </row>
    <row r="8" spans="7:7">
      <c r="G8" s="3296"/>
    </row>
    <row r="9" ht="14.25" spans="1:2">
      <c r="A9" s="3299" t="s">
        <v>136</v>
      </c>
      <c r="B9" s="3244" t="s">
        <v>137</v>
      </c>
    </row>
    <row r="11" ht="14.25" spans="1:2">
      <c r="A11" s="3300" t="s">
        <v>138</v>
      </c>
      <c r="B11" s="3301" t="s">
        <v>139</v>
      </c>
    </row>
    <row r="13" ht="14.25" spans="1:1">
      <c r="A13" s="3302" t="s">
        <v>140</v>
      </c>
    </row>
    <row r="15" ht="13.5" spans="1:3">
      <c r="A15" s="3303" t="s">
        <v>141</v>
      </c>
      <c r="B15" s="3304" t="s">
        <v>142</v>
      </c>
      <c r="C15" s="3305"/>
    </row>
    <row r="16" ht="13.5" spans="1:3">
      <c r="A16" s="3306"/>
      <c r="B16" s="3304" t="s">
        <v>143</v>
      </c>
      <c r="C16" s="3305"/>
    </row>
    <row r="17" ht="14.25" spans="1:3">
      <c r="A17" s="3306"/>
      <c r="B17" s="3304" t="s">
        <v>144</v>
      </c>
      <c r="C17" s="3305"/>
    </row>
    <row r="18" ht="13.5" spans="1:3">
      <c r="A18" s="3307"/>
      <c r="B18" s="3308" t="s">
        <v>145</v>
      </c>
      <c r="C18" s="3305"/>
    </row>
    <row r="19" ht="14.25" spans="1:3">
      <c r="A19" s="3309" t="s">
        <v>146</v>
      </c>
      <c r="B19" s="3310"/>
      <c r="C19" s="3311"/>
    </row>
    <row r="20" ht="13.5" spans="1:3">
      <c r="A20" s="3312" t="s">
        <v>147</v>
      </c>
      <c r="B20" s="3308" t="s">
        <v>148</v>
      </c>
      <c r="C20" s="3305"/>
    </row>
    <row r="21" ht="13.5" spans="1:3">
      <c r="A21" s="3312"/>
      <c r="B21" s="3308" t="s">
        <v>149</v>
      </c>
      <c r="C21" s="3305"/>
    </row>
    <row r="22" ht="13.5" spans="1:3">
      <c r="A22" s="3312"/>
      <c r="B22" s="3308" t="s">
        <v>150</v>
      </c>
      <c r="C22" s="3305"/>
    </row>
    <row r="23" ht="13.5" spans="1:3">
      <c r="A23" s="3312"/>
      <c r="B23" s="3313" t="s">
        <v>151</v>
      </c>
      <c r="C23" s="3313" t="s">
        <v>152</v>
      </c>
    </row>
    <row r="24" ht="13.5" spans="1:3">
      <c r="A24" s="3312"/>
      <c r="B24" s="3313"/>
      <c r="C24" s="3313" t="s">
        <v>153</v>
      </c>
    </row>
    <row r="25" ht="13.5" spans="1:3">
      <c r="A25" s="3312"/>
      <c r="B25" s="3313"/>
      <c r="C25" s="3313" t="s">
        <v>154</v>
      </c>
    </row>
    <row r="26" ht="13.5" spans="1:3">
      <c r="A26" s="3312"/>
      <c r="B26" s="3313"/>
      <c r="C26" s="3313" t="s">
        <v>155</v>
      </c>
    </row>
    <row r="27" ht="13.5" spans="1:3">
      <c r="A27" s="3312"/>
      <c r="B27" s="3313"/>
      <c r="C27" s="3313" t="s">
        <v>156</v>
      </c>
    </row>
    <row r="28" ht="13.5" spans="1:3">
      <c r="A28" s="3312"/>
      <c r="B28" s="3313"/>
      <c r="C28" s="3313" t="s">
        <v>157</v>
      </c>
    </row>
    <row r="29" ht="14.25" spans="1:3">
      <c r="A29" s="3312"/>
      <c r="B29" s="3313"/>
      <c r="C29" s="3313" t="s">
        <v>158</v>
      </c>
    </row>
    <row r="30" ht="14.25" spans="1:3">
      <c r="A30" s="3312"/>
      <c r="B30" s="3313"/>
      <c r="C30" s="3313" t="s">
        <v>159</v>
      </c>
    </row>
    <row r="31" ht="13.5" spans="1:3">
      <c r="A31" s="3312"/>
      <c r="B31" s="3313"/>
      <c r="C31" s="3313" t="s">
        <v>160</v>
      </c>
    </row>
    <row r="32" spans="1:1">
      <c r="A32" s="3314"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25" defaultRowHeight="24" customHeight="1" outlineLevelCol="7"/>
  <cols>
    <col min="1" max="1" width="24.625" style="3260" customWidth="1"/>
    <col min="2" max="2" width="38.625" style="3260" customWidth="1"/>
    <col min="3" max="3" width="26" style="3260" customWidth="1"/>
    <col min="4" max="4" width="35" style="3260" hidden="1" customWidth="1"/>
    <col min="5" max="5" width="30.125" style="3260" customWidth="1"/>
    <col min="6" max="6" width="35.5" style="3260" customWidth="1"/>
    <col min="7" max="7" width="31" style="3260" customWidth="1"/>
    <col min="8" max="8" width="37.5" style="3260" hidden="1" customWidth="1"/>
    <col min="9" max="16384" width="22.625" style="3260"/>
  </cols>
  <sheetData>
    <row r="1" customHeight="1" spans="1:8">
      <c r="A1" s="3261"/>
      <c r="B1" s="3261"/>
      <c r="C1" s="3261"/>
      <c r="D1" s="3261"/>
      <c r="E1" s="3261"/>
      <c r="F1" s="3261"/>
      <c r="G1" s="3261"/>
      <c r="H1" s="3261"/>
    </row>
    <row r="2" customHeight="1" spans="1:8">
      <c r="A2" s="3262" t="s">
        <v>162</v>
      </c>
      <c r="B2" s="3263">
        <f ca="1">TODAY()</f>
        <v>44499</v>
      </c>
      <c r="C2" s="3264" t="s">
        <v>163</v>
      </c>
      <c r="D2" s="3264"/>
      <c r="E2" s="3264"/>
      <c r="F2" s="3261"/>
      <c r="G2" s="3261"/>
      <c r="H2" s="3261"/>
    </row>
    <row r="3" customHeight="1" spans="1:8">
      <c r="A3" s="3265" t="s">
        <v>164</v>
      </c>
      <c r="B3" s="3266" t="s">
        <v>165</v>
      </c>
      <c r="C3" s="3266" t="s">
        <v>166</v>
      </c>
      <c r="D3" s="3267" t="s">
        <v>167</v>
      </c>
      <c r="E3" s="3268" t="s">
        <v>168</v>
      </c>
      <c r="F3" s="3269" t="s">
        <v>169</v>
      </c>
      <c r="G3" s="3266" t="s">
        <v>166</v>
      </c>
      <c r="H3" s="3267" t="s">
        <v>170</v>
      </c>
    </row>
    <row r="4" customHeight="1" spans="1:8">
      <c r="A4" s="3269" t="s">
        <v>171</v>
      </c>
      <c r="B4" s="3269">
        <f ca="1">IF(C4&lt;B2,"已过期",1119970066)</f>
        <v>1119970066</v>
      </c>
      <c r="C4" s="3270">
        <v>44876</v>
      </c>
      <c r="D4" s="3271" t="str">
        <f ca="1">A4&amp;"（注册号："&amp;B4&amp;"）"</f>
        <v>梁津（注册号：1119970066）</v>
      </c>
      <c r="E4" s="3272" t="s">
        <v>171</v>
      </c>
      <c r="F4" s="3269">
        <f ca="1">IF(G4&lt;B2,"已过期",96010014)</f>
        <v>96010014</v>
      </c>
      <c r="G4" s="3273">
        <v>47118</v>
      </c>
      <c r="H4" s="3274" t="str">
        <f ca="1">E4&amp;"（注册号："&amp;F4&amp;"）"</f>
        <v>梁津（注册号：96010014）</v>
      </c>
    </row>
    <row r="5" customHeight="1" spans="1:8">
      <c r="A5" s="3269" t="s">
        <v>172</v>
      </c>
      <c r="B5" s="3269">
        <f ca="1">IF(C5&lt;B2,"已过期",1119970111)</f>
        <v>1119970111</v>
      </c>
      <c r="C5" s="3270">
        <v>44876</v>
      </c>
      <c r="D5" s="3271" t="str">
        <f ca="1" t="shared" ref="D5:D14" si="0">A5&amp;"（注册号："&amp;B5&amp;"）"</f>
        <v>叶凌（注册号：1119970111）</v>
      </c>
      <c r="E5" s="3272" t="s">
        <v>172</v>
      </c>
      <c r="F5" s="3269">
        <f ca="1">IF(G5&lt;B2,"已过期",94010078)</f>
        <v>94010078</v>
      </c>
      <c r="G5" s="3273">
        <v>46387</v>
      </c>
      <c r="H5" s="3274" t="str">
        <f ca="1" t="shared" ref="H5:H16" si="1">E5&amp;"（注册号："&amp;F5&amp;"）"</f>
        <v>叶凌（注册号：94010078）</v>
      </c>
    </row>
    <row r="6" customHeight="1" spans="1:8">
      <c r="A6" s="3269" t="s">
        <v>173</v>
      </c>
      <c r="B6" s="3269" t="str">
        <f ca="1">IF(C6&lt;B2,"已过期",1120050019)</f>
        <v>已过期</v>
      </c>
      <c r="C6" s="3270">
        <v>44395</v>
      </c>
      <c r="D6" s="3271" t="str">
        <f ca="1" t="shared" si="0"/>
        <v>王鹏（注册号：已过期）</v>
      </c>
      <c r="E6" s="3272" t="s">
        <v>173</v>
      </c>
      <c r="F6" s="3269">
        <f ca="1">IF(G6&lt;B2,"已过期",2002110030)</f>
        <v>2002110030</v>
      </c>
      <c r="G6" s="3273">
        <v>46387</v>
      </c>
      <c r="H6" s="3274" t="str">
        <f ca="1" t="shared" si="1"/>
        <v>王鹏（注册号：2002110030）</v>
      </c>
    </row>
    <row r="7" customHeight="1" spans="1:8">
      <c r="A7" s="3269" t="s">
        <v>174</v>
      </c>
      <c r="B7" s="3269">
        <f ca="1">IF(C7&lt;B2,"已过期",1120000080)</f>
        <v>1120000080</v>
      </c>
      <c r="C7" s="3270">
        <v>44876</v>
      </c>
      <c r="D7" s="3271" t="str">
        <f ca="1" t="shared" si="0"/>
        <v>欧红伟（注册号：1120000080）</v>
      </c>
      <c r="E7" s="3272" t="s">
        <v>174</v>
      </c>
      <c r="F7" s="3269">
        <f ca="1">IF(G7&lt;B2,"已过期",2000110082)</f>
        <v>2000110082</v>
      </c>
      <c r="G7" s="3273">
        <v>46387</v>
      </c>
      <c r="H7" s="3274" t="str">
        <f ca="1" t="shared" si="1"/>
        <v>欧红伟（注册号：2000110082）</v>
      </c>
    </row>
    <row r="8" customHeight="1" spans="1:8">
      <c r="A8" s="3269" t="s">
        <v>175</v>
      </c>
      <c r="B8" s="3269">
        <f ca="1">IF(C8&lt;B2,"已过期",1419970001)</f>
        <v>1419970001</v>
      </c>
      <c r="C8" s="3270">
        <v>44899</v>
      </c>
      <c r="D8" s="3271" t="str">
        <f ca="1" t="shared" si="0"/>
        <v>吴薇（注册号：1419970001）</v>
      </c>
      <c r="E8" s="3272" t="s">
        <v>175</v>
      </c>
      <c r="F8" s="3269">
        <f ca="1">IF(G8&lt;B2,"已过期",2002110125)</f>
        <v>2002110125</v>
      </c>
      <c r="G8" s="3273">
        <v>47118</v>
      </c>
      <c r="H8" s="3274" t="str">
        <f ca="1" t="shared" si="1"/>
        <v>吴薇（注册号：2002110125）</v>
      </c>
    </row>
    <row r="9" customHeight="1" spans="1:8">
      <c r="A9" s="3269" t="s">
        <v>176</v>
      </c>
      <c r="B9" s="3269">
        <f ca="1">IF(C9&lt;B2,"已过期",1120060040)</f>
        <v>1120060040</v>
      </c>
      <c r="C9" s="3275">
        <v>44554</v>
      </c>
      <c r="D9" s="3271" t="str">
        <f ca="1" t="shared" si="0"/>
        <v>陈颖（注册号：1120060040）</v>
      </c>
      <c r="E9" s="3272" t="s">
        <v>176</v>
      </c>
      <c r="F9" s="3269">
        <f ca="1">IF(G9&lt;B2,"已过期",2004110096)</f>
        <v>2004110096</v>
      </c>
      <c r="G9" s="3273">
        <v>47118</v>
      </c>
      <c r="H9" s="3274" t="str">
        <f ca="1" t="shared" si="1"/>
        <v>陈颖（注册号：2004110096）</v>
      </c>
    </row>
    <row r="10" customHeight="1" spans="1:8">
      <c r="A10" s="3269" t="s">
        <v>177</v>
      </c>
      <c r="B10" s="3269">
        <f ca="1">IF(C10&lt;B2,"已过期",1120100036)</f>
        <v>1120100036</v>
      </c>
      <c r="C10" s="3275">
        <v>44675</v>
      </c>
      <c r="D10" s="3271" t="str">
        <f ca="1" t="shared" si="0"/>
        <v>崔锴（注册号：1120100036）</v>
      </c>
      <c r="E10" s="3272" t="s">
        <v>177</v>
      </c>
      <c r="F10" s="3269">
        <f ca="1">IF(G10&lt;B2,"已过期",2010110070)</f>
        <v>2010110070</v>
      </c>
      <c r="G10" s="3273">
        <v>47907</v>
      </c>
      <c r="H10" s="3274" t="str">
        <f ca="1" t="shared" si="1"/>
        <v>崔锴（注册号：2010110070）</v>
      </c>
    </row>
    <row r="11" customHeight="1" spans="1:8">
      <c r="A11" s="3269" t="s">
        <v>178</v>
      </c>
      <c r="B11" s="3269">
        <f ca="1">IF(C11&lt;B2,"已过期",1120070131)</f>
        <v>1120070131</v>
      </c>
      <c r="C11" s="3270">
        <v>44849</v>
      </c>
      <c r="D11" s="3271" t="str">
        <f ca="1" t="shared" si="0"/>
        <v>郑燚（注册号：1120070131）</v>
      </c>
      <c r="E11" s="3272" t="s">
        <v>178</v>
      </c>
      <c r="F11" s="3269">
        <f ca="1">IF(G11&lt;B2,"已过期",2014110011)</f>
        <v>2014110011</v>
      </c>
      <c r="G11" s="3273">
        <v>49302</v>
      </c>
      <c r="H11" s="3274" t="str">
        <f ca="1" t="shared" si="1"/>
        <v>郑燚（注册号：2014110011）</v>
      </c>
    </row>
    <row r="12" customHeight="1" spans="1:8">
      <c r="A12" s="3269" t="s">
        <v>179</v>
      </c>
      <c r="B12" s="3269">
        <f ca="1">IF(C12&lt;B2,"已过期",1120040230)</f>
        <v>1120040230</v>
      </c>
      <c r="C12" s="3275">
        <v>44864</v>
      </c>
      <c r="D12" s="3271" t="str">
        <f ca="1" t="shared" si="0"/>
        <v>苏海（注册号：1120040230）</v>
      </c>
      <c r="E12" s="3272" t="s">
        <v>179</v>
      </c>
      <c r="F12" s="3269">
        <f ca="1">IF(G12&lt;B2,"已过期",98030020)</f>
        <v>98030020</v>
      </c>
      <c r="G12" s="3273">
        <v>47118</v>
      </c>
      <c r="H12" s="3274" t="str">
        <f ca="1" t="shared" si="1"/>
        <v>苏海（注册号：98030020）</v>
      </c>
    </row>
    <row r="13" customHeight="1" spans="1:8">
      <c r="A13" s="3269" t="s">
        <v>180</v>
      </c>
      <c r="B13" s="3269" t="str">
        <f ca="1">IF(C13&lt;B2,"已过期",1120020033)</f>
        <v>已过期</v>
      </c>
      <c r="C13" s="3270">
        <v>44339</v>
      </c>
      <c r="D13" s="3271" t="str">
        <f ca="1" t="shared" si="0"/>
        <v>刘敬东（注册号：已过期）</v>
      </c>
      <c r="E13" s="3272" t="s">
        <v>180</v>
      </c>
      <c r="F13" s="3269">
        <f ca="1">IF(G13&lt;B2,"已过期",2000110137)</f>
        <v>2000110137</v>
      </c>
      <c r="G13" s="3273">
        <v>46387</v>
      </c>
      <c r="H13" s="3274" t="str">
        <f ca="1" t="shared" si="1"/>
        <v>刘敬东（注册号：2000110137）</v>
      </c>
    </row>
    <row r="14" customHeight="1" spans="1:8">
      <c r="A14" s="3269" t="s">
        <v>181</v>
      </c>
      <c r="B14" s="3269">
        <f ca="1">IF(C14&lt;B2,"已过期",1119980106)</f>
        <v>1119980106</v>
      </c>
      <c r="C14" s="3275">
        <v>44969</v>
      </c>
      <c r="D14" s="3271" t="str">
        <f ca="1" t="shared" si="0"/>
        <v>刘俊财（注册号：1119980106）</v>
      </c>
      <c r="E14" s="3272" t="s">
        <v>181</v>
      </c>
      <c r="F14" s="3269">
        <f ca="1">IF(G14&lt;B2,"已过期",96010063)</f>
        <v>96010063</v>
      </c>
      <c r="G14" s="3273">
        <v>47483</v>
      </c>
      <c r="H14" s="3274" t="str">
        <f ca="1" t="shared" si="1"/>
        <v>刘俊财（注册号：96010063）</v>
      </c>
    </row>
    <row r="15" customHeight="1" spans="1:8">
      <c r="A15" s="3269"/>
      <c r="B15" s="3269"/>
      <c r="C15" s="3275"/>
      <c r="D15" s="3271" t="str">
        <f t="shared" ref="D15:D16" si="2">A15&amp;"（注册号："&amp;B15&amp;"）"</f>
        <v>（注册号：）</v>
      </c>
      <c r="E15" s="3272" t="s">
        <v>182</v>
      </c>
      <c r="F15" s="3269">
        <f ca="1">IF(G15&lt;B2,"已过期",2011110090)</f>
        <v>2011110090</v>
      </c>
      <c r="G15" s="3273">
        <v>48302</v>
      </c>
      <c r="H15" s="3274" t="str">
        <f ca="1" t="shared" ref="H15" si="3">E15&amp;"（注册号："&amp;F15&amp;"）"</f>
        <v>赵雯（注册号：2011110090）</v>
      </c>
    </row>
    <row r="16" s="3258" customFormat="1" customHeight="1" spans="1:8">
      <c r="A16" s="3269"/>
      <c r="B16" s="3269"/>
      <c r="C16" s="3269"/>
      <c r="D16" s="3271" t="str">
        <f t="shared" si="2"/>
        <v>（注册号：）</v>
      </c>
      <c r="E16" s="3272"/>
      <c r="F16" s="3269"/>
      <c r="G16" s="3269"/>
      <c r="H16" s="3276" t="str">
        <f t="shared" si="1"/>
        <v>（注册号：）</v>
      </c>
    </row>
    <row r="17" customHeight="1" spans="1:8">
      <c r="A17" s="3277" t="s">
        <v>183</v>
      </c>
      <c r="B17" s="3277"/>
      <c r="C17" s="3277"/>
      <c r="D17" s="3277"/>
      <c r="E17" s="3277"/>
      <c r="F17" s="3277"/>
      <c r="G17" s="3277"/>
      <c r="H17" s="3277"/>
    </row>
    <row r="18" customHeight="1" spans="1:7">
      <c r="A18" s="3266" t="s">
        <v>184</v>
      </c>
      <c r="B18" s="3266"/>
      <c r="C18" s="3266"/>
      <c r="D18" s="3267"/>
      <c r="E18" s="3278" t="s">
        <v>185</v>
      </c>
      <c r="F18" s="3266"/>
      <c r="G18" s="3266"/>
    </row>
    <row r="19" s="3259" customFormat="1" customHeight="1" spans="1:7">
      <c r="A19" s="3279" t="s">
        <v>186</v>
      </c>
      <c r="B19" s="3266" t="s">
        <v>187</v>
      </c>
      <c r="C19" s="3266" t="s">
        <v>166</v>
      </c>
      <c r="D19" s="3267"/>
      <c r="E19" s="3272" t="s">
        <v>186</v>
      </c>
      <c r="F19" s="3266" t="s">
        <v>187</v>
      </c>
      <c r="G19" s="3266" t="s">
        <v>166</v>
      </c>
    </row>
    <row r="20" s="3259" customFormat="1" customHeight="1" spans="1:7">
      <c r="A20" s="3280" t="s">
        <v>188</v>
      </c>
      <c r="B20" s="3280" t="s">
        <v>189</v>
      </c>
      <c r="C20" s="3273">
        <v>44820</v>
      </c>
      <c r="D20" s="3281"/>
      <c r="E20" s="3282" t="s">
        <v>190</v>
      </c>
      <c r="F20" s="3280" t="s">
        <v>191</v>
      </c>
      <c r="G20" s="3283">
        <v>44377</v>
      </c>
    </row>
    <row r="21" s="3259" customFormat="1" customHeight="1" spans="1:7">
      <c r="A21" s="3280"/>
      <c r="B21" s="3280"/>
      <c r="C21" s="3284"/>
      <c r="D21" s="3285"/>
      <c r="E21" s="3282" t="s">
        <v>192</v>
      </c>
      <c r="F21" s="3286" t="s">
        <v>193</v>
      </c>
      <c r="G21" s="3287">
        <v>44012</v>
      </c>
    </row>
    <row r="22" customHeight="1" spans="3:7">
      <c r="C22" s="3288"/>
      <c r="D22" s="3288"/>
      <c r="E22" s="3289"/>
      <c r="F22" s="3290"/>
      <c r="G22" s="3291"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3" customWidth="1"/>
    <col min="2" max="2" width="22.5" style="3244" customWidth="1"/>
    <col min="3" max="3" width="13" style="2741" hidden="1" customWidth="1"/>
    <col min="4" max="4" width="5.75" style="3245" hidden="1" customWidth="1"/>
    <col min="5" max="5" width="7.125" style="3245" hidden="1" customWidth="1"/>
    <col min="6" max="6" width="10.625" style="3245" hidden="1" customWidth="1"/>
    <col min="7" max="7" width="7.5" style="3245" hidden="1" customWidth="1"/>
    <col min="8" max="8" width="9" style="2741" hidden="1" customWidth="1"/>
    <col min="9" max="9" width="11.625" style="2741" hidden="1" customWidth="1"/>
    <col min="10" max="10" width="9" style="2741" hidden="1" customWidth="1"/>
    <col min="11" max="19" width="9" style="3245" hidden="1" customWidth="1"/>
    <col min="20" max="24" width="9" style="2741" hidden="1" customWidth="1"/>
    <col min="25" max="25" width="9" style="2741" customWidth="1"/>
    <col min="26" max="26" width="15.875" style="3244" customWidth="1"/>
    <col min="27" max="16384" width="9" style="3244"/>
  </cols>
  <sheetData>
    <row r="1" s="3242" customFormat="1" ht="27" spans="1:25">
      <c r="A1" s="3246" t="s">
        <v>195</v>
      </c>
      <c r="B1" s="3247" t="s">
        <v>196</v>
      </c>
      <c r="C1" s="3248" t="s">
        <v>197</v>
      </c>
      <c r="D1" s="3249" t="s">
        <v>198</v>
      </c>
      <c r="E1" s="3249" t="s">
        <v>199</v>
      </c>
      <c r="F1" s="3249" t="s">
        <v>200</v>
      </c>
      <c r="G1" s="3249" t="s">
        <v>201</v>
      </c>
      <c r="H1" s="3249" t="s">
        <v>202</v>
      </c>
      <c r="I1" s="3249" t="s">
        <v>203</v>
      </c>
      <c r="J1" s="3249" t="s">
        <v>204</v>
      </c>
      <c r="K1" s="3249" t="s">
        <v>205</v>
      </c>
      <c r="L1" s="3249" t="s">
        <v>206</v>
      </c>
      <c r="M1" s="3249" t="s">
        <v>207</v>
      </c>
      <c r="N1" s="3249" t="s">
        <v>208</v>
      </c>
      <c r="O1" s="3249" t="s">
        <v>209</v>
      </c>
      <c r="P1" s="3256" t="s">
        <v>210</v>
      </c>
      <c r="Q1" s="3256" t="s">
        <v>211</v>
      </c>
      <c r="R1" s="3256" t="s">
        <v>212</v>
      </c>
      <c r="S1" s="3249" t="s">
        <v>213</v>
      </c>
      <c r="T1" s="3257" t="s">
        <v>214</v>
      </c>
      <c r="U1" s="3249" t="s">
        <v>215</v>
      </c>
      <c r="V1" s="3249" t="s">
        <v>216</v>
      </c>
      <c r="W1" s="3249" t="s">
        <v>217</v>
      </c>
      <c r="X1" s="3249" t="s">
        <v>218</v>
      </c>
      <c r="Y1" s="3249" t="s">
        <v>219</v>
      </c>
    </row>
    <row r="2" spans="1:25">
      <c r="A2" s="2401" t="s">
        <v>121</v>
      </c>
      <c r="B2" s="2401" t="s">
        <v>220</v>
      </c>
      <c r="C2" s="3250" t="s">
        <v>221</v>
      </c>
      <c r="D2" s="3245" t="s">
        <v>222</v>
      </c>
      <c r="E2" s="3245" t="s">
        <v>223</v>
      </c>
      <c r="F2" s="3245" t="s">
        <v>152</v>
      </c>
      <c r="G2" s="3245">
        <v>40</v>
      </c>
      <c r="H2" s="3245" t="s">
        <v>152</v>
      </c>
      <c r="I2" s="3245" t="s">
        <v>224</v>
      </c>
      <c r="J2" s="3245" t="s">
        <v>225</v>
      </c>
      <c r="K2" s="3245" t="s">
        <v>226</v>
      </c>
      <c r="L2" s="3245" t="s">
        <v>226</v>
      </c>
      <c r="M2" s="3245" t="s">
        <v>226</v>
      </c>
      <c r="N2" s="3245" t="s">
        <v>226</v>
      </c>
      <c r="O2" s="3245" t="s">
        <v>226</v>
      </c>
      <c r="P2" s="3245" t="s">
        <v>226</v>
      </c>
      <c r="Q2" s="3245" t="s">
        <v>226</v>
      </c>
      <c r="R2" s="3245" t="s">
        <v>227</v>
      </c>
      <c r="S2" s="3245" t="s">
        <v>226</v>
      </c>
      <c r="T2" s="3245" t="s">
        <v>228</v>
      </c>
      <c r="U2" s="3245" t="s">
        <v>226</v>
      </c>
      <c r="V2" s="3245" t="s">
        <v>229</v>
      </c>
      <c r="W2" s="3245" t="s">
        <v>226</v>
      </c>
      <c r="X2" s="3245" t="s">
        <v>230</v>
      </c>
      <c r="Y2" s="3245" t="s">
        <v>231</v>
      </c>
    </row>
    <row r="3" spans="1:25">
      <c r="A3" s="2401" t="s">
        <v>232</v>
      </c>
      <c r="B3" s="2435" t="s">
        <v>233</v>
      </c>
      <c r="C3" s="328" t="s">
        <v>234</v>
      </c>
      <c r="D3" s="3245" t="s">
        <v>235</v>
      </c>
      <c r="E3" s="3245" t="s">
        <v>121</v>
      </c>
      <c r="F3" s="3245" t="s">
        <v>153</v>
      </c>
      <c r="G3" s="3245">
        <v>50</v>
      </c>
      <c r="H3" s="3245" t="s">
        <v>153</v>
      </c>
      <c r="I3" s="3245" t="s">
        <v>236</v>
      </c>
      <c r="J3" s="3245" t="s">
        <v>237</v>
      </c>
      <c r="K3" s="3245" t="s">
        <v>238</v>
      </c>
      <c r="L3" s="3245" t="s">
        <v>238</v>
      </c>
      <c r="M3" s="3245" t="s">
        <v>238</v>
      </c>
      <c r="N3" s="3245" t="s">
        <v>238</v>
      </c>
      <c r="O3" s="3245" t="s">
        <v>238</v>
      </c>
      <c r="P3" s="3245" t="s">
        <v>238</v>
      </c>
      <c r="Q3" s="3245" t="s">
        <v>238</v>
      </c>
      <c r="R3" s="3245" t="s">
        <v>239</v>
      </c>
      <c r="S3" s="3245" t="s">
        <v>238</v>
      </c>
      <c r="T3" s="3245" t="s">
        <v>240</v>
      </c>
      <c r="U3" s="3245" t="s">
        <v>238</v>
      </c>
      <c r="V3" s="3245" t="s">
        <v>241</v>
      </c>
      <c r="W3" s="3245" t="s">
        <v>238</v>
      </c>
      <c r="X3" s="3245" t="s">
        <v>242</v>
      </c>
      <c r="Y3" s="3245" t="s">
        <v>243</v>
      </c>
    </row>
    <row r="4" spans="1:25">
      <c r="A4" s="2401" t="s">
        <v>244</v>
      </c>
      <c r="B4" s="2435" t="s">
        <v>245</v>
      </c>
      <c r="C4" s="3250" t="s">
        <v>246</v>
      </c>
      <c r="D4" s="3245" t="s">
        <v>121</v>
      </c>
      <c r="E4" s="3245" t="s">
        <v>247</v>
      </c>
      <c r="F4" s="3245" t="s">
        <v>154</v>
      </c>
      <c r="G4" s="3245">
        <v>70</v>
      </c>
      <c r="H4" s="3245" t="s">
        <v>154</v>
      </c>
      <c r="I4" s="3245" t="s">
        <v>248</v>
      </c>
      <c r="K4" s="3245" t="s">
        <v>249</v>
      </c>
      <c r="L4" s="3245" t="s">
        <v>249</v>
      </c>
      <c r="M4" s="3245" t="s">
        <v>249</v>
      </c>
      <c r="N4" s="3245" t="s">
        <v>249</v>
      </c>
      <c r="O4" s="3245" t="s">
        <v>249</v>
      </c>
      <c r="P4" s="3245" t="s">
        <v>249</v>
      </c>
      <c r="Q4" s="3245" t="s">
        <v>249</v>
      </c>
      <c r="R4" s="3245" t="s">
        <v>250</v>
      </c>
      <c r="S4" s="3245" t="s">
        <v>249</v>
      </c>
      <c r="T4" s="3245" t="s">
        <v>251</v>
      </c>
      <c r="U4" s="3245" t="s">
        <v>249</v>
      </c>
      <c r="W4" s="3245" t="s">
        <v>249</v>
      </c>
      <c r="X4" s="3245" t="s">
        <v>252</v>
      </c>
      <c r="Y4" s="3245" t="s">
        <v>253</v>
      </c>
    </row>
    <row r="5" spans="1:24">
      <c r="A5" s="2401" t="s">
        <v>254</v>
      </c>
      <c r="B5" s="2401" t="s">
        <v>255</v>
      </c>
      <c r="C5" s="3250" t="s">
        <v>256</v>
      </c>
      <c r="F5" s="3245" t="s">
        <v>155</v>
      </c>
      <c r="H5" s="3245" t="s">
        <v>257</v>
      </c>
      <c r="I5" s="3245" t="s">
        <v>258</v>
      </c>
      <c r="K5" s="3245" t="s">
        <v>259</v>
      </c>
      <c r="L5" s="3245" t="s">
        <v>259</v>
      </c>
      <c r="M5" s="3245" t="s">
        <v>259</v>
      </c>
      <c r="N5" s="3245" t="s">
        <v>259</v>
      </c>
      <c r="O5" s="3245" t="s">
        <v>259</v>
      </c>
      <c r="P5" s="3245" t="s">
        <v>259</v>
      </c>
      <c r="Q5" s="3245" t="s">
        <v>259</v>
      </c>
      <c r="R5" s="3245" t="s">
        <v>260</v>
      </c>
      <c r="S5" s="3245" t="s">
        <v>259</v>
      </c>
      <c r="T5" s="3245" t="s">
        <v>261</v>
      </c>
      <c r="U5" s="3245" t="s">
        <v>259</v>
      </c>
      <c r="W5" s="3245" t="s">
        <v>259</v>
      </c>
      <c r="X5" s="3254"/>
    </row>
    <row r="6" spans="1:24">
      <c r="A6" s="2401" t="s">
        <v>262</v>
      </c>
      <c r="B6" s="2401" t="s">
        <v>263</v>
      </c>
      <c r="C6" s="3251" t="s">
        <v>264</v>
      </c>
      <c r="F6" s="3245" t="s">
        <v>257</v>
      </c>
      <c r="H6" s="3245" t="s">
        <v>157</v>
      </c>
      <c r="I6" s="3245" t="s">
        <v>265</v>
      </c>
      <c r="K6" s="3245" t="s">
        <v>266</v>
      </c>
      <c r="L6" s="3245" t="s">
        <v>266</v>
      </c>
      <c r="M6" s="3245" t="s">
        <v>266</v>
      </c>
      <c r="N6" s="3245" t="s">
        <v>266</v>
      </c>
      <c r="O6" s="3245" t="s">
        <v>266</v>
      </c>
      <c r="P6" s="3245" t="s">
        <v>266</v>
      </c>
      <c r="Q6" s="3245" t="s">
        <v>266</v>
      </c>
      <c r="R6" s="3245" t="s">
        <v>267</v>
      </c>
      <c r="S6" s="3245" t="s">
        <v>266</v>
      </c>
      <c r="T6" s="3245"/>
      <c r="U6" s="3245" t="s">
        <v>266</v>
      </c>
      <c r="W6" s="3245" t="s">
        <v>266</v>
      </c>
      <c r="X6" s="3254"/>
    </row>
    <row r="7" spans="1:24">
      <c r="A7" s="2401" t="s">
        <v>268</v>
      </c>
      <c r="B7" s="2435" t="s">
        <v>269</v>
      </c>
      <c r="C7" s="3250" t="s">
        <v>270</v>
      </c>
      <c r="F7" s="3245" t="s">
        <v>271</v>
      </c>
      <c r="H7" s="3245" t="s">
        <v>155</v>
      </c>
      <c r="I7" s="3245" t="s">
        <v>272</v>
      </c>
      <c r="X7" s="3254"/>
    </row>
    <row r="8" spans="1:24">
      <c r="A8" s="2401" t="s">
        <v>273</v>
      </c>
      <c r="B8" s="2435" t="s">
        <v>274</v>
      </c>
      <c r="C8" s="3250" t="s">
        <v>275</v>
      </c>
      <c r="F8" s="3245" t="s">
        <v>276</v>
      </c>
      <c r="H8" s="3245" t="s">
        <v>277</v>
      </c>
      <c r="I8" s="3245" t="s">
        <v>278</v>
      </c>
      <c r="X8" s="3254"/>
    </row>
    <row r="9" spans="1:8">
      <c r="A9" s="2401" t="s">
        <v>279</v>
      </c>
      <c r="B9" s="2401" t="s">
        <v>280</v>
      </c>
      <c r="C9" s="3250" t="s">
        <v>281</v>
      </c>
      <c r="F9" s="3245" t="s">
        <v>157</v>
      </c>
      <c r="H9" s="3245" t="s">
        <v>282</v>
      </c>
    </row>
    <row r="10" spans="1:6">
      <c r="A10" s="2401" t="s">
        <v>283</v>
      </c>
      <c r="B10" s="2401" t="s">
        <v>284</v>
      </c>
      <c r="C10" s="3250" t="s">
        <v>285</v>
      </c>
      <c r="F10" s="3245" t="s">
        <v>121</v>
      </c>
    </row>
    <row r="11" spans="1:3">
      <c r="A11" s="2401" t="s">
        <v>286</v>
      </c>
      <c r="B11" s="2401" t="s">
        <v>287</v>
      </c>
      <c r="C11" s="3250" t="s">
        <v>288</v>
      </c>
    </row>
    <row r="12" spans="1:3">
      <c r="A12" s="2401" t="s">
        <v>289</v>
      </c>
      <c r="B12" s="2401" t="s">
        <v>290</v>
      </c>
      <c r="C12" s="3250" t="s">
        <v>291</v>
      </c>
    </row>
    <row r="13" spans="1:3">
      <c r="A13" s="2401" t="s">
        <v>292</v>
      </c>
      <c r="B13" s="2401" t="s">
        <v>293</v>
      </c>
      <c r="C13" s="3250" t="s">
        <v>294</v>
      </c>
    </row>
    <row r="14" spans="1:3">
      <c r="A14" s="2401" t="s">
        <v>295</v>
      </c>
      <c r="B14" s="2401" t="s">
        <v>296</v>
      </c>
      <c r="C14" s="3250"/>
    </row>
    <row r="15" spans="1:3">
      <c r="A15" s="2401" t="s">
        <v>297</v>
      </c>
      <c r="B15" s="2401" t="s">
        <v>298</v>
      </c>
      <c r="C15" s="3250"/>
    </row>
    <row r="16" spans="1:3">
      <c r="A16" s="2401" t="s">
        <v>299</v>
      </c>
      <c r="B16" s="2401" t="s">
        <v>300</v>
      </c>
      <c r="C16" s="3250"/>
    </row>
    <row r="17" spans="1:3">
      <c r="A17" s="2401" t="s">
        <v>301</v>
      </c>
      <c r="B17" s="2401" t="s">
        <v>302</v>
      </c>
      <c r="C17" s="3250"/>
    </row>
    <row r="18" spans="1:3">
      <c r="A18" s="2401" t="s">
        <v>303</v>
      </c>
      <c r="B18" s="2401" t="s">
        <v>304</v>
      </c>
      <c r="C18" s="3250"/>
    </row>
    <row r="19" spans="1:3">
      <c r="A19" s="2401" t="s">
        <v>305</v>
      </c>
      <c r="B19" s="2401" t="s">
        <v>306</v>
      </c>
      <c r="C19" s="3250"/>
    </row>
    <row r="20" spans="1:3">
      <c r="A20" s="2401" t="s">
        <v>307</v>
      </c>
      <c r="B20" s="2401" t="s">
        <v>308</v>
      </c>
      <c r="C20" s="3250"/>
    </row>
    <row r="21" spans="1:3">
      <c r="A21" s="2401" t="s">
        <v>257</v>
      </c>
      <c r="B21" s="2401" t="s">
        <v>308</v>
      </c>
      <c r="C21" s="3250"/>
    </row>
    <row r="22" spans="1:3">
      <c r="A22" s="2401" t="s">
        <v>309</v>
      </c>
      <c r="B22" s="2401" t="s">
        <v>308</v>
      </c>
      <c r="C22" s="3250"/>
    </row>
    <row r="23" spans="1:3">
      <c r="A23" s="2401" t="s">
        <v>310</v>
      </c>
      <c r="B23" s="2401" t="s">
        <v>308</v>
      </c>
      <c r="C23" s="3250"/>
    </row>
    <row r="24" spans="1:3">
      <c r="A24" s="2401" t="s">
        <v>311</v>
      </c>
      <c r="B24" s="2401" t="s">
        <v>308</v>
      </c>
      <c r="C24" s="3250"/>
    </row>
    <row r="25" spans="1:3">
      <c r="A25" s="2401" t="s">
        <v>312</v>
      </c>
      <c r="B25" s="2401" t="s">
        <v>308</v>
      </c>
      <c r="C25" s="3250"/>
    </row>
    <row r="26" spans="1:3">
      <c r="A26" s="2401" t="s">
        <v>313</v>
      </c>
      <c r="B26" s="2401" t="s">
        <v>308</v>
      </c>
      <c r="C26" s="3250"/>
    </row>
    <row r="27" spans="1:3">
      <c r="A27" s="2401" t="s">
        <v>308</v>
      </c>
      <c r="B27" s="2401" t="s">
        <v>308</v>
      </c>
      <c r="C27" s="3250"/>
    </row>
    <row r="28" spans="1:3">
      <c r="A28" s="2401" t="s">
        <v>308</v>
      </c>
      <c r="B28" s="2401" t="s">
        <v>308</v>
      </c>
      <c r="C28" s="3250"/>
    </row>
    <row r="29" spans="1:3">
      <c r="A29" s="2401" t="s">
        <v>308</v>
      </c>
      <c r="B29" s="2401" t="s">
        <v>308</v>
      </c>
      <c r="C29" s="3250"/>
    </row>
    <row r="30" spans="1:3">
      <c r="A30" s="2401" t="s">
        <v>308</v>
      </c>
      <c r="B30" s="2401" t="s">
        <v>308</v>
      </c>
      <c r="C30" s="3250"/>
    </row>
    <row r="31" spans="1:3">
      <c r="A31" s="2401" t="s">
        <v>308</v>
      </c>
      <c r="B31" s="2401" t="s">
        <v>308</v>
      </c>
      <c r="C31" s="3250"/>
    </row>
    <row r="32" spans="1:3">
      <c r="A32" s="2401" t="s">
        <v>308</v>
      </c>
      <c r="B32" s="2401" t="s">
        <v>308</v>
      </c>
      <c r="C32" s="3250"/>
    </row>
    <row r="33" spans="1:3">
      <c r="A33" s="2401" t="s">
        <v>308</v>
      </c>
      <c r="B33" s="2401" t="s">
        <v>308</v>
      </c>
      <c r="C33" s="3250"/>
    </row>
    <row r="34" spans="1:3">
      <c r="A34" s="2401" t="s">
        <v>308</v>
      </c>
      <c r="B34" s="2401" t="s">
        <v>308</v>
      </c>
      <c r="C34" s="3250"/>
    </row>
    <row r="35" spans="1:3">
      <c r="A35" s="2401" t="s">
        <v>308</v>
      </c>
      <c r="B35" s="2401" t="s">
        <v>308</v>
      </c>
      <c r="C35" s="3250"/>
    </row>
    <row r="36" spans="1:3">
      <c r="A36" s="2401" t="s">
        <v>308</v>
      </c>
      <c r="B36" s="2401" t="s">
        <v>308</v>
      </c>
      <c r="C36" s="3250"/>
    </row>
    <row r="37" spans="1:3">
      <c r="A37" s="2401" t="s">
        <v>308</v>
      </c>
      <c r="B37" s="2401" t="s">
        <v>308</v>
      </c>
      <c r="C37" s="3250"/>
    </row>
    <row r="38" spans="1:3">
      <c r="A38" s="2401" t="s">
        <v>308</v>
      </c>
      <c r="B38" s="2401" t="s">
        <v>308</v>
      </c>
      <c r="C38" s="3250"/>
    </row>
    <row r="39" spans="1:3">
      <c r="A39" s="2401" t="s">
        <v>308</v>
      </c>
      <c r="B39" s="2401" t="s">
        <v>308</v>
      </c>
      <c r="C39" s="3250"/>
    </row>
    <row r="40" spans="1:3">
      <c r="A40" s="2401" t="s">
        <v>308</v>
      </c>
      <c r="B40" s="2401" t="s">
        <v>308</v>
      </c>
      <c r="C40" s="3250"/>
    </row>
    <row r="41" spans="1:3">
      <c r="A41" s="2401" t="s">
        <v>308</v>
      </c>
      <c r="B41" s="2401" t="s">
        <v>308</v>
      </c>
      <c r="C41" s="3250"/>
    </row>
    <row r="42" spans="1:3">
      <c r="A42" s="2401" t="s">
        <v>308</v>
      </c>
      <c r="B42" s="2401" t="s">
        <v>308</v>
      </c>
      <c r="C42" s="3250"/>
    </row>
    <row r="43" spans="1:3">
      <c r="A43" s="2401" t="s">
        <v>308</v>
      </c>
      <c r="B43" s="2401" t="s">
        <v>308</v>
      </c>
      <c r="C43" s="3250"/>
    </row>
    <row r="44" spans="1:3">
      <c r="A44" s="2401" t="s">
        <v>308</v>
      </c>
      <c r="B44" s="2401" t="s">
        <v>308</v>
      </c>
      <c r="C44" s="3250"/>
    </row>
    <row r="45" spans="1:3">
      <c r="A45" s="2401" t="s">
        <v>308</v>
      </c>
      <c r="B45" s="2401" t="s">
        <v>308</v>
      </c>
      <c r="C45" s="3250"/>
    </row>
    <row r="46" spans="1:3">
      <c r="A46" s="2401" t="s">
        <v>308</v>
      </c>
      <c r="B46" s="2401" t="s">
        <v>308</v>
      </c>
      <c r="C46" s="3250"/>
    </row>
    <row r="47" spans="1:3">
      <c r="A47" s="2401" t="s">
        <v>308</v>
      </c>
      <c r="B47" s="2401" t="s">
        <v>308</v>
      </c>
      <c r="C47" s="3250"/>
    </row>
    <row r="48" spans="1:3">
      <c r="A48" s="2401" t="s">
        <v>308</v>
      </c>
      <c r="B48" s="2401" t="s">
        <v>308</v>
      </c>
      <c r="C48" s="3250"/>
    </row>
    <row r="49" spans="1:3">
      <c r="A49" s="2401" t="s">
        <v>308</v>
      </c>
      <c r="B49" s="2401" t="s">
        <v>308</v>
      </c>
      <c r="C49" s="3250"/>
    </row>
    <row r="50" spans="1:3">
      <c r="A50" s="2401" t="s">
        <v>308</v>
      </c>
      <c r="B50" s="2401" t="s">
        <v>308</v>
      </c>
      <c r="C50" s="3250"/>
    </row>
    <row r="51" spans="1:4">
      <c r="A51" s="3252" t="s">
        <v>314</v>
      </c>
      <c r="B51" s="274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2" t="s">
        <v>316</v>
      </c>
      <c r="B52" s="3252" t="s">
        <v>317</v>
      </c>
      <c r="C52" s="2741" t="s">
        <v>318</v>
      </c>
      <c r="D52" s="2741" t="s">
        <v>319</v>
      </c>
    </row>
    <row r="53" customHeight="1" spans="1:3">
      <c r="A53" s="3248" t="s">
        <v>320</v>
      </c>
      <c r="B53" s="2741" t="s">
        <v>321</v>
      </c>
      <c r="C53" s="274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本次估价的“房地产价值”是指在正常市场情况下，在价值时点2021年10月21日，估价对象规划用途为，假定未设立法定优先受偿款下的房地产市场价值。</v>
      </c>
    </row>
    <row r="54" spans="1:3">
      <c r="A54" s="3248"/>
      <c r="B54" s="2741" t="s">
        <v>322</v>
      </c>
      <c r="C54" s="2741" t="s">
        <v>323</v>
      </c>
    </row>
    <row r="55" spans="1:3">
      <c r="A55" s="3248"/>
      <c r="B55" s="2741" t="s">
        <v>324</v>
      </c>
      <c r="C55" s="2741" t="s">
        <v>325</v>
      </c>
    </row>
    <row r="56" spans="1:3">
      <c r="A56" s="3248"/>
      <c r="B56" s="2741" t="s">
        <v>326</v>
      </c>
      <c r="C56" s="2741" t="s">
        <v>327</v>
      </c>
    </row>
    <row r="57" spans="1:3">
      <c r="A57" s="3248"/>
      <c r="B57" s="2741" t="s">
        <v>328</v>
      </c>
      <c r="C57" s="2741" t="s">
        <v>329</v>
      </c>
    </row>
    <row r="58" spans="1:2">
      <c r="A58" s="3253"/>
      <c r="B58" s="3254"/>
    </row>
    <row r="59" spans="1:2">
      <c r="A59" s="3253"/>
      <c r="B59" s="3254"/>
    </row>
    <row r="60" spans="1:2">
      <c r="A60" s="3255"/>
      <c r="B60" s="2741"/>
    </row>
    <row r="61" spans="1:2">
      <c r="A61" s="3255"/>
      <c r="B61" s="2741"/>
    </row>
    <row r="62" spans="1:2">
      <c r="A62" s="3255"/>
      <c r="B62" s="2741"/>
    </row>
    <row r="63" spans="1:2">
      <c r="A63" s="3255"/>
      <c r="B63" s="2741"/>
    </row>
    <row r="64" spans="1:2">
      <c r="A64" s="3255"/>
      <c r="B64" s="2741"/>
    </row>
    <row r="65" spans="1:2">
      <c r="A65" s="3255"/>
      <c r="B65" s="2741"/>
    </row>
    <row r="66" spans="1:2">
      <c r="A66" s="3255"/>
      <c r="B66" s="2741"/>
    </row>
    <row r="67" spans="1:2">
      <c r="A67" s="3255"/>
      <c r="B67" s="2741"/>
    </row>
    <row r="68" spans="1:2">
      <c r="A68" s="3255"/>
      <c r="B68" s="2741"/>
    </row>
    <row r="69" spans="1:2">
      <c r="A69" s="3255"/>
      <c r="B69" s="2741"/>
    </row>
    <row r="70" spans="1:2">
      <c r="A70" s="3255"/>
      <c r="B70" s="2741"/>
    </row>
    <row r="71" spans="1:2">
      <c r="A71" s="3255"/>
      <c r="B71" s="2741"/>
    </row>
    <row r="72" spans="1:2">
      <c r="A72" s="3255"/>
      <c r="B72" s="2741"/>
    </row>
    <row r="73" spans="1:2">
      <c r="A73" s="3255"/>
      <c r="B73" s="2741"/>
    </row>
    <row r="74" spans="1:2">
      <c r="A74" s="3255"/>
      <c r="B74" s="2741"/>
    </row>
    <row r="75" spans="1:2">
      <c r="A75" s="3255"/>
      <c r="B75" s="2741"/>
    </row>
    <row r="76" spans="1:2">
      <c r="A76" s="3255"/>
      <c r="B76" s="2741"/>
    </row>
    <row r="77" spans="1:2">
      <c r="A77" s="3255"/>
      <c r="B77" s="2741"/>
    </row>
    <row r="78" spans="1:2">
      <c r="A78" s="3255"/>
      <c r="B78" s="2741"/>
    </row>
    <row r="79" spans="1:2">
      <c r="A79" s="3255"/>
      <c r="B79" s="2741"/>
    </row>
    <row r="80" spans="1:2">
      <c r="A80" s="3255"/>
      <c r="B80" s="2741"/>
    </row>
    <row r="81" spans="1:2">
      <c r="A81" s="3255"/>
      <c r="B81" s="2741"/>
    </row>
    <row r="82" spans="1:2">
      <c r="A82" s="3255"/>
      <c r="B82" s="2741"/>
    </row>
    <row r="83" spans="1:2">
      <c r="A83" s="3255"/>
      <c r="B83" s="2741"/>
    </row>
    <row r="84" spans="1:2">
      <c r="A84" s="3255"/>
      <c r="B84" s="2741"/>
    </row>
    <row r="85" spans="1:2">
      <c r="A85" s="3255"/>
      <c r="B85" s="2741"/>
    </row>
    <row r="86" spans="1:2">
      <c r="A86" s="3255"/>
      <c r="B86" s="2741"/>
    </row>
    <row r="87" spans="1:2">
      <c r="A87" s="3255"/>
      <c r="B87" s="2741"/>
    </row>
    <row r="88" spans="1:2">
      <c r="A88" s="3255"/>
      <c r="B88" s="2741"/>
    </row>
    <row r="89" spans="1:2">
      <c r="A89" s="3255"/>
      <c r="B89" s="2741"/>
    </row>
    <row r="90" spans="1:2">
      <c r="A90" s="3255"/>
      <c r="B90" s="2741"/>
    </row>
    <row r="91" spans="1:2">
      <c r="A91" s="3255"/>
      <c r="B91" s="2741"/>
    </row>
    <row r="92" spans="1:2">
      <c r="A92" s="3255"/>
      <c r="B92" s="2741"/>
    </row>
    <row r="93" spans="1:2">
      <c r="A93" s="3255"/>
      <c r="B93" s="2741"/>
    </row>
    <row r="94" spans="1:2">
      <c r="A94" s="3255"/>
      <c r="B94" s="2741"/>
    </row>
    <row r="95" spans="1:2">
      <c r="A95" s="3255"/>
      <c r="B95" s="2741"/>
    </row>
    <row r="96" spans="1:2">
      <c r="A96" s="3255"/>
      <c r="B96" s="2741"/>
    </row>
    <row r="97" spans="1:2">
      <c r="A97" s="3255"/>
      <c r="B97" s="2741"/>
    </row>
    <row r="98" spans="1:2">
      <c r="A98" s="3255"/>
      <c r="B98" s="2741"/>
    </row>
    <row r="99" spans="1:2">
      <c r="A99" s="3255"/>
      <c r="B99" s="2741"/>
    </row>
    <row r="100" spans="1:2">
      <c r="A100" s="3255"/>
      <c r="B100" s="2741"/>
    </row>
    <row r="101" spans="1:2">
      <c r="A101" s="3255"/>
      <c r="B101" s="2741"/>
    </row>
    <row r="102" spans="1:2">
      <c r="A102" s="3255"/>
      <c r="B102" s="2741"/>
    </row>
    <row r="103" spans="1:2">
      <c r="A103" s="3255"/>
      <c r="B103" s="2741"/>
    </row>
    <row r="104" spans="1:2">
      <c r="A104" s="3255"/>
      <c r="B104" s="2741"/>
    </row>
    <row r="105" spans="1:2">
      <c r="A105" s="3255"/>
      <c r="B105" s="2741"/>
    </row>
    <row r="106" spans="1:2">
      <c r="A106" s="3255"/>
      <c r="B106" s="2741"/>
    </row>
    <row r="107" spans="1:2">
      <c r="A107" s="3255"/>
      <c r="B107" s="2741"/>
    </row>
    <row r="108" spans="1:2">
      <c r="A108" s="3255"/>
      <c r="B108" s="2741"/>
    </row>
    <row r="109" spans="1:2">
      <c r="A109" s="3255"/>
      <c r="B109" s="2741"/>
    </row>
    <row r="110" spans="1:2">
      <c r="A110" s="3255"/>
      <c r="B110" s="2741"/>
    </row>
    <row r="111" spans="1:2">
      <c r="A111" s="3255"/>
      <c r="B111" s="2741"/>
    </row>
    <row r="112" spans="1:2">
      <c r="A112" s="3255"/>
      <c r="B112" s="2741"/>
    </row>
    <row r="113" spans="1:2">
      <c r="A113" s="3255"/>
      <c r="B113" s="2741"/>
    </row>
    <row r="114" spans="1:2">
      <c r="A114" s="3255"/>
      <c r="B114" s="2741"/>
    </row>
    <row r="115" spans="1:2">
      <c r="A115" s="3255"/>
      <c r="B115" s="2741"/>
    </row>
    <row r="116" spans="1:2">
      <c r="A116" s="3255"/>
      <c r="B116" s="2741"/>
    </row>
    <row r="117" spans="1:2">
      <c r="A117" s="3255"/>
      <c r="B117" s="2741"/>
    </row>
    <row r="118" spans="1:2">
      <c r="A118" s="3255"/>
      <c r="B118" s="2741"/>
    </row>
    <row r="119" spans="1:2">
      <c r="A119" s="3255"/>
      <c r="B119" s="2741"/>
    </row>
    <row r="120" spans="1:2">
      <c r="A120" s="3255"/>
      <c r="B120" s="2741"/>
    </row>
    <row r="121" spans="1:2">
      <c r="A121" s="3255"/>
      <c r="B121" s="2741"/>
    </row>
    <row r="122" spans="1:2">
      <c r="A122" s="3255"/>
      <c r="B122" s="2741"/>
    </row>
    <row r="123" spans="1:2">
      <c r="A123" s="3255"/>
      <c r="B123" s="2741"/>
    </row>
    <row r="124" spans="1:2">
      <c r="A124" s="3255"/>
      <c r="B124" s="2741"/>
    </row>
    <row r="125" spans="1:2">
      <c r="A125" s="3255"/>
      <c r="B125" s="2741"/>
    </row>
    <row r="126" spans="1:2">
      <c r="A126" s="3255"/>
      <c r="B126" s="2741"/>
    </row>
    <row r="127" spans="1:2">
      <c r="A127" s="3255"/>
      <c r="B127" s="2741"/>
    </row>
    <row r="128" spans="1:2">
      <c r="A128" s="3255"/>
      <c r="B128" s="274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收益法</vt:lpstr>
      <vt:lpstr>成本法</vt:lpstr>
      <vt:lpstr>假设开发法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2021-10-30T05:47:47Z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412F521EACD34A00B672B5B23C8D8D52</vt:lpwstr>
  </property>
</Properties>
</file>