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5"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80"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办公）" sheetId="9" r:id="rId21"/>
    <sheet name="比较法-办公" sheetId="34" r:id="rId22"/>
    <sheet name="典型户型修正" sheetId="31" r:id="rId23"/>
    <sheet name="收益法（汇总）" sheetId="70" r:id="rId24"/>
    <sheet name="收益法-办公已出租" sheetId="77" r:id="rId25"/>
    <sheet name="收益法-办公未出租" sheetId="87" r:id="rId26"/>
    <sheet name="比较法-办公租金" sheetId="81" r:id="rId27"/>
    <sheet name="结果表-办公" sheetId="82" state="hidden" r:id="rId28"/>
    <sheet name="比较法-商业" sheetId="33" state="hidden" r:id="rId29"/>
    <sheet name="收益法-商业" sheetId="15" state="hidden" r:id="rId30"/>
    <sheet name="收益法 (元)" sheetId="67"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结果表-商业" sheetId="84" state="hidden" r:id="rId37"/>
    <sheet name="成本法" sheetId="68"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收益法-仓储" sheetId="78" state="hidden" r:id="rId46"/>
    <sheet name="收益法-车位" sheetId="79"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结果表-仓储" sheetId="85" state="hidden" r:id="rId53"/>
    <sheet name="商业租金" sheetId="83" state="hidden" r:id="rId54"/>
    <sheet name="租约" sheetId="86" r:id="rId55"/>
    <sheet name="结果表" sheetId="88" r:id="rId56"/>
  </sheets>
  <definedNames>
    <definedName name="_xlnm._FilterDatabase" localSheetId="21" hidden="1">'比较法-办公'!$A$1:$L$50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5">'收益法-办公未出租'!$A$1:$AK$69</definedName>
    <definedName name="_xlnm.Print_Area" localSheetId="24">'收益法-办公已出租'!$A$1:$AK$69</definedName>
    <definedName name="_xlnm.Print_Area" localSheetId="45">'收益法-仓储'!$A$1:$AK$69</definedName>
    <definedName name="_xlnm.Print_Area" localSheetId="46">'收益法-车位'!$A$1:$AK$69</definedName>
    <definedName name="_xlnm.Print_Area" localSheetId="29">'收益法-商业'!$A$1:$AK$69</definedName>
    <definedName name="_xlnm.Print_Area" localSheetId="13">'数据-汇总表'!$A$1:$P$32</definedName>
    <definedName name="八级">区片价!$O$1:$O$40</definedName>
    <definedName name="办公层高" localSheetId="26">'比较法-办公租金'!$B$119:$M$119</definedName>
    <definedName name="办公层高">'比较法-办公'!$B$119:$M$119</definedName>
    <definedName name="办公朝向" localSheetId="26">'比较法-办公租金'!$B$91:$M$91</definedName>
    <definedName name="办公朝向">'比较法-办公'!$B$91:$M$91</definedName>
    <definedName name="办公道路级别" localSheetId="26">'比较法-办公租金'!$B$87:$M$87</definedName>
    <definedName name="办公道路级别">'比较法-办公'!$B$87:$M$87</definedName>
    <definedName name="办公公共部分装修" localSheetId="26">'比较法-办公租金'!$B$108:$M$108</definedName>
    <definedName name="办公公共部分装修">'比较法-办公'!$B$108:$M$108</definedName>
    <definedName name="办公基础设施水平" localSheetId="26">'比较法-办公租金'!$B$117:$M$117</definedName>
    <definedName name="办公基础设施水平">'比较法-办公'!$B$117:$M$117</definedName>
    <definedName name="办公集聚程度">定义!$M$1:$M$6</definedName>
    <definedName name="办公建筑结构" localSheetId="26">'比较法-办公租金'!$B$106:$M$106</definedName>
    <definedName name="办公建筑结构">'比较法-办公'!$B$106:$M$106</definedName>
    <definedName name="办公建筑类型" localSheetId="26">'比较法-办公租金'!$B$101:$M$101</definedName>
    <definedName name="办公建筑类型">'比较法-办公'!$B$101:$M$101</definedName>
    <definedName name="办公交易情况" localSheetId="26">'比较法-办公租金'!$A$62:$M$62</definedName>
    <definedName name="办公交易情况">'比较法-办公'!$A$62:$M$62</definedName>
    <definedName name="办公楼层" localSheetId="26">'比较法-办公租金'!$B$89:$M$89</definedName>
    <definedName name="办公楼层">'比较法-办公'!$B$89:$M$89</definedName>
    <definedName name="办公内部装修" localSheetId="26">'比较法-办公租金'!$B$123:$M$123</definedName>
    <definedName name="办公内部装修">'比较法-办公'!$B$123:$M$123</definedName>
    <definedName name="办公物业管理" localSheetId="26">'比较法-办公租金'!$B$115:$M$115</definedName>
    <definedName name="办公物业管理">'比较法-办公'!$B$115:$M$115</definedName>
    <definedName name="办公用途" localSheetId="26">'比较法-办公租金'!$B$64:$M$64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6">'比较法-办公租金'!$B$113:$M$113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D6" i="1" l="1"/>
  <c r="F3" i="88" l="1"/>
  <c r="F4" i="88"/>
  <c r="F5" i="88"/>
  <c r="F6" i="88"/>
  <c r="F7" i="88"/>
  <c r="F8" i="88"/>
  <c r="F9" i="88"/>
  <c r="F10" i="88"/>
  <c r="F11" i="88"/>
  <c r="F12" i="88"/>
  <c r="F13" i="88"/>
  <c r="F14" i="88"/>
  <c r="F15" i="88"/>
  <c r="F16" i="88"/>
  <c r="F17" i="88"/>
  <c r="F18" i="88"/>
  <c r="F19" i="88"/>
  <c r="F20" i="88"/>
  <c r="F21" i="88"/>
  <c r="F22" i="88"/>
  <c r="F23" i="88"/>
  <c r="F24" i="88"/>
  <c r="F25" i="88"/>
  <c r="F26" i="88"/>
  <c r="F27" i="88"/>
  <c r="F28" i="88"/>
  <c r="F29" i="88"/>
  <c r="F30" i="88"/>
  <c r="F31" i="88"/>
  <c r="F32" i="88"/>
  <c r="F33" i="88"/>
  <c r="F34" i="88"/>
  <c r="F35" i="88"/>
  <c r="F36" i="88"/>
  <c r="F37" i="88"/>
  <c r="F38" i="88"/>
  <c r="F39" i="88"/>
  <c r="F40" i="88"/>
  <c r="F41" i="88"/>
  <c r="F42" i="88"/>
  <c r="F43" i="88"/>
  <c r="F44" i="88"/>
  <c r="F45" i="88"/>
  <c r="F46" i="88"/>
  <c r="F47" i="88"/>
  <c r="F48" i="88"/>
  <c r="F49" i="88"/>
  <c r="F50" i="88"/>
  <c r="F51" i="88"/>
  <c r="F52" i="88"/>
  <c r="F53" i="88"/>
  <c r="F54" i="88"/>
  <c r="F55" i="88"/>
  <c r="F56" i="88"/>
  <c r="F57" i="88"/>
  <c r="F58" i="88"/>
  <c r="F59" i="88"/>
  <c r="F60" i="88"/>
  <c r="F61" i="88"/>
  <c r="F2" i="88"/>
  <c r="G62" i="88"/>
  <c r="C34" i="81" l="1"/>
  <c r="C35" i="86"/>
  <c r="C31" i="86"/>
  <c r="C37" i="34" l="1"/>
  <c r="Y6" i="1"/>
  <c r="C62" i="88" l="1"/>
  <c r="F70" i="77"/>
  <c r="F52" i="77"/>
  <c r="AM7" i="1"/>
  <c r="AL7" i="1"/>
  <c r="AK7" i="1"/>
  <c r="Y7" i="1"/>
  <c r="W7" i="1"/>
  <c r="V7" i="1"/>
  <c r="AF6" i="1"/>
  <c r="AA6" i="1"/>
  <c r="C36" i="86"/>
  <c r="U6" i="1" s="1"/>
  <c r="P38" i="86"/>
  <c r="N40" i="86" s="1"/>
  <c r="P37" i="86"/>
  <c r="M33" i="86"/>
  <c r="N33" i="86" s="1"/>
  <c r="Q7" i="1"/>
  <c r="N7" i="1"/>
  <c r="L7" i="1"/>
  <c r="I7" i="1"/>
  <c r="H7" i="1"/>
  <c r="F19" i="6"/>
  <c r="F20" i="6" s="1"/>
  <c r="Q72" i="87"/>
  <c r="Q59" i="87"/>
  <c r="K59" i="87"/>
  <c r="P74" i="87" s="1"/>
  <c r="F59" i="87"/>
  <c r="Q58" i="87"/>
  <c r="Q51" i="87"/>
  <c r="J50" i="87"/>
  <c r="J51" i="87" s="1"/>
  <c r="M47" i="87"/>
  <c r="D46" i="87"/>
  <c r="F34" i="87"/>
  <c r="F62" i="87" s="1"/>
  <c r="F33" i="87"/>
  <c r="F61" i="87" s="1"/>
  <c r="F32" i="87"/>
  <c r="F60" i="87" s="1"/>
  <c r="F31" i="87"/>
  <c r="F28" i="87"/>
  <c r="C28" i="87"/>
  <c r="F23" i="87"/>
  <c r="D24" i="87" s="1"/>
  <c r="D22" i="87"/>
  <c r="F21" i="87"/>
  <c r="M20" i="87"/>
  <c r="F20" i="87"/>
  <c r="M19" i="87"/>
  <c r="M18" i="87"/>
  <c r="F18" i="87"/>
  <c r="M17" i="87"/>
  <c r="F17" i="87"/>
  <c r="F15" i="87"/>
  <c r="I13" i="3"/>
  <c r="BH26" i="86"/>
  <c r="AX26" i="86"/>
  <c r="AK26" i="86"/>
  <c r="X26" i="86"/>
  <c r="L26" i="86"/>
  <c r="BL25" i="86"/>
  <c r="AX25" i="86"/>
  <c r="AK25" i="86"/>
  <c r="X25" i="86"/>
  <c r="L25" i="86"/>
  <c r="BL24" i="86"/>
  <c r="AX24" i="86"/>
  <c r="AK24" i="86"/>
  <c r="X24" i="86"/>
  <c r="L24" i="86"/>
  <c r="BL23" i="86"/>
  <c r="AX23" i="86"/>
  <c r="AK23" i="86"/>
  <c r="X23" i="86"/>
  <c r="L23" i="86"/>
  <c r="BL22" i="86"/>
  <c r="AX22" i="86"/>
  <c r="AK22" i="86"/>
  <c r="X22" i="86"/>
  <c r="L22" i="86"/>
  <c r="BL21" i="86"/>
  <c r="AX21" i="86"/>
  <c r="AK21" i="86"/>
  <c r="BO21" i="86" s="1"/>
  <c r="X21" i="86"/>
  <c r="L21" i="86"/>
  <c r="BL20" i="86"/>
  <c r="AX20" i="86"/>
  <c r="AK20" i="86"/>
  <c r="X20" i="86"/>
  <c r="L20" i="86"/>
  <c r="AX19" i="86"/>
  <c r="L19" i="86"/>
  <c r="BL18" i="86"/>
  <c r="AX18" i="86"/>
  <c r="AK18" i="86"/>
  <c r="BP18" i="86" s="1"/>
  <c r="X18" i="86"/>
  <c r="L18" i="86"/>
  <c r="BI17" i="86"/>
  <c r="AX17" i="86"/>
  <c r="AK17" i="86"/>
  <c r="X17" i="86"/>
  <c r="L17" i="86"/>
  <c r="BI16" i="86"/>
  <c r="AX16" i="86"/>
  <c r="AK16" i="86"/>
  <c r="X16" i="86"/>
  <c r="L16" i="86"/>
  <c r="BJ15" i="86"/>
  <c r="BM15" i="86" s="1"/>
  <c r="BN15" i="86" s="1"/>
  <c r="AX15" i="86"/>
  <c r="AK15" i="86"/>
  <c r="X15" i="86"/>
  <c r="L15" i="86"/>
  <c r="BJ14" i="86"/>
  <c r="BL14" i="86" s="1"/>
  <c r="AX14" i="86"/>
  <c r="AK14" i="86"/>
  <c r="X14" i="86"/>
  <c r="L14" i="86"/>
  <c r="BH13" i="86"/>
  <c r="AX13" i="86"/>
  <c r="AK13" i="86"/>
  <c r="X13" i="86"/>
  <c r="L13" i="86"/>
  <c r="AX12" i="86"/>
  <c r="X12" i="86"/>
  <c r="L12" i="86"/>
  <c r="BE11" i="86"/>
  <c r="BF11" i="86" s="1"/>
  <c r="BF3" i="86" s="1"/>
  <c r="AX11" i="86"/>
  <c r="AK11" i="86"/>
  <c r="X11" i="86"/>
  <c r="L11" i="86"/>
  <c r="BG10" i="86"/>
  <c r="BH10" i="86" s="1"/>
  <c r="AX10" i="86"/>
  <c r="AK10" i="86"/>
  <c r="X10" i="86"/>
  <c r="L10" i="86"/>
  <c r="BG9" i="86"/>
  <c r="BF9" i="86"/>
  <c r="AX9" i="86"/>
  <c r="AK9" i="86"/>
  <c r="X9" i="86"/>
  <c r="L9" i="86"/>
  <c r="BG8" i="86"/>
  <c r="BF8" i="86"/>
  <c r="AX8" i="86"/>
  <c r="AK8" i="86"/>
  <c r="X8" i="86"/>
  <c r="U8" i="86"/>
  <c r="L8" i="86"/>
  <c r="BI7" i="86"/>
  <c r="BJ7" i="86" s="1"/>
  <c r="BM7" i="86" s="1"/>
  <c r="BN7" i="86" s="1"/>
  <c r="AX7" i="86"/>
  <c r="AK7" i="86"/>
  <c r="X7" i="86"/>
  <c r="L7" i="86"/>
  <c r="BJ5" i="86"/>
  <c r="BM5" i="86" s="1"/>
  <c r="BN5" i="86" s="1"/>
  <c r="BO5" i="86" s="1"/>
  <c r="AX5" i="86"/>
  <c r="AK5" i="86"/>
  <c r="X5" i="86"/>
  <c r="L5" i="86"/>
  <c r="BH4" i="86"/>
  <c r="AX4" i="86"/>
  <c r="AK4" i="86"/>
  <c r="X4" i="86"/>
  <c r="L4" i="86"/>
  <c r="BX3" i="86"/>
  <c r="BW3" i="86"/>
  <c r="BV3" i="86"/>
  <c r="BU3" i="86"/>
  <c r="BT3" i="86"/>
  <c r="BS3" i="86"/>
  <c r="BK3" i="86"/>
  <c r="BE3" i="86"/>
  <c r="BD3" i="86"/>
  <c r="BC3" i="86"/>
  <c r="BB3" i="86"/>
  <c r="BA3" i="86"/>
  <c r="AZ3" i="86"/>
  <c r="AY3" i="86"/>
  <c r="AW3" i="86"/>
  <c r="AV3" i="86"/>
  <c r="AU3" i="86"/>
  <c r="AT3" i="86"/>
  <c r="AS3" i="86"/>
  <c r="AR3" i="86"/>
  <c r="AQ3" i="86"/>
  <c r="AP3" i="86"/>
  <c r="AO3" i="86"/>
  <c r="AN3" i="86"/>
  <c r="AM3" i="86"/>
  <c r="AL3" i="86"/>
  <c r="AJ3" i="86"/>
  <c r="AI3" i="86"/>
  <c r="AH3" i="86"/>
  <c r="AG3" i="86"/>
  <c r="AF3" i="86"/>
  <c r="AE3" i="86"/>
  <c r="AD3" i="86"/>
  <c r="AC3" i="86"/>
  <c r="AB3" i="86"/>
  <c r="AA3" i="86"/>
  <c r="Z3" i="86"/>
  <c r="Y3" i="86"/>
  <c r="U3" i="86"/>
  <c r="R3" i="86"/>
  <c r="P3" i="86"/>
  <c r="O3" i="86"/>
  <c r="M3" i="86"/>
  <c r="E3" i="86"/>
  <c r="D23" i="87" l="1"/>
  <c r="AX3" i="86"/>
  <c r="AK3" i="86"/>
  <c r="N3" i="86"/>
  <c r="L40" i="86"/>
  <c r="BL7" i="86"/>
  <c r="X3" i="86"/>
  <c r="P61" i="87"/>
  <c r="BL16" i="86"/>
  <c r="BQ18" i="86"/>
  <c r="BP21" i="86"/>
  <c r="BQ21" i="86" s="1"/>
  <c r="BI4" i="86"/>
  <c r="BL5" i="86"/>
  <c r="BH8" i="86"/>
  <c r="BH9" i="86"/>
  <c r="BI9" i="86" s="1"/>
  <c r="BJ9" i="86" s="1"/>
  <c r="BI10" i="86"/>
  <c r="BL10" i="86" s="1"/>
  <c r="BG11" i="86"/>
  <c r="BG3" i="86" s="1"/>
  <c r="BI13" i="86"/>
  <c r="BJ13" i="86" s="1"/>
  <c r="BL15" i="86"/>
  <c r="BJ16" i="86"/>
  <c r="BM16" i="86" s="1"/>
  <c r="BJ17" i="86"/>
  <c r="BM17" i="86" s="1"/>
  <c r="BI26" i="86"/>
  <c r="BJ26" i="86" s="1"/>
  <c r="BR18" i="86" l="1"/>
  <c r="BR3" i="86" s="1"/>
  <c r="BQ3" i="86"/>
  <c r="BL17" i="86"/>
  <c r="BL11" i="86"/>
  <c r="BL9" i="86"/>
  <c r="BI8" i="86"/>
  <c r="BJ8" i="86" s="1"/>
  <c r="BM8" i="86" s="1"/>
  <c r="BN8" i="86" s="1"/>
  <c r="BH3" i="86"/>
  <c r="BJ4" i="86"/>
  <c r="BI3" i="86"/>
  <c r="BY21" i="86"/>
  <c r="BY18" i="86"/>
  <c r="BY3" i="86" s="1"/>
  <c r="BL26" i="86"/>
  <c r="BL13" i="86"/>
  <c r="BL8" i="86"/>
  <c r="BM4" i="86" l="1"/>
  <c r="BJ3" i="86"/>
  <c r="BL4" i="86"/>
  <c r="BL3" i="86" s="1"/>
  <c r="BN4" i="86" l="1"/>
  <c r="BM3" i="86"/>
  <c r="BO4" i="86" l="1"/>
  <c r="BN3" i="86"/>
  <c r="BP4" i="86" l="1"/>
  <c r="BP3" i="86" s="1"/>
  <c r="BO3" i="86"/>
  <c r="D3" i="4" l="1"/>
  <c r="C34" i="34" l="1"/>
  <c r="C63" i="80"/>
  <c r="G56" i="43" l="1"/>
  <c r="G55" i="43"/>
  <c r="G54" i="43"/>
  <c r="G53" i="43"/>
  <c r="G52" i="43"/>
  <c r="G51" i="43"/>
  <c r="G50" i="43"/>
  <c r="G49" i="43"/>
  <c r="G48" i="43"/>
  <c r="C33" i="33" l="1"/>
  <c r="B4" i="83"/>
  <c r="D2" i="83"/>
  <c r="A120" i="85" l="1"/>
  <c r="E111" i="85"/>
  <c r="H112" i="85" s="1"/>
  <c r="E109" i="85"/>
  <c r="A124" i="85" s="1"/>
  <c r="E107" i="85"/>
  <c r="A122" i="85" s="1"/>
  <c r="H106" i="85"/>
  <c r="H105" i="85"/>
  <c r="H104" i="85"/>
  <c r="D101" i="85"/>
  <c r="C101" i="85"/>
  <c r="C91" i="85"/>
  <c r="E90" i="85"/>
  <c r="D89" i="85"/>
  <c r="C89" i="85"/>
  <c r="C87" i="85" s="1"/>
  <c r="H77" i="85"/>
  <c r="D77" i="85"/>
  <c r="C76" i="85"/>
  <c r="F59" i="85"/>
  <c r="E59" i="85"/>
  <c r="D59" i="85"/>
  <c r="F56" i="85"/>
  <c r="O55" i="85"/>
  <c r="N55" i="85"/>
  <c r="M55" i="85"/>
  <c r="K55" i="85"/>
  <c r="J55" i="85"/>
  <c r="I55" i="85"/>
  <c r="F55" i="85"/>
  <c r="O53" i="85" s="1"/>
  <c r="O54" i="85"/>
  <c r="N54" i="85"/>
  <c r="N53" i="85"/>
  <c r="K49" i="85"/>
  <c r="F48" i="85"/>
  <c r="O52" i="85" s="1"/>
  <c r="E48" i="85"/>
  <c r="N52" i="85" s="1"/>
  <c r="D48" i="85"/>
  <c r="M52" i="85" s="1"/>
  <c r="F33" i="85"/>
  <c r="D27" i="85"/>
  <c r="C25" i="85"/>
  <c r="C24" i="85"/>
  <c r="D17" i="85"/>
  <c r="C17" i="85"/>
  <c r="L4" i="85"/>
  <c r="K4" i="85"/>
  <c r="H1" i="85"/>
  <c r="H103" i="85" l="1"/>
  <c r="D120" i="85" s="1"/>
  <c r="H111" i="85"/>
  <c r="D126" i="85" s="1"/>
  <c r="D127" i="85" s="1"/>
  <c r="A126" i="85"/>
  <c r="C18" i="85"/>
  <c r="D18" i="85" s="1"/>
  <c r="C92" i="85"/>
  <c r="C94" i="85"/>
  <c r="K120" i="85"/>
  <c r="D121" i="85"/>
  <c r="A126" i="84"/>
  <c r="A120" i="84"/>
  <c r="H111" i="84"/>
  <c r="D126" i="84" s="1"/>
  <c r="D127" i="84" s="1"/>
  <c r="E111" i="84"/>
  <c r="H112" i="84" s="1"/>
  <c r="E109" i="84"/>
  <c r="A124" i="84" s="1"/>
  <c r="E107" i="84"/>
  <c r="A122" i="84" s="1"/>
  <c r="H106" i="84"/>
  <c r="H103" i="84" s="1"/>
  <c r="D120" i="84" s="1"/>
  <c r="H105" i="84"/>
  <c r="H104" i="84"/>
  <c r="D101" i="84"/>
  <c r="C101" i="84"/>
  <c r="C91" i="84"/>
  <c r="E90" i="84"/>
  <c r="D89" i="84"/>
  <c r="C89" i="84" s="1"/>
  <c r="C87" i="84" s="1"/>
  <c r="H77" i="84"/>
  <c r="D77" i="84"/>
  <c r="C76" i="84"/>
  <c r="F59" i="84"/>
  <c r="E59" i="84"/>
  <c r="D59" i="84"/>
  <c r="F56" i="84"/>
  <c r="O55" i="84"/>
  <c r="N55" i="84"/>
  <c r="M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B3" i="83"/>
  <c r="D4" i="83"/>
  <c r="D3"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B131" i="81"/>
  <c r="B129" i="81"/>
  <c r="H46" i="81" s="1"/>
  <c r="AB46" i="81" s="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H32" i="81" s="1"/>
  <c r="AB32" i="81" s="1"/>
  <c r="B97" i="81"/>
  <c r="B95" i="81"/>
  <c r="H30" i="81" s="1"/>
  <c r="AB30" i="81" s="1"/>
  <c r="B93" i="81"/>
  <c r="E92" i="81"/>
  <c r="F92" i="81" s="1"/>
  <c r="G92" i="81" s="1"/>
  <c r="H92" i="81" s="1"/>
  <c r="I92" i="81" s="1"/>
  <c r="J92" i="81" s="1"/>
  <c r="K92" i="81" s="1"/>
  <c r="L92" i="81" s="1"/>
  <c r="M92" i="81" s="1"/>
  <c r="D92" i="81"/>
  <c r="B91" i="81"/>
  <c r="H28" i="81" s="1"/>
  <c r="AB28" i="81" s="1"/>
  <c r="D90" i="81"/>
  <c r="E90" i="81" s="1"/>
  <c r="F90" i="81" s="1"/>
  <c r="G90" i="81" s="1"/>
  <c r="H90" i="81" s="1"/>
  <c r="I90" i="81" s="1"/>
  <c r="J90" i="81" s="1"/>
  <c r="K90" i="81" s="1"/>
  <c r="L90" i="81" s="1"/>
  <c r="M90" i="81" s="1"/>
  <c r="B89" i="81"/>
  <c r="H27" i="81" s="1"/>
  <c r="AB27" i="81" s="1"/>
  <c r="D88" i="81"/>
  <c r="E88" i="81" s="1"/>
  <c r="F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J13" i="81" s="1"/>
  <c r="AC13" i="81" s="1"/>
  <c r="B71" i="81"/>
  <c r="D70" i="81"/>
  <c r="E70" i="81" s="1"/>
  <c r="F70" i="81" s="1"/>
  <c r="G70" i="81" s="1"/>
  <c r="H70" i="81" s="1"/>
  <c r="I70" i="81" s="1"/>
  <c r="J70" i="81" s="1"/>
  <c r="K70" i="81" s="1"/>
  <c r="L70" i="81" s="1"/>
  <c r="M70" i="81" s="1"/>
  <c r="M68" i="81"/>
  <c r="L68" i="81"/>
  <c r="K68" i="81"/>
  <c r="J68" i="81"/>
  <c r="I68" i="81"/>
  <c r="H68" i="81"/>
  <c r="G68" i="81"/>
  <c r="F68" i="81"/>
  <c r="E68" i="81"/>
  <c r="D68" i="81"/>
  <c r="C68" i="81"/>
  <c r="G67" i="81"/>
  <c r="H67" i="81" s="1"/>
  <c r="I67" i="81" s="1"/>
  <c r="F67" i="81"/>
  <c r="C64" i="81"/>
  <c r="J9" i="81" s="1"/>
  <c r="AC9" i="81" s="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F46" i="81"/>
  <c r="Q45" i="81"/>
  <c r="Z45" i="81" s="1"/>
  <c r="J45" i="81"/>
  <c r="AC45" i="81" s="1"/>
  <c r="H45" i="81"/>
  <c r="AB45" i="81" s="1"/>
  <c r="F45" i="81"/>
  <c r="AA45" i="81" s="1"/>
  <c r="Q44" i="81"/>
  <c r="Z44" i="81" s="1"/>
  <c r="J44" i="81"/>
  <c r="AC44" i="81" s="1"/>
  <c r="H44" i="81"/>
  <c r="AB44" i="81" s="1"/>
  <c r="F44" i="81"/>
  <c r="AA44" i="81" s="1"/>
  <c r="Q43" i="81"/>
  <c r="Z43" i="81" s="1"/>
  <c r="J43" i="81"/>
  <c r="AC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F35" i="81"/>
  <c r="AA35" i="81" s="1"/>
  <c r="Q34" i="81"/>
  <c r="Z34" i="81" s="1"/>
  <c r="J34" i="81"/>
  <c r="Q33" i="81"/>
  <c r="Z33" i="81" s="1"/>
  <c r="J33" i="81"/>
  <c r="AC33" i="81" s="1"/>
  <c r="H33" i="81"/>
  <c r="AB33" i="81" s="1"/>
  <c r="F33" i="81"/>
  <c r="AA33" i="81" s="1"/>
  <c r="Q32" i="81"/>
  <c r="Z32" i="81" s="1"/>
  <c r="J32" i="81"/>
  <c r="AC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F27" i="81"/>
  <c r="AA27" i="81" s="1"/>
  <c r="Q25" i="81"/>
  <c r="Z25" i="81" s="1"/>
  <c r="Q23" i="81"/>
  <c r="Z23" i="81" s="1"/>
  <c r="J23" i="81"/>
  <c r="AC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H17" i="81"/>
  <c r="AB17" i="81" s="1"/>
  <c r="C17" i="81"/>
  <c r="Q15" i="81"/>
  <c r="Z15" i="81" s="1"/>
  <c r="J15" i="81"/>
  <c r="AC15" i="81" s="1"/>
  <c r="F15" i="81"/>
  <c r="S15" i="81" s="1"/>
  <c r="C15" i="81"/>
  <c r="Q14" i="81"/>
  <c r="Z14" i="81" s="1"/>
  <c r="J14" i="81"/>
  <c r="AC14" i="81" s="1"/>
  <c r="H14" i="81"/>
  <c r="AB14" i="81" s="1"/>
  <c r="F14" i="81"/>
  <c r="AA14" i="81" s="1"/>
  <c r="Q13" i="81"/>
  <c r="Z13" i="81" s="1"/>
  <c r="H13" i="81"/>
  <c r="AB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H9" i="81"/>
  <c r="AB9" i="81" s="1"/>
  <c r="J8" i="81"/>
  <c r="W8" i="81" s="1"/>
  <c r="H8" i="81"/>
  <c r="AB8" i="81" s="1"/>
  <c r="F8" i="81"/>
  <c r="S8" i="81" s="1"/>
  <c r="D34" i="84"/>
  <c r="D35" i="82"/>
  <c r="D35" i="84"/>
  <c r="D2" i="81"/>
  <c r="D34" i="82"/>
  <c r="B5" i="83" l="1"/>
  <c r="G88" i="81"/>
  <c r="H88" i="81" s="1"/>
  <c r="I88" i="81" s="1"/>
  <c r="J88" i="81" s="1"/>
  <c r="K88" i="81" s="1"/>
  <c r="L88" i="81" s="1"/>
  <c r="M88" i="81" s="1"/>
  <c r="H25" i="81"/>
  <c r="AB25" i="81" s="1"/>
  <c r="J25" i="81"/>
  <c r="AC25" i="81" s="1"/>
  <c r="F25" i="81"/>
  <c r="AA25" i="81" s="1"/>
  <c r="U8" i="81"/>
  <c r="F9" i="81"/>
  <c r="AA9" i="81" s="1"/>
  <c r="F13" i="81"/>
  <c r="AA13" i="81" s="1"/>
  <c r="H15" i="81"/>
  <c r="AB15" i="81" s="1"/>
  <c r="F17" i="81"/>
  <c r="AA17" i="81" s="1"/>
  <c r="J17" i="81"/>
  <c r="AC17" i="81" s="1"/>
  <c r="H23" i="81"/>
  <c r="AB23" i="81" s="1"/>
  <c r="H35" i="81"/>
  <c r="AB35" i="81" s="1"/>
  <c r="H37" i="81"/>
  <c r="AB37" i="81" s="1"/>
  <c r="H43" i="81"/>
  <c r="AB43" i="81" s="1"/>
  <c r="C18" i="84"/>
  <c r="D18" i="84" s="1"/>
  <c r="K120" i="84"/>
  <c r="D121" i="84"/>
  <c r="C92" i="84"/>
  <c r="C94" i="84"/>
  <c r="C18" i="82"/>
  <c r="D18" i="82" s="1"/>
  <c r="K120" i="82"/>
  <c r="D121" i="82"/>
  <c r="C92" i="82"/>
  <c r="C94" i="82"/>
  <c r="AA8" i="81"/>
  <c r="AC8" i="81"/>
  <c r="W9" i="81"/>
  <c r="U10" i="81"/>
  <c r="S11" i="81"/>
  <c r="W11" i="81"/>
  <c r="U12" i="81"/>
  <c r="S13" i="81"/>
  <c r="W13" i="81"/>
  <c r="U14" i="81"/>
  <c r="U15" i="81"/>
  <c r="AA15" i="81"/>
  <c r="W17" i="81"/>
  <c r="AC34" i="81"/>
  <c r="W34" i="81"/>
  <c r="U9" i="81"/>
  <c r="S10" i="81"/>
  <c r="W10" i="81"/>
  <c r="U11" i="81"/>
  <c r="S12" i="81"/>
  <c r="W12" i="81"/>
  <c r="U13" i="81"/>
  <c r="S14" i="81"/>
  <c r="W14" i="81"/>
  <c r="W15" i="81"/>
  <c r="S17" i="81"/>
  <c r="U17" i="81"/>
  <c r="U19" i="81"/>
  <c r="U21" i="81"/>
  <c r="U23" i="81"/>
  <c r="S25" i="81"/>
  <c r="W25" i="81"/>
  <c r="U27" i="81"/>
  <c r="S28" i="81"/>
  <c r="W28" i="81"/>
  <c r="U29" i="81"/>
  <c r="S30" i="81"/>
  <c r="W30" i="81"/>
  <c r="U31" i="81"/>
  <c r="S32" i="81"/>
  <c r="W32" i="81"/>
  <c r="U33" i="81"/>
  <c r="H34" i="81"/>
  <c r="S35" i="81"/>
  <c r="W35" i="81"/>
  <c r="U36" i="81"/>
  <c r="S37" i="81"/>
  <c r="W37" i="81"/>
  <c r="U38" i="81"/>
  <c r="S39" i="81"/>
  <c r="W39" i="81"/>
  <c r="U40" i="81"/>
  <c r="S41" i="81"/>
  <c r="W41" i="81"/>
  <c r="U42" i="81"/>
  <c r="S43" i="81"/>
  <c r="W43" i="81"/>
  <c r="U44" i="81"/>
  <c r="S45" i="81"/>
  <c r="W45" i="81"/>
  <c r="AA46" i="81"/>
  <c r="S46" i="81"/>
  <c r="S19" i="81"/>
  <c r="W19" i="81"/>
  <c r="S21" i="81"/>
  <c r="W21" i="81"/>
  <c r="S23" i="81"/>
  <c r="W23" i="81"/>
  <c r="U25" i="81"/>
  <c r="S27" i="81"/>
  <c r="W27" i="81"/>
  <c r="U28" i="81"/>
  <c r="S29" i="81"/>
  <c r="W29" i="81"/>
  <c r="U30" i="81"/>
  <c r="S31" i="81"/>
  <c r="W31" i="81"/>
  <c r="U32" i="81"/>
  <c r="S33" i="81"/>
  <c r="W33" i="81"/>
  <c r="F34" i="81"/>
  <c r="S36" i="81"/>
  <c r="W36" i="81"/>
  <c r="U37" i="81"/>
  <c r="S38" i="81"/>
  <c r="W38" i="81"/>
  <c r="U39" i="81"/>
  <c r="S40" i="81"/>
  <c r="W40" i="81"/>
  <c r="U41" i="81"/>
  <c r="S42" i="81"/>
  <c r="W42" i="81"/>
  <c r="S44" i="81"/>
  <c r="W44" i="81"/>
  <c r="U45" i="81"/>
  <c r="W46" i="81"/>
  <c r="U47" i="81"/>
  <c r="U46" i="81"/>
  <c r="S47" i="81"/>
  <c r="W47" i="81"/>
  <c r="U43" i="81" l="1"/>
  <c r="U35" i="81"/>
  <c r="S9" i="81"/>
  <c r="AA34" i="81"/>
  <c r="S34" i="81"/>
  <c r="AB34" i="81"/>
  <c r="U34" i="81"/>
  <c r="Q72" i="79" l="1"/>
  <c r="Q59" i="79"/>
  <c r="K59" i="79"/>
  <c r="P74" i="79" s="1"/>
  <c r="F59" i="79"/>
  <c r="Q58" i="79"/>
  <c r="Q51" i="79"/>
  <c r="J50" i="79"/>
  <c r="M47" i="79"/>
  <c r="D46" i="79"/>
  <c r="F33" i="79"/>
  <c r="F61" i="79" s="1"/>
  <c r="F31" i="79"/>
  <c r="F23" i="79"/>
  <c r="D24" i="79" s="1"/>
  <c r="D22" i="79"/>
  <c r="F21" i="79"/>
  <c r="F20" i="79"/>
  <c r="M19" i="79"/>
  <c r="F18" i="79"/>
  <c r="M17" i="79"/>
  <c r="F17" i="79"/>
  <c r="F15" i="79"/>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4" i="77" s="1"/>
  <c r="F21" i="77"/>
  <c r="F20" i="77"/>
  <c r="M19" i="77"/>
  <c r="F18" i="77"/>
  <c r="M17" i="77"/>
  <c r="F17" i="77"/>
  <c r="F15" i="77"/>
  <c r="D22" i="77" l="1"/>
  <c r="D23" i="79"/>
  <c r="D23" i="77"/>
  <c r="J53" i="79"/>
  <c r="P61" i="79"/>
  <c r="J51" i="79"/>
  <c r="D24" i="78"/>
  <c r="P61" i="78"/>
  <c r="D22" i="78"/>
  <c r="P61" i="77"/>
  <c r="D38" i="43" l="1"/>
  <c r="F1" i="79"/>
  <c r="Q52" i="79"/>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F8" i="71"/>
  <c r="B8" i="71"/>
  <c r="B7" i="71" s="1"/>
  <c r="B6" i="71" s="1"/>
  <c r="B5" i="71" s="1"/>
  <c r="D10" i="71"/>
  <c r="AH8" i="71"/>
  <c r="AG8" i="71"/>
  <c r="AE8" i="71"/>
  <c r="AF8" i="71"/>
  <c r="AD8" i="71"/>
  <c r="AD9" i="71"/>
  <c r="AG9" i="71"/>
  <c r="AH9" i="71"/>
  <c r="AE9" i="71"/>
  <c r="AF9" i="71"/>
  <c r="N9" i="71"/>
  <c r="Q9" i="71"/>
  <c r="P9" i="71"/>
  <c r="O9" i="71"/>
  <c r="C9" i="71"/>
  <c r="Q10" i="71"/>
  <c r="F9" i="71"/>
  <c r="P10" i="71"/>
  <c r="E9" i="71"/>
  <c r="E8" i="71" s="1"/>
  <c r="E7" i="71" s="1"/>
  <c r="O10" i="71"/>
  <c r="N10" i="71"/>
  <c r="B9" i="71"/>
  <c r="S9" i="71" s="1"/>
  <c r="V9"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A6" i="52" s="1"/>
  <c r="B57" i="72" s="1"/>
  <c r="H2" i="52"/>
  <c r="A1" i="52"/>
  <c r="A3" i="53"/>
  <c r="Q11" i="71"/>
  <c r="P11" i="71"/>
  <c r="O11" i="71"/>
  <c r="N11" i="71"/>
  <c r="A15" i="51"/>
  <c r="B12" i="72" s="1"/>
  <c r="C76" i="9"/>
  <c r="I107" i="40"/>
  <c r="K6" i="4"/>
  <c r="B22" i="31"/>
  <c r="N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D48"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C36" i="71" s="1"/>
  <c r="C37" i="71" s="1"/>
  <c r="D37" i="71" s="1"/>
  <c r="N35" i="71"/>
  <c r="Q34" i="71"/>
  <c r="F35" i="71" s="1"/>
  <c r="P34" i="71"/>
  <c r="E35" i="71" s="1"/>
  <c r="E36" i="71"/>
  <c r="E37" i="71" s="1"/>
  <c r="U37" i="71" s="1"/>
  <c r="O34" i="71"/>
  <c r="C35" i="71"/>
  <c r="D35" i="71" s="1"/>
  <c r="N34" i="71"/>
  <c r="B35" i="71"/>
  <c r="B36" i="71" s="1"/>
  <c r="B37" i="71"/>
  <c r="S37" i="71" s="1"/>
  <c r="D34" i="71"/>
  <c r="T33" i="71"/>
  <c r="Q33" i="71"/>
  <c r="P33" i="71"/>
  <c r="O33" i="71"/>
  <c r="N33" i="71"/>
  <c r="D33" i="71"/>
  <c r="Q32" i="71"/>
  <c r="P32" i="71"/>
  <c r="O32" i="71"/>
  <c r="N32" i="71"/>
  <c r="Q31" i="71"/>
  <c r="P31" i="71"/>
  <c r="O31" i="71"/>
  <c r="N31" i="71"/>
  <c r="F32" i="71"/>
  <c r="F33" i="71" s="1"/>
  <c r="V33" i="71" s="1"/>
  <c r="Q30" i="71"/>
  <c r="F31"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F28" i="71"/>
  <c r="F29" i="71" s="1"/>
  <c r="V29" i="71" s="1"/>
  <c r="Q26" i="71"/>
  <c r="F27" i="71" s="1"/>
  <c r="P26" i="71"/>
  <c r="E27" i="71" s="1"/>
  <c r="E28" i="71"/>
  <c r="E29" i="71" s="1"/>
  <c r="U29" i="71" s="1"/>
  <c r="O26" i="71"/>
  <c r="C27" i="71"/>
  <c r="C28" i="71" s="1"/>
  <c r="N26" i="71"/>
  <c r="B27" i="71"/>
  <c r="B28" i="71" s="1"/>
  <c r="B29" i="71"/>
  <c r="S29" i="71" s="1"/>
  <c r="D26" i="71"/>
  <c r="Q25" i="71"/>
  <c r="P25" i="71"/>
  <c r="O25" i="71"/>
  <c r="N25" i="71"/>
  <c r="Q24" i="71"/>
  <c r="AB24" i="71" s="1"/>
  <c r="P24" i="71"/>
  <c r="AA24" i="71"/>
  <c r="O24" i="71"/>
  <c r="Y24" i="71"/>
  <c r="Z24" i="71" s="1"/>
  <c r="N24" i="71"/>
  <c r="X24" i="71" s="1"/>
  <c r="Q23" i="71"/>
  <c r="P23" i="71"/>
  <c r="AA23" i="71" s="1"/>
  <c r="O23" i="71"/>
  <c r="Y23" i="71"/>
  <c r="Z23" i="71" s="1"/>
  <c r="N23" i="71"/>
  <c r="X23" i="71" s="1"/>
  <c r="Q22" i="71"/>
  <c r="F23" i="71" s="1"/>
  <c r="F24" i="71" s="1"/>
  <c r="F25" i="71" s="1"/>
  <c r="V25" i="71" s="1"/>
  <c r="P22" i="71"/>
  <c r="O22" i="71"/>
  <c r="N22" i="71"/>
  <c r="D22" i="71"/>
  <c r="Q21" i="71"/>
  <c r="P21" i="71"/>
  <c r="O21" i="71"/>
  <c r="Y21" i="71"/>
  <c r="Z21" i="71" s="1"/>
  <c r="N21" i="71"/>
  <c r="Q20" i="71"/>
  <c r="P20" i="71"/>
  <c r="O20" i="71"/>
  <c r="N20" i="71"/>
  <c r="Q19" i="71"/>
  <c r="P19" i="71"/>
  <c r="O19" i="71"/>
  <c r="Y19" i="71"/>
  <c r="Z19" i="71" s="1"/>
  <c r="N19" i="71"/>
  <c r="F20" i="71"/>
  <c r="F21" i="71" s="1"/>
  <c r="V21" i="71" s="1"/>
  <c r="Q18" i="71"/>
  <c r="F19" i="71" s="1"/>
  <c r="P18" i="71"/>
  <c r="O18" i="71"/>
  <c r="N18" i="71"/>
  <c r="D18" i="71"/>
  <c r="Q17" i="71"/>
  <c r="P17" i="71"/>
  <c r="O17" i="71"/>
  <c r="Y17" i="71"/>
  <c r="Z17" i="71" s="1"/>
  <c r="N17" i="71"/>
  <c r="Q16" i="71"/>
  <c r="P16" i="71"/>
  <c r="O16" i="71"/>
  <c r="N16" i="71"/>
  <c r="Q15" i="71"/>
  <c r="AB15" i="71" s="1"/>
  <c r="P15" i="71"/>
  <c r="O15" i="71"/>
  <c r="N15" i="71"/>
  <c r="Q14" i="71"/>
  <c r="F15" i="71" s="1"/>
  <c r="P14" i="71"/>
  <c r="O14" i="71"/>
  <c r="N14" i="71"/>
  <c r="D14" i="71"/>
  <c r="O13" i="71"/>
  <c r="N13" i="71"/>
  <c r="B15" i="71"/>
  <c r="B16" i="71" s="1"/>
  <c r="B17" i="71" s="1"/>
  <c r="S17" i="71" s="1"/>
  <c r="B19" i="71"/>
  <c r="B20" i="71" s="1"/>
  <c r="B21" i="71"/>
  <c r="S21" i="71" s="1"/>
  <c r="E23" i="71"/>
  <c r="E24" i="71" s="1"/>
  <c r="E25" i="71" s="1"/>
  <c r="U25" i="71" s="1"/>
  <c r="AA22" i="71"/>
  <c r="E19" i="71"/>
  <c r="C15" i="71"/>
  <c r="AA16" i="71"/>
  <c r="C19" i="71"/>
  <c r="C20" i="71"/>
  <c r="X20" i="71"/>
  <c r="C23" i="71"/>
  <c r="C24" i="71" s="1"/>
  <c r="C25" i="71" s="1"/>
  <c r="Y22" i="71"/>
  <c r="Z22" i="71"/>
  <c r="F36" i="71"/>
  <c r="F37" i="71" s="1"/>
  <c r="V37" i="71" s="1"/>
  <c r="B13" i="71"/>
  <c r="B12" i="71"/>
  <c r="B11" i="71" s="1"/>
  <c r="X12" i="71"/>
  <c r="C16" i="71"/>
  <c r="D15" i="71"/>
  <c r="D19" i="71"/>
  <c r="D23" i="71"/>
  <c r="D27" i="71"/>
  <c r="P13" i="71"/>
  <c r="E44" i="71"/>
  <c r="E45" i="71" s="1"/>
  <c r="U45" i="71" s="1"/>
  <c r="E48" i="71"/>
  <c r="E49" i="71" s="1"/>
  <c r="U49" i="71"/>
  <c r="Q50" i="71"/>
  <c r="U53" i="71"/>
  <c r="E52" i="71"/>
  <c r="Q13" i="71"/>
  <c r="AB13" i="71" s="1"/>
  <c r="C40" i="71"/>
  <c r="D39" i="71"/>
  <c r="C44" i="71"/>
  <c r="D43" i="71"/>
  <c r="D47" i="71"/>
  <c r="Q52" i="71"/>
  <c r="T53" i="71"/>
  <c r="O53" i="71"/>
  <c r="D53" i="71"/>
  <c r="C52" i="71"/>
  <c r="Q53" i="71"/>
  <c r="E56" i="71"/>
  <c r="E55" i="71" s="1"/>
  <c r="D57" i="71"/>
  <c r="C60" i="71"/>
  <c r="E60" i="71"/>
  <c r="E59" i="71" s="1"/>
  <c r="D61" i="71"/>
  <c r="E64" i="71"/>
  <c r="E63" i="71" s="1"/>
  <c r="D65" i="71"/>
  <c r="C68" i="71"/>
  <c r="C72" i="71"/>
  <c r="C71" i="71" s="1"/>
  <c r="S13" i="71"/>
  <c r="F13" i="71"/>
  <c r="F12" i="71" s="1"/>
  <c r="F11" i="71" s="1"/>
  <c r="AB11" i="71"/>
  <c r="AA11" i="71"/>
  <c r="C51" i="71"/>
  <c r="O52" i="71"/>
  <c r="D52" i="71"/>
  <c r="C49" i="71"/>
  <c r="D49" i="71" s="1"/>
  <c r="D68" i="71"/>
  <c r="C67" i="71"/>
  <c r="D67" i="71"/>
  <c r="D60" i="71"/>
  <c r="C59" i="71"/>
  <c r="D59" i="71" s="1"/>
  <c r="D72" i="71"/>
  <c r="D71" i="71"/>
  <c r="C45" i="71"/>
  <c r="D44" i="71"/>
  <c r="C41" i="71"/>
  <c r="D40" i="71"/>
  <c r="P52" i="71"/>
  <c r="E51" i="71"/>
  <c r="P50" i="71" s="1"/>
  <c r="D36" i="71"/>
  <c r="C29" i="71"/>
  <c r="D28" i="71"/>
  <c r="D24" i="71"/>
  <c r="D20" i="71"/>
  <c r="C17" i="71"/>
  <c r="D16" i="71"/>
  <c r="P51" i="71"/>
  <c r="O51" i="71"/>
  <c r="D51" i="71"/>
  <c r="O50" i="71"/>
  <c r="T17" i="71"/>
  <c r="D17" i="71"/>
  <c r="T25" i="71"/>
  <c r="T29" i="71"/>
  <c r="D29" i="71"/>
  <c r="T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c r="C22" i="20"/>
  <c r="B75" i="43"/>
  <c r="B55" i="43"/>
  <c r="B66" i="43"/>
  <c r="C25" i="40"/>
  <c r="C29" i="39"/>
  <c r="S29" i="39"/>
  <c r="S18" i="36"/>
  <c r="U18" i="36"/>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S21" i="33" s="1"/>
  <c r="E83" i="21"/>
  <c r="F83" i="21" s="1"/>
  <c r="G83" i="21" s="1"/>
  <c r="H1" i="69"/>
  <c r="U25" i="40"/>
  <c r="U29" i="39"/>
  <c r="W29" i="39"/>
  <c r="W18" i="36"/>
  <c r="AB21" i="37"/>
  <c r="U21" i="37"/>
  <c r="S21" i="37"/>
  <c r="AC18" i="35"/>
  <c r="W18" i="35"/>
  <c r="J21" i="37"/>
  <c r="W21" i="37" s="1"/>
  <c r="J21" i="34"/>
  <c r="W21" i="34" s="1"/>
  <c r="J21" i="33"/>
  <c r="AC21" i="33" s="1"/>
  <c r="H21" i="21"/>
  <c r="AB21" i="21" s="1"/>
  <c r="F38" i="69"/>
  <c r="E37" i="69"/>
  <c r="F36" i="69"/>
  <c r="F35" i="69"/>
  <c r="F21" i="69"/>
  <c r="C21" i="69" s="1"/>
  <c r="F20" i="69"/>
  <c r="E10" i="69"/>
  <c r="E9" i="69"/>
  <c r="F7" i="69"/>
  <c r="C7" i="69" s="1"/>
  <c r="AC21" i="34"/>
  <c r="U21" i="21"/>
  <c r="J21" i="21"/>
  <c r="AC21" i="21" s="1"/>
  <c r="C40" i="69"/>
  <c r="F38" i="68"/>
  <c r="E37" i="68"/>
  <c r="F36" i="68"/>
  <c r="F35" i="68"/>
  <c r="F21" i="68"/>
  <c r="C21" i="68" s="1"/>
  <c r="F20" i="68"/>
  <c r="E10" i="68"/>
  <c r="E9" i="68"/>
  <c r="F7" i="68"/>
  <c r="C40" i="68"/>
  <c r="Q72" i="67"/>
  <c r="Q59" i="67"/>
  <c r="Q58" i="67"/>
  <c r="Q51" i="67"/>
  <c r="J50" i="67"/>
  <c r="M47" i="67"/>
  <c r="J53" i="67" s="1"/>
  <c r="D46" i="67"/>
  <c r="F33" i="67"/>
  <c r="F61" i="67" s="1"/>
  <c r="F23" i="67"/>
  <c r="F21" i="67"/>
  <c r="F20" i="67"/>
  <c r="M19" i="67"/>
  <c r="F18" i="67"/>
  <c r="F17" i="67"/>
  <c r="F15" i="67"/>
  <c r="D23" i="67"/>
  <c r="S2" i="4"/>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M55" i="43"/>
  <c r="N55" i="43" s="1"/>
  <c r="K55" i="43"/>
  <c r="J55" i="43" s="1"/>
  <c r="D55" i="43" s="1"/>
  <c r="M54" i="43"/>
  <c r="N54" i="43" s="1"/>
  <c r="K54" i="43"/>
  <c r="J54" i="43" s="1"/>
  <c r="D54" i="43" s="1"/>
  <c r="M53" i="43"/>
  <c r="N53" i="43" s="1"/>
  <c r="K53" i="43"/>
  <c r="J53" i="43" s="1"/>
  <c r="M52" i="43"/>
  <c r="N52" i="43" s="1"/>
  <c r="D52" i="43" s="1"/>
  <c r="K52" i="43"/>
  <c r="J52" i="43" s="1"/>
  <c r="M51" i="43"/>
  <c r="N51" i="43" s="1"/>
  <c r="K51" i="43"/>
  <c r="M50" i="43"/>
  <c r="N50" i="43" s="1"/>
  <c r="K50" i="43"/>
  <c r="J50" i="43" s="1"/>
  <c r="M49" i="43"/>
  <c r="N49" i="43" s="1"/>
  <c r="K49" i="43"/>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G41" i="43" s="1"/>
  <c r="F10" i="1"/>
  <c r="F11" i="1"/>
  <c r="F12" i="1"/>
  <c r="F13" i="1"/>
  <c r="D6" i="1"/>
  <c r="D9" i="1"/>
  <c r="D10" i="1"/>
  <c r="D11" i="1"/>
  <c r="G11" i="1" s="1"/>
  <c r="D12" i="1"/>
  <c r="D13" i="1"/>
  <c r="D7" i="1"/>
  <c r="D8" i="1"/>
  <c r="A7" i="1"/>
  <c r="B7" i="1" s="1"/>
  <c r="E7" i="1" s="1"/>
  <c r="A8" i="1"/>
  <c r="B8" i="1" s="1"/>
  <c r="E8" i="1" s="1"/>
  <c r="A9" i="1"/>
  <c r="A10" i="1"/>
  <c r="A11" i="1"/>
  <c r="A12" i="1"/>
  <c r="A13" i="1"/>
  <c r="A6" i="1"/>
  <c r="B11" i="1"/>
  <c r="E11" i="1" s="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84" i="31"/>
  <c r="S84" i="31" s="1"/>
  <c r="R85" i="31"/>
  <c r="S85" i="31" s="1"/>
  <c r="R86" i="31"/>
  <c r="S86" i="31" s="1"/>
  <c r="R87" i="31"/>
  <c r="S87" i="31" s="1"/>
  <c r="R88" i="31"/>
  <c r="S88" i="31" s="1"/>
  <c r="R89" i="3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R246" i="31"/>
  <c r="S246" i="31" s="1"/>
  <c r="R247" i="31"/>
  <c r="S247" i="31" s="1"/>
  <c r="R248" i="31"/>
  <c r="S248" i="31" s="1"/>
  <c r="R249" i="31"/>
  <c r="S249" i="31" s="1"/>
  <c r="R250" i="31"/>
  <c r="S250" i="31" s="1"/>
  <c r="R251" i="31"/>
  <c r="S251" i="31" s="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E19" i="6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8" i="31"/>
  <c r="S382" i="31"/>
  <c r="S366" i="31"/>
  <c r="S350" i="31"/>
  <c r="S334" i="31"/>
  <c r="S320" i="31"/>
  <c r="S304" i="31"/>
  <c r="S288" i="31"/>
  <c r="S272" i="31"/>
  <c r="S256" i="31"/>
  <c r="S253" i="31"/>
  <c r="S245" i="31"/>
  <c r="S237" i="31"/>
  <c r="S229" i="31"/>
  <c r="S429" i="31"/>
  <c r="S428" i="31"/>
  <c r="S427" i="31"/>
  <c r="S426" i="31"/>
  <c r="S425" i="31"/>
  <c r="S209" i="31"/>
  <c r="S193" i="31"/>
  <c r="S177" i="31"/>
  <c r="S161" i="31"/>
  <c r="S145" i="31"/>
  <c r="S129" i="31"/>
  <c r="S492" i="31"/>
  <c r="S476" i="31"/>
  <c r="S438" i="31"/>
  <c r="S502" i="31"/>
  <c r="S460" i="31"/>
  <c r="S452" i="31"/>
  <c r="S97" i="31"/>
  <c r="S89" i="31"/>
  <c r="S103" i="31"/>
  <c r="S111" i="31"/>
  <c r="S508"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6" i="31"/>
  <c r="S520" i="31"/>
  <c r="S524" i="31"/>
  <c r="F41" i="21"/>
  <c r="J41" i="21"/>
  <c r="AC41" i="21" s="1"/>
  <c r="H41" i="21"/>
  <c r="U41" i="21" s="1"/>
  <c r="D81" i="39"/>
  <c r="E81" i="39" s="1"/>
  <c r="F81" i="39" s="1"/>
  <c r="G81" i="39" s="1"/>
  <c r="H81" i="39"/>
  <c r="I81" i="39" s="1"/>
  <c r="J81" i="39" s="1"/>
  <c r="K81" i="39" s="1"/>
  <c r="L81" i="39" s="1"/>
  <c r="M81" i="39" s="1"/>
  <c r="D76" i="40"/>
  <c r="E76" i="40" s="1"/>
  <c r="F76" i="40"/>
  <c r="G76" i="40" s="1"/>
  <c r="H76" i="40" s="1"/>
  <c r="I76" i="40" s="1"/>
  <c r="J76" i="40"/>
  <c r="K76" i="40" s="1"/>
  <c r="L76" i="40" s="1"/>
  <c r="M76" i="40" s="1"/>
  <c r="B120" i="40"/>
  <c r="H40" i="40" s="1"/>
  <c r="AB40" i="40" s="1"/>
  <c r="B118" i="40"/>
  <c r="J39" i="40"/>
  <c r="B116" i="40"/>
  <c r="F38" i="40"/>
  <c r="AA38" i="40" s="1"/>
  <c r="D115" i="40"/>
  <c r="E115" i="40" s="1"/>
  <c r="F115" i="40"/>
  <c r="G115" i="40" s="1"/>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c r="L100" i="40" s="1"/>
  <c r="M100" i="40" s="1"/>
  <c r="D98" i="40"/>
  <c r="J28" i="40"/>
  <c r="AC28" i="40" s="1"/>
  <c r="D96" i="40"/>
  <c r="E96" i="40" s="1"/>
  <c r="F96" i="40" s="1"/>
  <c r="G96" i="40" s="1"/>
  <c r="H96" i="40"/>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U9" i="36"/>
  <c r="W28" i="36"/>
  <c r="S30" i="36"/>
  <c r="AA31" i="36"/>
  <c r="W31" i="36"/>
  <c r="U31" i="36"/>
  <c r="J33" i="36"/>
  <c r="W33" i="36" s="1"/>
  <c r="H22" i="35"/>
  <c r="AB22" i="35" s="1"/>
  <c r="AC27" i="35"/>
  <c r="U31" i="35"/>
  <c r="W22" i="35"/>
  <c r="S31" i="35"/>
  <c r="F36" i="34"/>
  <c r="J35" i="34"/>
  <c r="U34" i="34"/>
  <c r="H39" i="33"/>
  <c r="AB39" i="33" s="1"/>
  <c r="F26" i="33"/>
  <c r="AA26" i="33" s="1"/>
  <c r="U33" i="33"/>
  <c r="S40"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s="1"/>
  <c r="F28" i="34"/>
  <c r="AA28" i="34" s="1"/>
  <c r="F27" i="34"/>
  <c r="AA27" i="34" s="1"/>
  <c r="F25" i="34"/>
  <c r="S25" i="34" s="1"/>
  <c r="H23" i="34"/>
  <c r="U23" i="34" s="1"/>
  <c r="J23" i="34"/>
  <c r="AC23" i="34" s="1"/>
  <c r="F19" i="34"/>
  <c r="H17" i="34"/>
  <c r="U17" i="34" s="1"/>
  <c r="F15" i="34"/>
  <c r="AA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15" i="34"/>
  <c r="S41" i="33"/>
  <c r="H37" i="33"/>
  <c r="AB37" i="33" s="1"/>
  <c r="H15" i="33"/>
  <c r="AB15" i="33" s="1"/>
  <c r="H11" i="33"/>
  <c r="AB11" i="33" s="1"/>
  <c r="F28" i="40"/>
  <c r="AA28" i="40" s="1"/>
  <c r="AA29" i="35"/>
  <c r="AA42" i="34"/>
  <c r="S42" i="34"/>
  <c r="AC38" i="34"/>
  <c r="AA38" i="34"/>
  <c r="J37" i="34"/>
  <c r="AC37" i="34" s="1"/>
  <c r="J11" i="33"/>
  <c r="W11" i="33" s="1"/>
  <c r="G123" i="21"/>
  <c r="H123" i="21" s="1"/>
  <c r="I123" i="21" s="1"/>
  <c r="J123" i="21" s="1"/>
  <c r="K123" i="21" s="1"/>
  <c r="L123" i="21" s="1"/>
  <c r="M123" i="21" s="1"/>
  <c r="J42" i="21"/>
  <c r="AC42" i="21"/>
  <c r="H42" i="21"/>
  <c r="U42" i="2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c r="AA14" i="37"/>
  <c r="AC13" i="36"/>
  <c r="W13" i="36"/>
  <c r="S11" i="36"/>
  <c r="W11" i="36"/>
  <c r="W11" i="35"/>
  <c r="AC30" i="34"/>
  <c r="S45" i="33"/>
  <c r="AB31" i="33"/>
  <c r="W29" i="33"/>
  <c r="AC28" i="21"/>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AC42" i="33" s="1"/>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BR5" i="3"/>
  <c r="G28" i="6" s="1"/>
  <c r="AZ380" i="3"/>
  <c r="AZ388" i="3"/>
  <c r="AZ396" i="3"/>
  <c r="G509" i="3"/>
  <c r="BL493" i="3"/>
  <c r="AZ493" i="3" s="1"/>
  <c r="AZ491" i="3"/>
  <c r="AZ376" i="3"/>
  <c r="AZ382"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D93" i="9"/>
  <c r="K6" i="1"/>
  <c r="M6" i="1" s="1"/>
  <c r="O6" i="1" s="1"/>
  <c r="P6" i="1" s="1"/>
  <c r="G29" i="6"/>
  <c r="E29" i="6" s="1"/>
  <c r="K15" i="1"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S13" i="1"/>
  <c r="AR13" i="1" s="1"/>
  <c r="R13" i="1"/>
  <c r="S11" i="1"/>
  <c r="R11" i="1"/>
  <c r="J51" i="67"/>
  <c r="C42" i="1"/>
  <c r="C24" i="12" s="1"/>
  <c r="H100" i="43"/>
  <c r="C30" i="66"/>
  <c r="E26" i="66"/>
  <c r="AC34" i="33"/>
  <c r="B41" i="1"/>
  <c r="J100" i="43"/>
  <c r="AB37" i="40"/>
  <c r="S35" i="40"/>
  <c r="U35" i="40"/>
  <c r="AC36" i="40"/>
  <c r="W38" i="40"/>
  <c r="AA32" i="40"/>
  <c r="S17" i="40"/>
  <c r="S23" i="40"/>
  <c r="AC17" i="40"/>
  <c r="AC15" i="40"/>
  <c r="AB27" i="40"/>
  <c r="AA19" i="40"/>
  <c r="S28" i="40"/>
  <c r="AA27" i="40"/>
  <c r="U21" i="40"/>
  <c r="AB19" i="40"/>
  <c r="W42" i="39"/>
  <c r="U37" i="39"/>
  <c r="S43" i="39"/>
  <c r="S37" i="39"/>
  <c r="U35" i="39"/>
  <c r="F32" i="39"/>
  <c r="F107" i="39"/>
  <c r="G107" i="39" s="1"/>
  <c r="H107" i="39" s="1"/>
  <c r="U25" i="39"/>
  <c r="AB27" i="39"/>
  <c r="U31" i="39"/>
  <c r="S25" i="39"/>
  <c r="J21" i="39"/>
  <c r="F21"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I60" i="37" s="1"/>
  <c r="F63" i="37"/>
  <c r="F11" i="37"/>
  <c r="S11" i="37" s="1"/>
  <c r="W25" i="34"/>
  <c r="AB8" i="34"/>
  <c r="U43" i="34"/>
  <c r="AC42" i="34"/>
  <c r="AB35" i="34"/>
  <c r="U39" i="34"/>
  <c r="S43" i="34"/>
  <c r="W34" i="34"/>
  <c r="AA25" i="34"/>
  <c r="U28" i="34"/>
  <c r="S17" i="34"/>
  <c r="AA29" i="34"/>
  <c r="U27" i="34"/>
  <c r="S23" i="34"/>
  <c r="U15" i="34"/>
  <c r="S10" i="34"/>
  <c r="S13" i="34"/>
  <c r="H10" i="34"/>
  <c r="AB10" i="34" s="1"/>
  <c r="F11" i="34"/>
  <c r="S11" i="34" s="1"/>
  <c r="W42" i="33"/>
  <c r="AA35" i="33"/>
  <c r="AA29" i="33"/>
  <c r="AB29" i="33"/>
  <c r="W38" i="33"/>
  <c r="H41" i="33"/>
  <c r="U41" i="33" s="1"/>
  <c r="F121" i="33"/>
  <c r="G121" i="33"/>
  <c r="H121" i="33" s="1"/>
  <c r="I121" i="33" s="1"/>
  <c r="J121" i="33" s="1"/>
  <c r="K121" i="33" s="1"/>
  <c r="L121" i="33" s="1"/>
  <c r="M121" i="33" s="1"/>
  <c r="U42" i="33"/>
  <c r="F36" i="33"/>
  <c r="S36" i="33" s="1"/>
  <c r="J35" i="33"/>
  <c r="S37" i="33"/>
  <c r="AA37" i="33"/>
  <c r="S39" i="33"/>
  <c r="J32" i="33"/>
  <c r="W32" i="33" s="1"/>
  <c r="S46" i="33"/>
  <c r="W43" i="33"/>
  <c r="S43" i="33"/>
  <c r="H27" i="33"/>
  <c r="AB27" i="33" s="1"/>
  <c r="H25" i="33"/>
  <c r="AB25" i="33" s="1"/>
  <c r="F25" i="33"/>
  <c r="AA25" i="33" s="1"/>
  <c r="J23" i="33"/>
  <c r="W23" i="33" s="1"/>
  <c r="H23" i="33"/>
  <c r="F19" i="33"/>
  <c r="S19" i="33" s="1"/>
  <c r="J17" i="33"/>
  <c r="W17" i="33" s="1"/>
  <c r="W15" i="33"/>
  <c r="U9" i="33"/>
  <c r="J10" i="33"/>
  <c r="W10" i="33" s="1"/>
  <c r="H10" i="33"/>
  <c r="AB10" i="33" s="1"/>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L17" i="3"/>
  <c r="AZ17" i="3"/>
  <c r="BL13" i="3"/>
  <c r="G30" i="6"/>
  <c r="G31" i="6" s="1"/>
  <c r="J56" i="9"/>
  <c r="J57" i="9"/>
  <c r="A24" i="51"/>
  <c r="B18" i="72"/>
  <c r="U29" i="34"/>
  <c r="E5" i="6"/>
  <c r="D9" i="69" s="1"/>
  <c r="C9" i="69" s="1"/>
  <c r="P10" i="1"/>
  <c r="E32" i="6"/>
  <c r="L19" i="6"/>
  <c r="G1" i="68"/>
  <c r="K1" i="12"/>
  <c r="F30" i="6"/>
  <c r="E28" i="6"/>
  <c r="AQ12" i="1"/>
  <c r="AR10" i="1"/>
  <c r="E19" i="68"/>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D63" i="40" s="1"/>
  <c r="E63" i="40" s="1"/>
  <c r="E65" i="40" s="1"/>
  <c r="M47" i="9"/>
  <c r="G19" i="43"/>
  <c r="O19" i="43" s="1"/>
  <c r="T35" i="4"/>
  <c r="A19" i="51" s="1"/>
  <c r="B14" i="72" s="1"/>
  <c r="C46" i="36"/>
  <c r="D46" i="36" s="1"/>
  <c r="C59" i="34"/>
  <c r="D59" i="34"/>
  <c r="E59" i="34" s="1"/>
  <c r="C52" i="37"/>
  <c r="D52" i="37"/>
  <c r="A4" i="51"/>
  <c r="B6" i="72"/>
  <c r="C48" i="35"/>
  <c r="D48" i="35"/>
  <c r="E48" i="35" s="1"/>
  <c r="F48" i="35" s="1"/>
  <c r="C4" i="12"/>
  <c r="H62" i="43"/>
  <c r="H66" i="43"/>
  <c r="H61" i="43"/>
  <c r="H65" i="43"/>
  <c r="H60" i="43"/>
  <c r="H64" i="43"/>
  <c r="H59" i="43"/>
  <c r="H63" i="43"/>
  <c r="H67" i="43"/>
  <c r="H76" i="43"/>
  <c r="H72" i="43"/>
  <c r="H77" i="43"/>
  <c r="L20" i="6"/>
  <c r="B6" i="1"/>
  <c r="E6" i="1" s="1"/>
  <c r="S8" i="1"/>
  <c r="AQ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7" i="34"/>
  <c r="U25" i="34"/>
  <c r="AB36" i="34"/>
  <c r="AC14" i="34"/>
  <c r="AC32" i="34"/>
  <c r="AC29" i="34"/>
  <c r="W29" i="34"/>
  <c r="W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35" i="34"/>
  <c r="W35" i="34"/>
  <c r="U12" i="34"/>
  <c r="AB12" i="34"/>
  <c r="AB28" i="33"/>
  <c r="AC37" i="33"/>
  <c r="W46" i="33"/>
  <c r="U39" i="33"/>
  <c r="U38" i="33"/>
  <c r="U44" i="33"/>
  <c r="AB44" i="33"/>
  <c r="S30" i="33"/>
  <c r="AA30" i="33"/>
  <c r="AC14" i="33"/>
  <c r="W14" i="33"/>
  <c r="AC30" i="33"/>
  <c r="W30" i="33"/>
  <c r="S31" i="33"/>
  <c r="AA31" i="33"/>
  <c r="W13" i="33"/>
  <c r="AC13" i="33"/>
  <c r="U15" i="33"/>
  <c r="S11" i="33"/>
  <c r="U37" i="33"/>
  <c r="W9" i="33"/>
  <c r="W8" i="33"/>
  <c r="S44" i="21"/>
  <c r="AB42" i="21"/>
  <c r="U28" i="21"/>
  <c r="AA11" i="21"/>
  <c r="S45" i="21"/>
  <c r="J101" i="21"/>
  <c r="K101" i="21" s="1"/>
  <c r="L101" i="21"/>
  <c r="M101" i="21" s="1"/>
  <c r="F33" i="21"/>
  <c r="AA33" i="21" s="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13" i="1"/>
  <c r="C77" i="9"/>
  <c r="C74" i="9" s="1"/>
  <c r="AA39" i="40"/>
  <c r="S39" i="40"/>
  <c r="S12" i="33"/>
  <c r="AA12" i="33"/>
  <c r="J32" i="39"/>
  <c r="AC32" i="39" s="1"/>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J23" i="37"/>
  <c r="W23" i="37" s="1"/>
  <c r="G79" i="37"/>
  <c r="J10" i="37"/>
  <c r="AC10" i="37" s="1"/>
  <c r="G63" i="37"/>
  <c r="H63" i="37" s="1"/>
  <c r="H11" i="37"/>
  <c r="AB10" i="37"/>
  <c r="U10" i="37"/>
  <c r="H11" i="34"/>
  <c r="U11" i="34" s="1"/>
  <c r="J10" i="34"/>
  <c r="AC10" i="34" s="1"/>
  <c r="AB41" i="33"/>
  <c r="W35" i="33"/>
  <c r="AC35" i="33"/>
  <c r="J36" i="33"/>
  <c r="H36" i="33"/>
  <c r="AB36" i="33" s="1"/>
  <c r="J27" i="33"/>
  <c r="W27" i="33" s="1"/>
  <c r="J25" i="33"/>
  <c r="AC25" i="33" s="1"/>
  <c r="AB23" i="33"/>
  <c r="U23" i="33"/>
  <c r="F23" i="33"/>
  <c r="H19" i="33"/>
  <c r="U19" i="33" s="1"/>
  <c r="H17" i="33"/>
  <c r="U17" i="33" s="1"/>
  <c r="F17" i="33"/>
  <c r="S17" i="33" s="1"/>
  <c r="AC17" i="33"/>
  <c r="AC37" i="21"/>
  <c r="S37" i="21"/>
  <c r="AB15" i="21"/>
  <c r="J23" i="21"/>
  <c r="F85" i="21"/>
  <c r="G85" i="21" s="1"/>
  <c r="H23" i="21"/>
  <c r="U23" i="21" s="1"/>
  <c r="S13" i="21"/>
  <c r="D6" i="52"/>
  <c r="D121" i="9"/>
  <c r="D7" i="52"/>
  <c r="K120" i="9"/>
  <c r="J59" i="9"/>
  <c r="J61" i="9" s="1"/>
  <c r="E52" i="37"/>
  <c r="AP7" i="1"/>
  <c r="AB45" i="21"/>
  <c r="AC33" i="21"/>
  <c r="W33" i="21"/>
  <c r="S33" i="21"/>
  <c r="W32" i="21"/>
  <c r="AC32" i="21"/>
  <c r="AB9" i="21"/>
  <c r="U9" i="21"/>
  <c r="AA32" i="21"/>
  <c r="W9" i="21"/>
  <c r="AB32" i="21"/>
  <c r="AA10" i="21"/>
  <c r="S10" i="21"/>
  <c r="A18" i="62"/>
  <c r="B64" i="72" s="1"/>
  <c r="U32" i="39"/>
  <c r="AB32" i="39"/>
  <c r="W32" i="39"/>
  <c r="W19" i="37"/>
  <c r="AC19" i="37"/>
  <c r="AC23" i="37"/>
  <c r="AB11" i="37"/>
  <c r="U11" i="37"/>
  <c r="I63" i="37"/>
  <c r="J63" i="37" s="1"/>
  <c r="K63" i="37" s="1"/>
  <c r="L63" i="37" s="1"/>
  <c r="M63" i="37" s="1"/>
  <c r="J11" i="37"/>
  <c r="W10" i="37"/>
  <c r="J11" i="34"/>
  <c r="W11" i="34" s="1"/>
  <c r="AC36" i="33"/>
  <c r="W36" i="33"/>
  <c r="AA23" i="33"/>
  <c r="S23" i="33"/>
  <c r="AB23" i="21"/>
  <c r="AC23" i="21"/>
  <c r="W23" i="21"/>
  <c r="F1" i="67"/>
  <c r="Q52" i="67"/>
  <c r="AC11" i="37"/>
  <c r="W11" i="37"/>
  <c r="F34" i="11"/>
  <c r="C36" i="11" s="1"/>
  <c r="F11" i="12"/>
  <c r="AE8" i="1"/>
  <c r="H7" i="33"/>
  <c r="AB7" i="33" s="1"/>
  <c r="H112" i="9"/>
  <c r="D21" i="53" s="1"/>
  <c r="B39" i="72" s="1"/>
  <c r="H111" i="9"/>
  <c r="D126" i="9" s="1"/>
  <c r="D19" i="53"/>
  <c r="B38" i="72" s="1"/>
  <c r="D59" i="9"/>
  <c r="M55" i="9"/>
  <c r="D20" i="53"/>
  <c r="B40" i="72" s="1"/>
  <c r="AD3" i="71"/>
  <c r="F34" i="68"/>
  <c r="D7" i="73"/>
  <c r="M22" i="67"/>
  <c r="M28" i="67"/>
  <c r="F13" i="15"/>
  <c r="D4" i="73"/>
  <c r="F7" i="73"/>
  <c r="B7" i="76"/>
  <c r="L48" i="15"/>
  <c r="M9" i="67"/>
  <c r="F6" i="73"/>
  <c r="D5" i="73"/>
  <c r="B10" i="76"/>
  <c r="F38" i="15"/>
  <c r="B11" i="76"/>
  <c r="F8" i="67"/>
  <c r="F3" i="73"/>
  <c r="D3" i="73"/>
  <c r="F26" i="15"/>
  <c r="AO10" i="1"/>
  <c r="C76" i="15"/>
  <c r="F42" i="67"/>
  <c r="J15" i="15"/>
  <c r="M26" i="67"/>
  <c r="E10" i="76"/>
  <c r="F9" i="67"/>
  <c r="D2" i="21"/>
  <c r="M29" i="15"/>
  <c r="F8" i="15"/>
  <c r="AO12" i="1"/>
  <c r="F7" i="15"/>
  <c r="L47" i="15"/>
  <c r="F16" i="15"/>
  <c r="F7" i="67"/>
  <c r="F42" i="15"/>
  <c r="M27" i="15"/>
  <c r="E2" i="68"/>
  <c r="C76" i="67"/>
  <c r="AO8" i="1"/>
  <c r="F6" i="67"/>
  <c r="F5" i="73"/>
  <c r="F37" i="15"/>
  <c r="E11" i="76"/>
  <c r="J15" i="67"/>
  <c r="M23" i="67"/>
  <c r="M29" i="67"/>
  <c r="F36" i="67"/>
  <c r="M24" i="67"/>
  <c r="D34" i="9"/>
  <c r="B12" i="76"/>
  <c r="D9" i="68"/>
  <c r="F40" i="67"/>
  <c r="F38" i="67"/>
  <c r="M27" i="67"/>
  <c r="M8" i="15"/>
  <c r="F37" i="67"/>
  <c r="M6" i="67"/>
  <c r="E9" i="76"/>
  <c r="F43" i="15"/>
  <c r="M26" i="15"/>
  <c r="AO11" i="1"/>
  <c r="B9" i="76"/>
  <c r="D2" i="35"/>
  <c r="D2" i="37"/>
  <c r="M28" i="15"/>
  <c r="E2" i="69"/>
  <c r="D35" i="9"/>
  <c r="F4" i="73"/>
  <c r="E13" i="76"/>
  <c r="F36" i="15"/>
  <c r="E8" i="76"/>
  <c r="AO13" i="1"/>
  <c r="B8" i="76"/>
  <c r="F9" i="15"/>
  <c r="M22" i="15"/>
  <c r="B13" i="76"/>
  <c r="F16" i="67"/>
  <c r="L48" i="67"/>
  <c r="M24" i="15"/>
  <c r="F40" i="15"/>
  <c r="M8" i="67"/>
  <c r="D2" i="33"/>
  <c r="F6" i="15"/>
  <c r="M9" i="15"/>
  <c r="E7" i="76"/>
  <c r="M6" i="15"/>
  <c r="F13" i="67"/>
  <c r="D6" i="73"/>
  <c r="M23" i="15"/>
  <c r="E12" i="76"/>
  <c r="F26" i="67"/>
  <c r="D2" i="36"/>
  <c r="F43" i="67"/>
  <c r="L47" i="67"/>
  <c r="S37" i="34" l="1"/>
  <c r="F3" i="35"/>
  <c r="G1" i="87"/>
  <c r="J7" i="33"/>
  <c r="C65" i="40"/>
  <c r="F7" i="33"/>
  <c r="F63" i="40"/>
  <c r="F65" i="40" s="1"/>
  <c r="D65" i="40"/>
  <c r="E8" i="6"/>
  <c r="E56" i="39" s="1"/>
  <c r="I4" i="6"/>
  <c r="G3" i="43" s="1"/>
  <c r="D50" i="43"/>
  <c r="D53" i="43"/>
  <c r="F27" i="6"/>
  <c r="F31" i="6" s="1"/>
  <c r="S33" i="33"/>
  <c r="G5" i="3"/>
  <c r="B3" i="3" s="1"/>
  <c r="E13" i="3" s="1"/>
  <c r="E15" i="6"/>
  <c r="E11" i="6"/>
  <c r="E61" i="39" s="1"/>
  <c r="E14" i="6"/>
  <c r="E64" i="39" s="1"/>
  <c r="E51" i="40"/>
  <c r="D127" i="9"/>
  <c r="D13" i="52" s="1"/>
  <c r="I14" i="74"/>
  <c r="B8" i="74" s="1"/>
  <c r="U7" i="33"/>
  <c r="G63" i="40"/>
  <c r="E30" i="6"/>
  <c r="AZ521" i="3"/>
  <c r="AC17" i="21"/>
  <c r="W17" i="21"/>
  <c r="AB33" i="21"/>
  <c r="U33" i="21"/>
  <c r="L27" i="6"/>
  <c r="E415" i="3"/>
  <c r="AA23" i="21"/>
  <c r="AA23" i="37"/>
  <c r="AA11" i="37"/>
  <c r="T10" i="1"/>
  <c r="T12" i="1"/>
  <c r="S27" i="36"/>
  <c r="W39" i="39"/>
  <c r="S30" i="40"/>
  <c r="C13" i="12"/>
  <c r="C77" i="85"/>
  <c r="C74" i="85" s="1"/>
  <c r="C77" i="84"/>
  <c r="C74" i="84" s="1"/>
  <c r="C77" i="82"/>
  <c r="C74" i="82" s="1"/>
  <c r="AA25" i="21"/>
  <c r="U13" i="33"/>
  <c r="AB45" i="33"/>
  <c r="AA14" i="34"/>
  <c r="AB46" i="34"/>
  <c r="W31" i="34"/>
  <c r="AB30" i="21"/>
  <c r="U31" i="34"/>
  <c r="U23" i="40"/>
  <c r="U33" i="35"/>
  <c r="AC34" i="36"/>
  <c r="AC11" i="40"/>
  <c r="AB12" i="33"/>
  <c r="W33" i="33"/>
  <c r="S34" i="34"/>
  <c r="W28" i="35"/>
  <c r="U14" i="37"/>
  <c r="W31" i="37"/>
  <c r="W25" i="37"/>
  <c r="E77" i="33"/>
  <c r="F77" i="33" s="1"/>
  <c r="G77" i="33" s="1"/>
  <c r="F15" i="33"/>
  <c r="E117" i="33"/>
  <c r="F117" i="33" s="1"/>
  <c r="G117" i="33" s="1"/>
  <c r="J39" i="33"/>
  <c r="AC39" i="33" s="1"/>
  <c r="J34" i="35"/>
  <c r="H34" i="35"/>
  <c r="F34" i="35"/>
  <c r="F25" i="37"/>
  <c r="BA551" i="3"/>
  <c r="F30" i="68"/>
  <c r="C30" i="68" s="1"/>
  <c r="D68" i="85"/>
  <c r="F54" i="85"/>
  <c r="F53" i="85"/>
  <c r="F52" i="85"/>
  <c r="F52" i="84"/>
  <c r="F52" i="82"/>
  <c r="D68" i="84"/>
  <c r="F54" i="84"/>
  <c r="F53" i="84"/>
  <c r="D68" i="82"/>
  <c r="F54" i="82"/>
  <c r="F53" i="82"/>
  <c r="E107" i="34"/>
  <c r="F107" i="34" s="1"/>
  <c r="G107" i="34" s="1"/>
  <c r="H107" i="34" s="1"/>
  <c r="I107" i="34" s="1"/>
  <c r="J107" i="34" s="1"/>
  <c r="K107" i="34" s="1"/>
  <c r="L107" i="34" s="1"/>
  <c r="M107" i="34" s="1"/>
  <c r="F35" i="34"/>
  <c r="AA35" i="34" s="1"/>
  <c r="H36" i="35"/>
  <c r="J36" i="35"/>
  <c r="BL550" i="3"/>
  <c r="AZ550" i="3" s="1"/>
  <c r="BL15" i="3"/>
  <c r="AZ15" i="3" s="1"/>
  <c r="AZ399" i="3"/>
  <c r="AZ404"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414" i="3"/>
  <c r="AZ416" i="3"/>
  <c r="AZ418" i="3"/>
  <c r="AZ422" i="3"/>
  <c r="AZ430" i="3"/>
  <c r="AZ432" i="3"/>
  <c r="AZ434" i="3"/>
  <c r="AZ445" i="3"/>
  <c r="AZ447" i="3"/>
  <c r="AZ449" i="3"/>
  <c r="AZ453" i="3"/>
  <c r="AZ455" i="3"/>
  <c r="J49" i="43"/>
  <c r="D49" i="43"/>
  <c r="J56" i="43"/>
  <c r="D56" i="43"/>
  <c r="AA21" i="21"/>
  <c r="S21" i="21"/>
  <c r="AA18" i="35"/>
  <c r="S18" i="35"/>
  <c r="AA25" i="40"/>
  <c r="S25" i="40"/>
  <c r="C13" i="71"/>
  <c r="Y13" i="71"/>
  <c r="Z13" i="71" s="1"/>
  <c r="X11" i="71"/>
  <c r="X13" i="71"/>
  <c r="X10" i="71"/>
  <c r="E15" i="71"/>
  <c r="E16" i="71" s="1"/>
  <c r="E17" i="71" s="1"/>
  <c r="U17" i="71" s="1"/>
  <c r="AA14" i="71"/>
  <c r="AA19" i="71"/>
  <c r="AA18" i="71"/>
  <c r="AB23" i="71"/>
  <c r="AB22" i="71"/>
  <c r="Z12" i="43"/>
  <c r="Z10" i="43"/>
  <c r="AD12" i="43"/>
  <c r="AD10" i="43"/>
  <c r="AF12" i="43"/>
  <c r="AF10" i="43"/>
  <c r="AH12" i="43"/>
  <c r="AH10" i="43"/>
  <c r="AB12" i="71"/>
  <c r="Y12" i="71"/>
  <c r="Z12" i="71" s="1"/>
  <c r="Y11" i="71"/>
  <c r="Z11" i="71" s="1"/>
  <c r="X9" i="71"/>
  <c r="AB6" i="71"/>
  <c r="AB7" i="71"/>
  <c r="D78" i="9"/>
  <c r="D78" i="85"/>
  <c r="D93" i="85"/>
  <c r="D93" i="84"/>
  <c r="D93" i="82"/>
  <c r="D78" i="84"/>
  <c r="D78" i="82"/>
  <c r="A15" i="62"/>
  <c r="B61" i="72" s="1"/>
  <c r="AZ38" i="3"/>
  <c r="AZ48" i="3"/>
  <c r="AZ52" i="3"/>
  <c r="AZ64" i="3"/>
  <c r="AZ68" i="3"/>
  <c r="AZ108" i="3"/>
  <c r="J51" i="43"/>
  <c r="D51" i="43"/>
  <c r="N108" i="43"/>
  <c r="N100" i="43"/>
  <c r="D24" i="67"/>
  <c r="D22" i="67"/>
  <c r="W21" i="21"/>
  <c r="AC21" i="37"/>
  <c r="U18" i="35"/>
  <c r="W25" i="40"/>
  <c r="AA13" i="71"/>
  <c r="AA3" i="71"/>
  <c r="E13" i="71"/>
  <c r="AA12" i="71"/>
  <c r="Y3" i="71"/>
  <c r="Z3" i="71" s="1"/>
  <c r="M19" i="43"/>
  <c r="D25" i="71"/>
  <c r="AB14" i="71"/>
  <c r="X14" i="71"/>
  <c r="F16" i="71"/>
  <c r="F17" i="71" s="1"/>
  <c r="V17" i="71" s="1"/>
  <c r="X15" i="71"/>
  <c r="AA15" i="71"/>
  <c r="AA17" i="71"/>
  <c r="Y20" i="71"/>
  <c r="Z20" i="71" s="1"/>
  <c r="Y18" i="71"/>
  <c r="Z18" i="71" s="1"/>
  <c r="Y15" i="71"/>
  <c r="Z15" i="71" s="1"/>
  <c r="Y14" i="71"/>
  <c r="Z14" i="71" s="1"/>
  <c r="C21" i="71"/>
  <c r="AB20" i="71"/>
  <c r="X18" i="71"/>
  <c r="X19" i="71"/>
  <c r="X21" i="71"/>
  <c r="AB21" i="71"/>
  <c r="AB16" i="71"/>
  <c r="B23" i="71"/>
  <c r="B24" i="71" s="1"/>
  <c r="B25" i="71" s="1"/>
  <c r="S25" i="71" s="1"/>
  <c r="X22" i="71"/>
  <c r="S53" i="71"/>
  <c r="B52" i="71"/>
  <c r="N53" i="71"/>
  <c r="T57" i="71"/>
  <c r="C56" i="71"/>
  <c r="T65" i="71"/>
  <c r="C64" i="71"/>
  <c r="AJ10" i="43"/>
  <c r="Y10" i="71"/>
  <c r="Z10" i="71" s="1"/>
  <c r="Y7" i="71"/>
  <c r="Z7" i="71" s="1"/>
  <c r="Y9" i="71"/>
  <c r="Z9" i="71" s="1"/>
  <c r="AA9" i="71"/>
  <c r="AA6" i="71"/>
  <c r="AA7" i="71"/>
  <c r="AA10" i="71"/>
  <c r="AB9" i="71"/>
  <c r="AB10" i="71"/>
  <c r="Y8" i="71"/>
  <c r="Z8" i="71" s="1"/>
  <c r="AA8" i="71"/>
  <c r="AB8" i="71"/>
  <c r="X8" i="71"/>
  <c r="F7" i="71"/>
  <c r="X6" i="71"/>
  <c r="X5" i="71"/>
  <c r="M47" i="85"/>
  <c r="M47" i="84"/>
  <c r="M47" i="82"/>
  <c r="C7" i="81"/>
  <c r="C59" i="81" s="1"/>
  <c r="J51" i="78"/>
  <c r="J51" i="77"/>
  <c r="C51" i="10"/>
  <c r="A118" i="85"/>
  <c r="A2" i="85"/>
  <c r="A118" i="84"/>
  <c r="A2" i="84"/>
  <c r="A118" i="82"/>
  <c r="A2" i="82"/>
  <c r="E20" i="71"/>
  <c r="E21" i="71" s="1"/>
  <c r="U21" i="71" s="1"/>
  <c r="Y16" i="71"/>
  <c r="Z16" i="71" s="1"/>
  <c r="X16" i="71"/>
  <c r="X17" i="71"/>
  <c r="AB17" i="71"/>
  <c r="AB19" i="71"/>
  <c r="AB18" i="71"/>
  <c r="AA20" i="71"/>
  <c r="AA21" i="71"/>
  <c r="C32" i="71"/>
  <c r="D32" i="71" s="1"/>
  <c r="D31" i="71"/>
  <c r="AC12" i="43"/>
  <c r="AC10" i="43"/>
  <c r="AG12" i="43"/>
  <c r="AG10" i="43"/>
  <c r="T9" i="71"/>
  <c r="D9" i="71"/>
  <c r="U9" i="71" s="1"/>
  <c r="C8" i="71"/>
  <c r="X7" i="71"/>
  <c r="Y6" i="71"/>
  <c r="Z6" i="71" s="1"/>
  <c r="AA5" i="71"/>
  <c r="M56" i="9"/>
  <c r="N56" i="85"/>
  <c r="K56" i="85"/>
  <c r="M56" i="85"/>
  <c r="J56" i="85"/>
  <c r="J57" i="85" s="1"/>
  <c r="J59" i="85" s="1"/>
  <c r="J61" i="85" s="1"/>
  <c r="M56" i="84"/>
  <c r="J56" i="84"/>
  <c r="J57" i="84" s="1"/>
  <c r="J59" i="84" s="1"/>
  <c r="J61" i="84" s="1"/>
  <c r="M56" i="82"/>
  <c r="J56" i="82"/>
  <c r="J57" i="82" s="1"/>
  <c r="J59" i="82" s="1"/>
  <c r="J61" i="82" s="1"/>
  <c r="N56" i="84"/>
  <c r="K56" i="84"/>
  <c r="N56" i="82"/>
  <c r="K56" i="82"/>
  <c r="AB5" i="71"/>
  <c r="C9" i="68"/>
  <c r="E59" i="43"/>
  <c r="B57" i="43" s="1"/>
  <c r="E10" i="43"/>
  <c r="E11" i="43"/>
  <c r="E9" i="43"/>
  <c r="E8" i="43"/>
  <c r="H52" i="43"/>
  <c r="H54" i="43"/>
  <c r="H51" i="43"/>
  <c r="H53" i="43"/>
  <c r="H50" i="43"/>
  <c r="H55" i="43"/>
  <c r="H56" i="43"/>
  <c r="H48" i="43"/>
  <c r="H74" i="43"/>
  <c r="H49" i="43"/>
  <c r="J53" i="15"/>
  <c r="F1" i="15" s="1"/>
  <c r="Q16" i="1"/>
  <c r="F27" i="69" s="1"/>
  <c r="C47" i="69" s="1"/>
  <c r="D45" i="69" s="1"/>
  <c r="T8" i="1"/>
  <c r="AR8" i="1"/>
  <c r="W39" i="33"/>
  <c r="U36" i="33"/>
  <c r="AA36" i="33"/>
  <c r="S28" i="33"/>
  <c r="W25" i="33"/>
  <c r="AC23" i="33"/>
  <c r="AB21" i="33"/>
  <c r="AA21" i="33"/>
  <c r="W21" i="33"/>
  <c r="AA19" i="33"/>
  <c r="AB19" i="33"/>
  <c r="W19" i="33"/>
  <c r="AB17" i="33"/>
  <c r="U10" i="33"/>
  <c r="AA10" i="33"/>
  <c r="S9" i="33"/>
  <c r="AB34" i="33"/>
  <c r="AC27" i="33"/>
  <c r="S27" i="33"/>
  <c r="S25" i="33"/>
  <c r="AA17" i="33"/>
  <c r="AC10" i="33"/>
  <c r="S42" i="33"/>
  <c r="S38" i="33"/>
  <c r="U35" i="33"/>
  <c r="AA34" i="33"/>
  <c r="AC32" i="33"/>
  <c r="S32" i="33"/>
  <c r="U32" i="33"/>
  <c r="AC28" i="33"/>
  <c r="U27" i="33"/>
  <c r="AB26" i="33"/>
  <c r="S26" i="33"/>
  <c r="U25" i="33"/>
  <c r="C16" i="43"/>
  <c r="D5" i="43" s="1"/>
  <c r="S44" i="34"/>
  <c r="U44" i="34"/>
  <c r="AB41" i="34"/>
  <c r="AC39" i="34"/>
  <c r="S35" i="34"/>
  <c r="AB33" i="34"/>
  <c r="AA33" i="34"/>
  <c r="S28" i="34"/>
  <c r="U21" i="34"/>
  <c r="S21" i="34"/>
  <c r="AB17" i="34"/>
  <c r="W41" i="34"/>
  <c r="AA41" i="34"/>
  <c r="AC17" i="34"/>
  <c r="U10" i="34"/>
  <c r="W10" i="34"/>
  <c r="W9" i="34"/>
  <c r="AB45" i="34"/>
  <c r="AA45" i="34"/>
  <c r="AA39" i="34"/>
  <c r="AC36" i="34"/>
  <c r="W33" i="34"/>
  <c r="S27" i="34"/>
  <c r="AC11" i="34"/>
  <c r="AA11" i="34"/>
  <c r="AB11" i="34"/>
  <c r="M20" i="79"/>
  <c r="F34" i="79"/>
  <c r="F62" i="79" s="1"/>
  <c r="M20" i="78"/>
  <c r="F34" i="77"/>
  <c r="F62" i="77" s="1"/>
  <c r="M20" i="77"/>
  <c r="F34" i="78"/>
  <c r="F62" i="78" s="1"/>
  <c r="M20" i="15"/>
  <c r="C94" i="9"/>
  <c r="C92" i="9"/>
  <c r="F32" i="15"/>
  <c r="F60" i="15" s="1"/>
  <c r="F31" i="12"/>
  <c r="C31" i="12" s="1"/>
  <c r="F32" i="67"/>
  <c r="F60" i="67" s="1"/>
  <c r="F30" i="11"/>
  <c r="C48" i="11" s="1"/>
  <c r="D68" i="9"/>
  <c r="M18" i="15"/>
  <c r="F30" i="69"/>
  <c r="C48" i="69" s="1"/>
  <c r="F28" i="67"/>
  <c r="C28" i="67" s="1"/>
  <c r="F32" i="78"/>
  <c r="F60" i="78" s="1"/>
  <c r="F32" i="79"/>
  <c r="F60" i="79" s="1"/>
  <c r="F28" i="79"/>
  <c r="C28" i="79" s="1"/>
  <c r="M18" i="79"/>
  <c r="F28" i="78"/>
  <c r="C28" i="78" s="1"/>
  <c r="M18" i="78"/>
  <c r="F32" i="77"/>
  <c r="F60" i="77" s="1"/>
  <c r="F28" i="77"/>
  <c r="C28" i="77" s="1"/>
  <c r="M18" i="77"/>
  <c r="C30" i="11"/>
  <c r="F54" i="9"/>
  <c r="C48" i="68"/>
  <c r="F28" i="15"/>
  <c r="C28" i="15" s="1"/>
  <c r="M18" i="67"/>
  <c r="F52" i="9"/>
  <c r="F53" i="9"/>
  <c r="E19" i="11"/>
  <c r="G1" i="79"/>
  <c r="G1" i="78"/>
  <c r="G1" i="77"/>
  <c r="E361" i="3"/>
  <c r="E511" i="3"/>
  <c r="AK6" i="3"/>
  <c r="E306" i="3"/>
  <c r="E296" i="3"/>
  <c r="E262" i="3"/>
  <c r="E136" i="3"/>
  <c r="E236" i="3"/>
  <c r="E290" i="3"/>
  <c r="E161" i="3"/>
  <c r="E117" i="3"/>
  <c r="E120" i="3"/>
  <c r="E45" i="3"/>
  <c r="E277" i="3"/>
  <c r="E224" i="3"/>
  <c r="E177" i="3"/>
  <c r="E193" i="3"/>
  <c r="E133" i="3"/>
  <c r="E105" i="3"/>
  <c r="E313" i="3"/>
  <c r="E369" i="3"/>
  <c r="E330" i="3"/>
  <c r="E393" i="3"/>
  <c r="E519" i="3"/>
  <c r="E525" i="3"/>
  <c r="K6" i="3"/>
  <c r="E493" i="3"/>
  <c r="E532" i="3"/>
  <c r="E534" i="3"/>
  <c r="Q6" i="3"/>
  <c r="E564" i="3"/>
  <c r="E573" i="3"/>
  <c r="T6" i="3"/>
  <c r="E560" i="3"/>
  <c r="E543" i="3"/>
  <c r="E529" i="3"/>
  <c r="E405" i="3"/>
  <c r="E60" i="40"/>
  <c r="E65" i="39"/>
  <c r="E13"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O7" i="1"/>
  <c r="P7" i="1" s="1"/>
  <c r="E59" i="40"/>
  <c r="F22" i="43"/>
  <c r="K101" i="43"/>
  <c r="F101" i="43"/>
  <c r="N101" i="43"/>
  <c r="E22" i="43"/>
  <c r="C101" i="43"/>
  <c r="N104" i="46"/>
  <c r="H22" i="43"/>
  <c r="H101" i="43"/>
  <c r="H109" i="43" s="1"/>
  <c r="C23" i="43" s="1"/>
  <c r="C21" i="43" s="1"/>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J101" i="43"/>
  <c r="L101" i="43"/>
  <c r="L109" i="43" s="1"/>
  <c r="D101" i="43"/>
  <c r="M101" i="43"/>
  <c r="I101" i="43"/>
  <c r="E101" i="43"/>
  <c r="C36" i="69"/>
  <c r="AZ13" i="3"/>
  <c r="M11" i="1"/>
  <c r="AQ11" i="1"/>
  <c r="T11" i="1"/>
  <c r="AR11" i="1"/>
  <c r="P12" i="1"/>
  <c r="K14" i="1"/>
  <c r="K16" i="1" s="1"/>
  <c r="D9" i="11"/>
  <c r="C9" i="11" s="1"/>
  <c r="D19" i="12"/>
  <c r="C19" i="12" s="1"/>
  <c r="O9" i="1"/>
  <c r="P9" i="1" s="1"/>
  <c r="O8" i="1"/>
  <c r="P8" i="1" s="1"/>
  <c r="C5" i="43"/>
  <c r="D12" i="52"/>
  <c r="F59" i="34"/>
  <c r="F52" i="37"/>
  <c r="E46" i="36"/>
  <c r="D58" i="21"/>
  <c r="G48" i="35"/>
  <c r="C70" i="39"/>
  <c r="D68" i="39"/>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C4" i="4" s="1"/>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F40" i="87"/>
  <c r="F43" i="77"/>
  <c r="F9" i="79"/>
  <c r="F43" i="87"/>
  <c r="L47" i="78"/>
  <c r="F6" i="79"/>
  <c r="L48" i="87"/>
  <c r="M28" i="79"/>
  <c r="F37" i="79"/>
  <c r="F36" i="87"/>
  <c r="L48" i="78"/>
  <c r="M29" i="78"/>
  <c r="J15" i="79"/>
  <c r="F6" i="78"/>
  <c r="F38" i="87"/>
  <c r="F40" i="79"/>
  <c r="M26" i="79"/>
  <c r="F7" i="87"/>
  <c r="F7" i="78"/>
  <c r="M22" i="87"/>
  <c r="F43" i="79"/>
  <c r="M28" i="78"/>
  <c r="M9" i="79"/>
  <c r="F9" i="87"/>
  <c r="F36" i="79"/>
  <c r="F42" i="77"/>
  <c r="M28" i="77"/>
  <c r="F26" i="77"/>
  <c r="F7" i="77"/>
  <c r="M24" i="77"/>
  <c r="M24" i="79"/>
  <c r="M9" i="78"/>
  <c r="F36" i="77"/>
  <c r="M26" i="78"/>
  <c r="F40" i="77"/>
  <c r="F26" i="78"/>
  <c r="C36" i="68"/>
  <c r="J15" i="77"/>
  <c r="M29" i="77"/>
  <c r="M24" i="78"/>
  <c r="C16" i="67"/>
  <c r="L47" i="79"/>
  <c r="F42" i="79"/>
  <c r="M6" i="78"/>
  <c r="F16" i="77"/>
  <c r="M24" i="87"/>
  <c r="M22" i="79"/>
  <c r="L47" i="77"/>
  <c r="F8" i="78"/>
  <c r="F8" i="79"/>
  <c r="C76" i="78"/>
  <c r="M8" i="87"/>
  <c r="F26" i="79"/>
  <c r="F38" i="77"/>
  <c r="F37" i="77"/>
  <c r="M23" i="77"/>
  <c r="M9" i="87"/>
  <c r="F42" i="87"/>
  <c r="M22" i="78"/>
  <c r="F37" i="87"/>
  <c r="M29" i="79"/>
  <c r="M23" i="78"/>
  <c r="F38" i="79"/>
  <c r="L48" i="77"/>
  <c r="F8" i="87"/>
  <c r="F13" i="77"/>
  <c r="F16" i="79"/>
  <c r="M28" i="87"/>
  <c r="M8" i="77"/>
  <c r="M9" i="77"/>
  <c r="M27" i="87"/>
  <c r="M8" i="79"/>
  <c r="F27" i="68"/>
  <c r="F13" i="87"/>
  <c r="F16" i="78"/>
  <c r="F36" i="78"/>
  <c r="M27" i="78"/>
  <c r="M8" i="78"/>
  <c r="J15" i="87"/>
  <c r="F38" i="78"/>
  <c r="F9" i="77"/>
  <c r="F26" i="87"/>
  <c r="M22" i="77"/>
  <c r="M26" i="77"/>
  <c r="C76" i="87"/>
  <c r="F7" i="79"/>
  <c r="M23" i="87"/>
  <c r="G1" i="73"/>
  <c r="F40" i="78"/>
  <c r="M26" i="87"/>
  <c r="M23" i="79"/>
  <c r="F37" i="78"/>
  <c r="M29" i="87"/>
  <c r="C76" i="79"/>
  <c r="C16" i="15"/>
  <c r="L47" i="87"/>
  <c r="F9" i="78"/>
  <c r="C76" i="77"/>
  <c r="F41" i="79"/>
  <c r="F8" i="77"/>
  <c r="M6" i="87"/>
  <c r="F43" i="78"/>
  <c r="M27" i="79"/>
  <c r="F13" i="78"/>
  <c r="J15" i="78"/>
  <c r="F41" i="67"/>
  <c r="F13" i="79"/>
  <c r="F42" i="78"/>
  <c r="M6" i="79"/>
  <c r="F16" i="87"/>
  <c r="L48" i="79"/>
  <c r="Q71" i="87" l="1"/>
  <c r="C27" i="87"/>
  <c r="F65" i="87"/>
  <c r="F51" i="87"/>
  <c r="N59" i="87"/>
  <c r="L59" i="87"/>
  <c r="M59" i="87"/>
  <c r="L58" i="87"/>
  <c r="F64" i="87"/>
  <c r="F66" i="87"/>
  <c r="F50" i="87"/>
  <c r="M7" i="87"/>
  <c r="J6" i="87" s="1"/>
  <c r="F68" i="87"/>
  <c r="F71" i="87"/>
  <c r="L57" i="87"/>
  <c r="J53" i="87"/>
  <c r="I54" i="87"/>
  <c r="L56" i="87"/>
  <c r="J57" i="87"/>
  <c r="J55" i="87" s="1"/>
  <c r="J58" i="87" s="1"/>
  <c r="Q50" i="87" s="1"/>
  <c r="L60" i="87"/>
  <c r="F11" i="87"/>
  <c r="M11" i="87"/>
  <c r="W7" i="33"/>
  <c r="AC7" i="33"/>
  <c r="S7" i="33"/>
  <c r="AA7" i="33"/>
  <c r="F69" i="67"/>
  <c r="E434" i="3"/>
  <c r="E16" i="3"/>
  <c r="E124" i="3"/>
  <c r="E227" i="3"/>
  <c r="E173" i="3"/>
  <c r="E116" i="3"/>
  <c r="E197" i="3"/>
  <c r="E238" i="3"/>
  <c r="E223" i="3"/>
  <c r="E85" i="3"/>
  <c r="E140" i="3"/>
  <c r="E180" i="3"/>
  <c r="E221" i="3"/>
  <c r="E148" i="3"/>
  <c r="E156" i="3"/>
  <c r="E196" i="3"/>
  <c r="E244" i="3"/>
  <c r="E368" i="3"/>
  <c r="E453" i="3"/>
  <c r="E549" i="3"/>
  <c r="E536" i="3"/>
  <c r="I6" i="3"/>
  <c r="E568" i="3"/>
  <c r="E399" i="3"/>
  <c r="E278" i="3"/>
  <c r="E303" i="3"/>
  <c r="E397" i="3"/>
  <c r="E280" i="3"/>
  <c r="E347" i="3"/>
  <c r="E528" i="3"/>
  <c r="E535" i="3"/>
  <c r="AN6" i="3"/>
  <c r="E157" i="3"/>
  <c r="E314" i="3"/>
  <c r="E293" i="3"/>
  <c r="E246" i="3"/>
  <c r="E336" i="3"/>
  <c r="AA6" i="3"/>
  <c r="E503" i="3"/>
  <c r="E183" i="3"/>
  <c r="E261" i="3"/>
  <c r="E172" i="3"/>
  <c r="E567" i="3"/>
  <c r="E353" i="3"/>
  <c r="E402" i="3"/>
  <c r="E159" i="3"/>
  <c r="E253" i="3"/>
  <c r="E228" i="3"/>
  <c r="E77" i="3"/>
  <c r="E199" i="3"/>
  <c r="X6" i="3"/>
  <c r="E583" i="3"/>
  <c r="E302" i="3"/>
  <c r="E17" i="3"/>
  <c r="E213" i="3"/>
  <c r="E565" i="3"/>
  <c r="E304" i="3"/>
  <c r="E237" i="3"/>
  <c r="E563" i="3"/>
  <c r="E445" i="3"/>
  <c r="E539" i="3"/>
  <c r="E461" i="3"/>
  <c r="E165" i="3"/>
  <c r="E495" i="3"/>
  <c r="E586" i="3"/>
  <c r="E350" i="3"/>
  <c r="E301" i="3"/>
  <c r="E99" i="3"/>
  <c r="E181" i="3"/>
  <c r="E149" i="3"/>
  <c r="E212" i="3"/>
  <c r="E167" i="3"/>
  <c r="E141" i="3"/>
  <c r="E154" i="3"/>
  <c r="E373" i="3"/>
  <c r="E341" i="3"/>
  <c r="E21" i="3"/>
  <c r="E222" i="3"/>
  <c r="E51" i="3"/>
  <c r="E87" i="3"/>
  <c r="E521" i="3"/>
  <c r="E82" i="3"/>
  <c r="E323" i="3"/>
  <c r="E179" i="3"/>
  <c r="E19" i="3"/>
  <c r="Y6" i="3"/>
  <c r="E233" i="3"/>
  <c r="E266" i="3"/>
  <c r="E513" i="3"/>
  <c r="E309" i="3"/>
  <c r="E283" i="3"/>
  <c r="E264" i="3"/>
  <c r="E118" i="3"/>
  <c r="E81" i="3"/>
  <c r="E63" i="3"/>
  <c r="E68" i="3"/>
  <c r="E381" i="3"/>
  <c r="E355" i="3"/>
  <c r="E184" i="3"/>
  <c r="E584" i="3"/>
  <c r="E103" i="3"/>
  <c r="E284" i="3"/>
  <c r="E250" i="3"/>
  <c r="E127" i="3"/>
  <c r="E24" i="3"/>
  <c r="E386" i="3"/>
  <c r="E248" i="3"/>
  <c r="E110" i="3"/>
  <c r="E48" i="3"/>
  <c r="E66" i="3"/>
  <c r="E354" i="3"/>
  <c r="E307" i="3"/>
  <c r="E209" i="3"/>
  <c r="E163" i="3"/>
  <c r="E425" i="3"/>
  <c r="E572" i="3"/>
  <c r="E144" i="3"/>
  <c r="E33" i="3"/>
  <c r="E67" i="3"/>
  <c r="E84" i="3"/>
  <c r="E23" i="3"/>
  <c r="E492" i="3"/>
  <c r="E310" i="3"/>
  <c r="E371" i="3"/>
  <c r="E300" i="3"/>
  <c r="E249" i="3"/>
  <c r="E267" i="3"/>
  <c r="E200" i="3"/>
  <c r="E195" i="3"/>
  <c r="E64" i="3"/>
  <c r="E540" i="3"/>
  <c r="E58" i="3"/>
  <c r="E316" i="3"/>
  <c r="E142" i="3"/>
  <c r="E160" i="3"/>
  <c r="E46" i="3"/>
  <c r="E467" i="3"/>
  <c r="E462" i="3"/>
  <c r="E59" i="3"/>
  <c r="E76" i="3"/>
  <c r="E544" i="3"/>
  <c r="E334" i="3"/>
  <c r="E132" i="3"/>
  <c r="E138" i="3"/>
  <c r="E65" i="3"/>
  <c r="E98" i="3"/>
  <c r="E47" i="3"/>
  <c r="E446" i="3"/>
  <c r="E484" i="3"/>
  <c r="E441" i="3"/>
  <c r="E480" i="3"/>
  <c r="E29" i="3"/>
  <c r="E109" i="3"/>
  <c r="E44" i="3"/>
  <c r="E30" i="3"/>
  <c r="AM6" i="3"/>
  <c r="E384" i="3"/>
  <c r="E377" i="3"/>
  <c r="E297" i="3"/>
  <c r="E403" i="3"/>
  <c r="E317" i="3"/>
  <c r="E331" i="3"/>
  <c r="E259" i="3"/>
  <c r="E240" i="3"/>
  <c r="E88" i="3"/>
  <c r="E548" i="3"/>
  <c r="E504" i="3"/>
  <c r="E389" i="3"/>
  <c r="E375" i="3"/>
  <c r="E349" i="3"/>
  <c r="E378" i="3"/>
  <c r="E363" i="3"/>
  <c r="E348" i="3"/>
  <c r="E292" i="3"/>
  <c r="E241" i="3"/>
  <c r="E258" i="3"/>
  <c r="E192" i="3"/>
  <c r="E121" i="3"/>
  <c r="E404" i="3"/>
  <c r="E367" i="3"/>
  <c r="E575" i="3"/>
  <c r="E291" i="3"/>
  <c r="E273" i="3"/>
  <c r="E210" i="3"/>
  <c r="E295" i="3"/>
  <c r="E272" i="3"/>
  <c r="E211" i="3"/>
  <c r="E155" i="3"/>
  <c r="E182" i="3"/>
  <c r="E70" i="3"/>
  <c r="E28" i="3"/>
  <c r="E489" i="3"/>
  <c r="E547" i="3"/>
  <c r="E432" i="3"/>
  <c r="E411" i="3"/>
  <c r="E245" i="3"/>
  <c r="E186" i="3"/>
  <c r="E166" i="3"/>
  <c r="E126" i="3"/>
  <c r="E162" i="3"/>
  <c r="E92" i="3"/>
  <c r="E27" i="3"/>
  <c r="E71" i="3"/>
  <c r="E447" i="3"/>
  <c r="E546" i="3"/>
  <c r="E476" i="3"/>
  <c r="AS6" i="3"/>
  <c r="E505" i="3"/>
  <c r="E477" i="3"/>
  <c r="E414" i="3"/>
  <c r="E478" i="3"/>
  <c r="R6" i="3"/>
  <c r="E204" i="3"/>
  <c r="E128" i="3"/>
  <c r="E444" i="3"/>
  <c r="E531" i="3"/>
  <c r="E581" i="3"/>
  <c r="E557" i="3"/>
  <c r="E558" i="3"/>
  <c r="E345" i="3"/>
  <c r="E443" i="3"/>
  <c r="E400" i="3"/>
  <c r="P6" i="3"/>
  <c r="E485" i="3"/>
  <c r="E448" i="3"/>
  <c r="E502" i="3"/>
  <c r="E499" i="3"/>
  <c r="E286" i="3"/>
  <c r="E122" i="3"/>
  <c r="E578" i="3"/>
  <c r="E545"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52" i="3"/>
  <c r="E542" i="3"/>
  <c r="AD6" i="3"/>
  <c r="E312" i="3"/>
  <c r="E164" i="3"/>
  <c r="E252" i="3"/>
  <c r="E188" i="3"/>
  <c r="E382" i="3"/>
  <c r="E518" i="3"/>
  <c r="E352" i="3"/>
  <c r="E260" i="3"/>
  <c r="E69" i="3"/>
  <c r="E48" i="43"/>
  <c r="B46" i="43" s="1"/>
  <c r="C24" i="43" s="1"/>
  <c r="E62" i="39"/>
  <c r="E16" i="6"/>
  <c r="F27" i="11"/>
  <c r="C47" i="11" s="1"/>
  <c r="D45" i="11" s="1"/>
  <c r="E56" i="40"/>
  <c r="E114" i="3"/>
  <c r="E550" i="3"/>
  <c r="E510" i="3"/>
  <c r="AI6" i="3"/>
  <c r="E263" i="3"/>
  <c r="E269" i="3"/>
  <c r="E207" i="3"/>
  <c r="E145" i="3"/>
  <c r="E327" i="3"/>
  <c r="E576" i="3"/>
  <c r="Z6" i="3"/>
  <c r="AG6" i="3"/>
  <c r="AO6" i="3"/>
  <c r="E427" i="3"/>
  <c r="E456" i="3"/>
  <c r="E486" i="3"/>
  <c r="E469" i="3"/>
  <c r="E507" i="3"/>
  <c r="E512" i="3"/>
  <c r="E422" i="3"/>
  <c r="E408" i="3"/>
  <c r="E440" i="3"/>
  <c r="E451" i="3"/>
  <c r="E490" i="3"/>
  <c r="E360" i="3"/>
  <c r="E376" i="3"/>
  <c r="E556" i="3"/>
  <c r="AH6" i="3"/>
  <c r="E497" i="3"/>
  <c r="J6" i="3"/>
  <c r="E498" i="3"/>
  <c r="E494" i="3"/>
  <c r="E419" i="3"/>
  <c r="E452" i="3"/>
  <c r="E483" i="3"/>
  <c r="E470" i="3"/>
  <c r="E329" i="3"/>
  <c r="E423" i="3"/>
  <c r="E89" i="3"/>
  <c r="E107" i="3"/>
  <c r="E585" i="3"/>
  <c r="E515" i="3"/>
  <c r="E458" i="3"/>
  <c r="E474" i="3"/>
  <c r="E527" i="3"/>
  <c r="E438" i="3"/>
  <c r="E457" i="3"/>
  <c r="E288" i="3"/>
  <c r="E562" i="3"/>
  <c r="W6" i="3"/>
  <c r="E571" i="3"/>
  <c r="E537" i="3"/>
  <c r="E450" i="3"/>
  <c r="E471"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395" i="3"/>
  <c r="E191" i="3"/>
  <c r="E379" i="3"/>
  <c r="E437" i="3"/>
  <c r="E481" i="3"/>
  <c r="E424" i="3"/>
  <c r="E344" i="3"/>
  <c r="AE6" i="3"/>
  <c r="E429"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83" i="3"/>
  <c r="E205" i="3"/>
  <c r="E385" i="3"/>
  <c r="E271" i="3"/>
  <c r="U6" i="3"/>
  <c r="H6" i="3" s="1"/>
  <c r="E472" i="3"/>
  <c r="E406" i="3"/>
  <c r="E465" i="3"/>
  <c r="E587" i="3"/>
  <c r="E577" i="3"/>
  <c r="E468"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47" i="3"/>
  <c r="E340" i="3"/>
  <c r="E50" i="3"/>
  <c r="E62" i="3"/>
  <c r="E218" i="3"/>
  <c r="E365" i="3"/>
  <c r="E101" i="3"/>
  <c r="D59" i="81"/>
  <c r="E59" i="81" s="1"/>
  <c r="F59" i="81" s="1"/>
  <c r="G59" i="81" s="1"/>
  <c r="H59" i="81" s="1"/>
  <c r="I59" i="81" s="1"/>
  <c r="J59" i="81" s="1"/>
  <c r="K59" i="81" s="1"/>
  <c r="L59" i="81" s="1"/>
  <c r="M59" i="81" s="1"/>
  <c r="N59" i="81" s="1"/>
  <c r="O59" i="81" s="1"/>
  <c r="H7" i="81"/>
  <c r="J7" i="81"/>
  <c r="N52" i="71"/>
  <c r="B51" i="71"/>
  <c r="D21" i="71"/>
  <c r="T21" i="71"/>
  <c r="T13" i="71"/>
  <c r="D13" i="71"/>
  <c r="U13" i="71" s="1"/>
  <c r="C12" i="71"/>
  <c r="AB36" i="35"/>
  <c r="U36" i="35"/>
  <c r="AZ551" i="3"/>
  <c r="BA5" i="3"/>
  <c r="E27" i="6" s="1"/>
  <c r="AA34" i="35"/>
  <c r="S34" i="35"/>
  <c r="W34" i="35"/>
  <c r="AC34" i="35"/>
  <c r="BL5" i="3"/>
  <c r="G65" i="40"/>
  <c r="H63" i="40"/>
  <c r="AZ5" i="3"/>
  <c r="AY6" i="3" s="1"/>
  <c r="P22" i="43"/>
  <c r="P23" i="43"/>
  <c r="B71" i="39" s="1"/>
  <c r="C7" i="71"/>
  <c r="D8" i="71"/>
  <c r="D64" i="71"/>
  <c r="C63" i="71"/>
  <c r="D63" i="71" s="1"/>
  <c r="C55" i="71"/>
  <c r="D55" i="71" s="1"/>
  <c r="D56" i="71"/>
  <c r="E12" i="71"/>
  <c r="E11" i="71" s="1"/>
  <c r="V13" i="71"/>
  <c r="AC36" i="35"/>
  <c r="W36" i="35"/>
  <c r="AA25" i="37"/>
  <c r="S25" i="37"/>
  <c r="AB34" i="35"/>
  <c r="U34" i="35"/>
  <c r="AA15" i="33"/>
  <c r="S15" i="33"/>
  <c r="C29" i="68"/>
  <c r="D27" i="68" s="1"/>
  <c r="J53" i="78"/>
  <c r="L56" i="78" s="1"/>
  <c r="C29" i="69"/>
  <c r="D27" i="69" s="1"/>
  <c r="Q52" i="15"/>
  <c r="F28" i="12"/>
  <c r="C29" i="12" s="1"/>
  <c r="D28" i="12" s="1"/>
  <c r="R48" i="33"/>
  <c r="V48" i="33"/>
  <c r="I48" i="33" s="1"/>
  <c r="I52" i="33" s="1"/>
  <c r="J52" i="33" s="1"/>
  <c r="T48" i="33"/>
  <c r="G48" i="33" s="1"/>
  <c r="G52" i="33" s="1"/>
  <c r="H52" i="33" s="1"/>
  <c r="C47" i="68"/>
  <c r="D45" i="68" s="1"/>
  <c r="J53" i="77"/>
  <c r="L56" i="77" s="1"/>
  <c r="C30" i="69"/>
  <c r="N59" i="78"/>
  <c r="L58" i="78"/>
  <c r="L59" i="78"/>
  <c r="M59" i="78"/>
  <c r="C27" i="78"/>
  <c r="J57" i="78"/>
  <c r="J55" i="78" s="1"/>
  <c r="J58" i="78" s="1"/>
  <c r="Q50" i="78" s="1"/>
  <c r="I54" i="78"/>
  <c r="F68" i="78"/>
  <c r="F51" i="78"/>
  <c r="F66" i="78"/>
  <c r="Q71" i="78"/>
  <c r="C6" i="78"/>
  <c r="F65" i="78"/>
  <c r="F64" i="78"/>
  <c r="M7" i="78"/>
  <c r="J6" i="78" s="1"/>
  <c r="F50" i="78"/>
  <c r="F71" i="78"/>
  <c r="Q71" i="77"/>
  <c r="I54" i="77"/>
  <c r="J57" i="77"/>
  <c r="J55" i="77" s="1"/>
  <c r="J58" i="77" s="1"/>
  <c r="Q50" i="77" s="1"/>
  <c r="L59" i="77"/>
  <c r="M59" i="77"/>
  <c r="N59" i="77"/>
  <c r="L58" i="77"/>
  <c r="F66" i="77"/>
  <c r="C27" i="77"/>
  <c r="F65" i="77"/>
  <c r="F64" i="77"/>
  <c r="F68" i="77"/>
  <c r="F51" i="77"/>
  <c r="F71" i="77"/>
  <c r="M7" i="77"/>
  <c r="F50" i="77"/>
  <c r="Q71" i="79"/>
  <c r="F66" i="79"/>
  <c r="C6" i="79"/>
  <c r="C27" i="79"/>
  <c r="F65" i="79"/>
  <c r="F64" i="79"/>
  <c r="F68" i="79"/>
  <c r="I54" i="79"/>
  <c r="L56" i="79"/>
  <c r="J57" i="79"/>
  <c r="J55" i="79" s="1"/>
  <c r="J58" i="79" s="1"/>
  <c r="Q50" i="79" s="1"/>
  <c r="F51" i="79"/>
  <c r="N59" i="79"/>
  <c r="L58" i="79"/>
  <c r="L59" i="79"/>
  <c r="M59" i="79"/>
  <c r="M7" i="79"/>
  <c r="J6" i="79" s="1"/>
  <c r="F50" i="79"/>
  <c r="C49" i="79" s="1"/>
  <c r="F71" i="79"/>
  <c r="F69" i="79"/>
  <c r="E58" i="40"/>
  <c r="E63" i="39"/>
  <c r="E66" i="39" s="1"/>
  <c r="AC6" i="3"/>
  <c r="H103" i="43"/>
  <c r="L107" i="43"/>
  <c r="C29" i="11"/>
  <c r="D27" i="11" s="1"/>
  <c r="E102" i="43"/>
  <c r="E106" i="43"/>
  <c r="E103" i="43"/>
  <c r="E109" i="43"/>
  <c r="E104" i="43"/>
  <c r="E107" i="43"/>
  <c r="E105" i="43"/>
  <c r="M109" i="43"/>
  <c r="M102" i="43"/>
  <c r="M106" i="43"/>
  <c r="M103" i="43"/>
  <c r="M104" i="43"/>
  <c r="M107" i="43"/>
  <c r="M105" i="43"/>
  <c r="L105" i="43"/>
  <c r="L102" i="43"/>
  <c r="L104" i="43"/>
  <c r="G105" i="43"/>
  <c r="G102" i="43"/>
  <c r="G107" i="43"/>
  <c r="G104" i="43"/>
  <c r="G109" i="43"/>
  <c r="G103" i="43"/>
  <c r="G106" i="43"/>
  <c r="H107" i="43"/>
  <c r="H105" i="43"/>
  <c r="H106" i="43"/>
  <c r="H104" i="43"/>
  <c r="H102" i="43"/>
  <c r="L103" i="43"/>
  <c r="L106" i="43"/>
  <c r="I109" i="43"/>
  <c r="I104" i="43"/>
  <c r="I107" i="43"/>
  <c r="I105" i="43"/>
  <c r="I102" i="43"/>
  <c r="I106" i="43"/>
  <c r="I103" i="43"/>
  <c r="D109" i="43"/>
  <c r="D105" i="43"/>
  <c r="D106" i="43"/>
  <c r="D102" i="43"/>
  <c r="D103" i="43"/>
  <c r="D104" i="43"/>
  <c r="D107" i="43"/>
  <c r="J104" i="43"/>
  <c r="J107" i="43"/>
  <c r="J102" i="43"/>
  <c r="J106" i="43"/>
  <c r="J105" i="43"/>
  <c r="J103" i="43"/>
  <c r="J109" i="43"/>
  <c r="B115"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22" i="43"/>
  <c r="C104" i="43"/>
  <c r="C106" i="43"/>
  <c r="C107" i="43"/>
  <c r="C103" i="43"/>
  <c r="C102" i="43"/>
  <c r="C109" i="43"/>
  <c r="C105" i="43"/>
  <c r="N105" i="43"/>
  <c r="N107" i="43"/>
  <c r="N102" i="43"/>
  <c r="N103" i="43"/>
  <c r="N106" i="43"/>
  <c r="N104" i="43"/>
  <c r="N109" i="43"/>
  <c r="K102" i="43"/>
  <c r="K106" i="43"/>
  <c r="K103" i="43"/>
  <c r="K107" i="43"/>
  <c r="K104" i="43"/>
  <c r="K105" i="43"/>
  <c r="K109" i="43"/>
  <c r="F102" i="43"/>
  <c r="F103" i="43"/>
  <c r="F104" i="43"/>
  <c r="F107" i="43"/>
  <c r="F106" i="43"/>
  <c r="F105" i="43"/>
  <c r="F109" i="43"/>
  <c r="M14" i="1"/>
  <c r="M16" i="1" s="1"/>
  <c r="C34" i="69"/>
  <c r="O11" i="1"/>
  <c r="P11" i="1" s="1"/>
  <c r="F11" i="79"/>
  <c r="M11" i="79"/>
  <c r="F11" i="78"/>
  <c r="M11" i="78"/>
  <c r="F11" i="77"/>
  <c r="M11" i="77"/>
  <c r="K4" i="4"/>
  <c r="B46" i="48" s="1"/>
  <c r="B4" i="72" s="1"/>
  <c r="B4" i="62"/>
  <c r="B71" i="72" s="1"/>
  <c r="E58" i="21"/>
  <c r="F46" i="36"/>
  <c r="G52" i="37"/>
  <c r="G59" i="34"/>
  <c r="E68" i="39"/>
  <c r="D70" i="39"/>
  <c r="H48" i="35"/>
  <c r="P25" i="43"/>
  <c r="C49" i="67"/>
  <c r="C49" i="15"/>
  <c r="B40" i="1"/>
  <c r="M11" i="15"/>
  <c r="J10" i="15" s="1"/>
  <c r="J5" i="15" s="1"/>
  <c r="F11" i="67"/>
  <c r="F11" i="15"/>
  <c r="M11" i="67"/>
  <c r="J10" i="67" s="1"/>
  <c r="J5" i="67" s="1"/>
  <c r="Q73" i="67"/>
  <c r="Q60" i="67"/>
  <c r="P17" i="43"/>
  <c r="M17" i="43"/>
  <c r="G20" i="43" s="1"/>
  <c r="N17" i="43"/>
  <c r="O17" i="43"/>
  <c r="Q60" i="15"/>
  <c r="Q73" i="15"/>
  <c r="Q74" i="15"/>
  <c r="Q61" i="15"/>
  <c r="Q61" i="67"/>
  <c r="Q74" i="67"/>
  <c r="C16" i="87"/>
  <c r="C16" i="77"/>
  <c r="C16" i="78"/>
  <c r="F41" i="15"/>
  <c r="C16" i="79"/>
  <c r="J10" i="87" l="1"/>
  <c r="J5" i="87" s="1"/>
  <c r="J24" i="87" s="1"/>
  <c r="Q66" i="87"/>
  <c r="Q57" i="87"/>
  <c r="Q52" i="87"/>
  <c r="F1" i="87"/>
  <c r="Q60" i="87"/>
  <c r="Q73" i="87"/>
  <c r="Q74" i="87"/>
  <c r="Q61" i="87"/>
  <c r="C49" i="87"/>
  <c r="J26" i="87"/>
  <c r="F24" i="79"/>
  <c r="C24" i="79" s="1"/>
  <c r="F24" i="87"/>
  <c r="C53" i="87"/>
  <c r="C48" i="87" s="1"/>
  <c r="F7" i="81"/>
  <c r="AA7" i="81" s="1"/>
  <c r="R49" i="81" s="1"/>
  <c r="G7" i="1"/>
  <c r="G16" i="1" s="1"/>
  <c r="H16" i="1"/>
  <c r="E6" i="3"/>
  <c r="E3" i="6"/>
  <c r="M18" i="82" s="1"/>
  <c r="B118" i="82" s="1"/>
  <c r="D7" i="71"/>
  <c r="C6" i="71"/>
  <c r="H65" i="40"/>
  <c r="I63" i="40"/>
  <c r="N51" i="71"/>
  <c r="N50" i="71"/>
  <c r="W7" i="81"/>
  <c r="AC7" i="81"/>
  <c r="V49" i="81" s="1"/>
  <c r="I49" i="81" s="1"/>
  <c r="I53" i="81" s="1"/>
  <c r="J53" i="81" s="1"/>
  <c r="S7" i="81"/>
  <c r="M18" i="85"/>
  <c r="B118" i="85" s="1"/>
  <c r="M18" i="84"/>
  <c r="B118" i="84" s="1"/>
  <c r="K21" i="6"/>
  <c r="M21" i="6" s="1"/>
  <c r="I21" i="6" s="1"/>
  <c r="S21" i="6" s="1"/>
  <c r="K23" i="6"/>
  <c r="M23" i="6" s="1"/>
  <c r="I23" i="6" s="1"/>
  <c r="S23" i="6" s="1"/>
  <c r="E31" i="6"/>
  <c r="K24" i="6"/>
  <c r="M24" i="6" s="1"/>
  <c r="I24" i="6" s="1"/>
  <c r="S24" i="6" s="1"/>
  <c r="K26" i="6"/>
  <c r="M26" i="6" s="1"/>
  <c r="I26" i="6" s="1"/>
  <c r="S26" i="6" s="1"/>
  <c r="K19" i="6"/>
  <c r="K22" i="6"/>
  <c r="K25" i="6"/>
  <c r="M25" i="6" s="1"/>
  <c r="I25" i="6" s="1"/>
  <c r="S25" i="6" s="1"/>
  <c r="K20" i="6"/>
  <c r="C11" i="71"/>
  <c r="D11" i="71" s="1"/>
  <c r="D12" i="71"/>
  <c r="AB7" i="81"/>
  <c r="T49" i="81" s="1"/>
  <c r="G49" i="81" s="1"/>
  <c r="U7" i="81"/>
  <c r="F69" i="15"/>
  <c r="Q52" i="78"/>
  <c r="F1" i="78"/>
  <c r="S7" i="43"/>
  <c r="S2" i="43"/>
  <c r="S6" i="43"/>
  <c r="S4" i="43"/>
  <c r="S5" i="43"/>
  <c r="S3" i="43"/>
  <c r="E41" i="43"/>
  <c r="C41" i="43" s="1"/>
  <c r="C20" i="43"/>
  <c r="R49" i="33"/>
  <c r="C49" i="33" s="1"/>
  <c r="E48" i="33"/>
  <c r="I53" i="33" s="1"/>
  <c r="J53" i="33" s="1"/>
  <c r="G53" i="33"/>
  <c r="H53" i="33" s="1"/>
  <c r="F1" i="77"/>
  <c r="Q52" i="77"/>
  <c r="J10" i="78"/>
  <c r="J5" i="78" s="1"/>
  <c r="J26" i="78" s="1"/>
  <c r="J10" i="79"/>
  <c r="J5" i="79" s="1"/>
  <c r="J24" i="79" s="1"/>
  <c r="C49" i="78"/>
  <c r="Q73" i="79"/>
  <c r="Q60" i="79"/>
  <c r="Q74" i="77"/>
  <c r="Q61" i="77"/>
  <c r="Q74" i="78"/>
  <c r="Q61" i="78"/>
  <c r="Q74" i="79"/>
  <c r="Q61" i="79"/>
  <c r="Q73" i="77"/>
  <c r="Q60" i="77"/>
  <c r="Q73" i="78"/>
  <c r="Q60" i="78"/>
  <c r="C115" i="43"/>
  <c r="D113" i="43" s="1"/>
  <c r="D3" i="21"/>
  <c r="D3" i="33"/>
  <c r="D14" i="12"/>
  <c r="M18" i="9"/>
  <c r="B118" i="9" s="1"/>
  <c r="B14" i="74" s="1"/>
  <c r="B1" i="74" s="1"/>
  <c r="C8" i="74" s="1"/>
  <c r="D3" i="34"/>
  <c r="C17" i="4"/>
  <c r="B4" i="52" s="1"/>
  <c r="B43" i="72" s="1"/>
  <c r="C38" i="69"/>
  <c r="C35"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390" i="3"/>
  <c r="AY355" i="3"/>
  <c r="AY311" i="3"/>
  <c r="AY481" i="3"/>
  <c r="AY447" i="3"/>
  <c r="AY404" i="3"/>
  <c r="AY535" i="3"/>
  <c r="AY562" i="3"/>
  <c r="AY574" i="3"/>
  <c r="BO6" i="3"/>
  <c r="AY555"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212" i="3"/>
  <c r="AY379" i="3"/>
  <c r="AY343" i="3"/>
  <c r="AY326" i="3"/>
  <c r="AY478" i="3"/>
  <c r="AY436" i="3"/>
  <c r="AY417" i="3"/>
  <c r="AY557" i="3"/>
  <c r="AY573" i="3"/>
  <c r="AY540" i="3"/>
  <c r="AY539"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6" i="1"/>
  <c r="C34" i="11"/>
  <c r="L16" i="1"/>
  <c r="O14" i="1"/>
  <c r="O16" i="1" s="1"/>
  <c r="C53" i="79"/>
  <c r="C48" i="79" s="1"/>
  <c r="C10" i="79"/>
  <c r="C5" i="79" s="1"/>
  <c r="F24" i="77"/>
  <c r="F24" i="78"/>
  <c r="C53" i="78"/>
  <c r="C10" i="78"/>
  <c r="C5" i="78" s="1"/>
  <c r="I48" i="35"/>
  <c r="F68" i="39"/>
  <c r="E70" i="39"/>
  <c r="H52" i="37"/>
  <c r="H59" i="34"/>
  <c r="G46" i="36"/>
  <c r="F58" i="2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AE9" i="1"/>
  <c r="AE6" i="1"/>
  <c r="AE7" i="1"/>
  <c r="J18" i="87" l="1"/>
  <c r="AG6" i="1"/>
  <c r="C24" i="87"/>
  <c r="C66" i="87"/>
  <c r="C60" i="87"/>
  <c r="L18" i="82"/>
  <c r="J26" i="79"/>
  <c r="J29" i="79" s="1"/>
  <c r="D3" i="37"/>
  <c r="E6" i="6"/>
  <c r="D10" i="69" s="1"/>
  <c r="D37" i="11"/>
  <c r="C37" i="11" s="1"/>
  <c r="D19" i="11"/>
  <c r="C19" i="11" s="1"/>
  <c r="C20" i="11" s="1"/>
  <c r="C28" i="11" s="1"/>
  <c r="C27" i="11" s="1"/>
  <c r="J10" i="39"/>
  <c r="H10" i="40"/>
  <c r="H10" i="39"/>
  <c r="F10" i="40"/>
  <c r="J10" i="40"/>
  <c r="F10" i="39"/>
  <c r="J18" i="79"/>
  <c r="C48" i="78"/>
  <c r="C66" i="78" s="1"/>
  <c r="G53" i="81"/>
  <c r="H53" i="81" s="1"/>
  <c r="G54" i="81"/>
  <c r="H54" i="81" s="1"/>
  <c r="S6" i="1"/>
  <c r="M19" i="6"/>
  <c r="K27" i="6"/>
  <c r="E49" i="81"/>
  <c r="R50" i="81"/>
  <c r="I65" i="40"/>
  <c r="J63" i="40"/>
  <c r="C5" i="71"/>
  <c r="D5" i="71" s="1"/>
  <c r="M20" i="43" s="1"/>
  <c r="C19" i="43" s="1"/>
  <c r="D6" i="71"/>
  <c r="M19" i="82"/>
  <c r="C118" i="82" s="1"/>
  <c r="L19" i="82"/>
  <c r="M20" i="6"/>
  <c r="I20" i="6" s="1"/>
  <c r="H20" i="6" s="1"/>
  <c r="S7" i="1"/>
  <c r="M22" i="6"/>
  <c r="I22" i="6" s="1"/>
  <c r="S9" i="1"/>
  <c r="B2" i="33"/>
  <c r="B3" i="33" s="1"/>
  <c r="C48" i="33"/>
  <c r="E53" i="33"/>
  <c r="F53" i="33" s="1"/>
  <c r="E52" i="33"/>
  <c r="F52" i="33" s="1"/>
  <c r="J18" i="78"/>
  <c r="C24" i="77"/>
  <c r="J24" i="78"/>
  <c r="P14" i="1"/>
  <c r="P16" i="1" s="1"/>
  <c r="C11" i="12" s="1"/>
  <c r="C35" i="11"/>
  <c r="C38" i="11"/>
  <c r="F50" i="11"/>
  <c r="F50" i="68"/>
  <c r="F50" i="69"/>
  <c r="D25" i="6"/>
  <c r="D15" i="6"/>
  <c r="D22" i="6"/>
  <c r="D21" i="6"/>
  <c r="D24" i="6"/>
  <c r="D20" i="6"/>
  <c r="D9" i="6"/>
  <c r="D10" i="6"/>
  <c r="D29" i="6"/>
  <c r="H25" i="6"/>
  <c r="H22" i="6"/>
  <c r="H21" i="6"/>
  <c r="H24" i="6"/>
  <c r="D19" i="6"/>
  <c r="M19" i="9" s="1"/>
  <c r="C118" i="9" s="1"/>
  <c r="C14" i="74" s="1"/>
  <c r="D26" i="6"/>
  <c r="C18" i="4"/>
  <c r="D8" i="6"/>
  <c r="D23" i="6"/>
  <c r="D14" i="6"/>
  <c r="D5" i="6"/>
  <c r="D12" i="6"/>
  <c r="D11" i="6"/>
  <c r="D13" i="6"/>
  <c r="D28" i="6"/>
  <c r="E61" i="40"/>
  <c r="H23" i="6"/>
  <c r="H26" i="6"/>
  <c r="D17" i="12"/>
  <c r="C17" i="12" s="1"/>
  <c r="C14" i="12"/>
  <c r="C38" i="79"/>
  <c r="C32" i="79"/>
  <c r="C66" i="79"/>
  <c r="C60" i="79"/>
  <c r="C38" i="78"/>
  <c r="C32" i="78"/>
  <c r="C24" i="78"/>
  <c r="G58" i="21"/>
  <c r="H46" i="36"/>
  <c r="I59" i="34"/>
  <c r="I52" i="37"/>
  <c r="G68" i="39"/>
  <c r="F70" i="39"/>
  <c r="J48"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D10" i="68"/>
  <c r="F41" i="77"/>
  <c r="C14" i="67"/>
  <c r="C17" i="78"/>
  <c r="M27" i="77"/>
  <c r="C17" i="87"/>
  <c r="F41" i="87"/>
  <c r="C17" i="15"/>
  <c r="C17" i="67"/>
  <c r="C17" i="77"/>
  <c r="C17" i="79"/>
  <c r="F41" i="78"/>
  <c r="F69" i="87" l="1"/>
  <c r="J29" i="87"/>
  <c r="D10" i="11"/>
  <c r="C10" i="11" s="1"/>
  <c r="D6" i="6"/>
  <c r="D20" i="12"/>
  <c r="C20" i="12" s="1"/>
  <c r="C18" i="12" s="1"/>
  <c r="C18" i="67"/>
  <c r="C15" i="67"/>
  <c r="B2" i="74"/>
  <c r="D8" i="74" s="1"/>
  <c r="M19" i="85"/>
  <c r="C118" i="85" s="1"/>
  <c r="S22" i="6"/>
  <c r="L18" i="85"/>
  <c r="S20" i="6"/>
  <c r="L18" i="84"/>
  <c r="L19" i="84"/>
  <c r="M19" i="84"/>
  <c r="C118" i="84" s="1"/>
  <c r="L19" i="85"/>
  <c r="D30" i="6"/>
  <c r="AA10" i="39"/>
  <c r="S10" i="39"/>
  <c r="S10" i="40"/>
  <c r="AA10" i="40"/>
  <c r="U10" i="40"/>
  <c r="AB10" i="40"/>
  <c r="AC10" i="40"/>
  <c r="W10" i="40"/>
  <c r="U10" i="39"/>
  <c r="AB10" i="39"/>
  <c r="AC10" i="39"/>
  <c r="W10" i="39"/>
  <c r="C60" i="78"/>
  <c r="I54" i="81"/>
  <c r="J54" i="81" s="1"/>
  <c r="E54" i="81"/>
  <c r="F54" i="81" s="1"/>
  <c r="E53" i="81"/>
  <c r="F53" i="81" s="1"/>
  <c r="I19" i="6"/>
  <c r="L18" i="9" s="1"/>
  <c r="M27" i="6"/>
  <c r="C25" i="11"/>
  <c r="C22" i="11" s="1"/>
  <c r="C31" i="11" s="1"/>
  <c r="E9" i="70"/>
  <c r="AQ9" i="1"/>
  <c r="AR9" i="1"/>
  <c r="T9" i="1"/>
  <c r="S16" i="1"/>
  <c r="E7" i="70"/>
  <c r="AR7" i="1"/>
  <c r="T7" i="1"/>
  <c r="AQ7" i="1"/>
  <c r="J65" i="40"/>
  <c r="K63" i="40"/>
  <c r="C50" i="81"/>
  <c r="C49" i="81"/>
  <c r="E6" i="70"/>
  <c r="AQ6" i="1"/>
  <c r="T6" i="1"/>
  <c r="AR6" i="1"/>
  <c r="F69" i="78"/>
  <c r="J29" i="78"/>
  <c r="F69" i="77"/>
  <c r="C33" i="11"/>
  <c r="C42" i="11" s="1"/>
  <c r="D16" i="6"/>
  <c r="R20" i="6"/>
  <c r="R7" i="1" s="1"/>
  <c r="R26" i="6"/>
  <c r="R24" i="6"/>
  <c r="R22" i="6"/>
  <c r="R9" i="1" s="1"/>
  <c r="R25" i="6"/>
  <c r="C10" i="69"/>
  <c r="C8" i="69" s="1"/>
  <c r="C5" i="69" s="1"/>
  <c r="D19" i="69"/>
  <c r="R23" i="6"/>
  <c r="A7" i="51"/>
  <c r="B7" i="72" s="1"/>
  <c r="C4" i="52"/>
  <c r="B45" i="72" s="1"/>
  <c r="A10" i="51"/>
  <c r="B9" i="72" s="1"/>
  <c r="D27" i="6"/>
  <c r="D31" i="6" s="1"/>
  <c r="R21" i="6"/>
  <c r="R8" i="1" s="1"/>
  <c r="C10" i="68"/>
  <c r="D19" i="68"/>
  <c r="C15" i="12"/>
  <c r="C12" i="12"/>
  <c r="H68" i="39"/>
  <c r="G70" i="39"/>
  <c r="J52" i="37"/>
  <c r="I46" i="36"/>
  <c r="H58" i="21"/>
  <c r="K48" i="35"/>
  <c r="L48" i="35" s="1"/>
  <c r="M48" i="35" s="1"/>
  <c r="N48" i="35" s="1"/>
  <c r="O48" i="35" s="1"/>
  <c r="F7" i="35" s="1"/>
  <c r="J59"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M21" i="79"/>
  <c r="C14" i="77"/>
  <c r="C14" i="78"/>
  <c r="M21" i="15"/>
  <c r="C14" i="87"/>
  <c r="C14" i="79"/>
  <c r="M21" i="78"/>
  <c r="C14" i="15"/>
  <c r="F35" i="78"/>
  <c r="M21" i="67"/>
  <c r="F35" i="79"/>
  <c r="C34" i="68"/>
  <c r="F35" i="15"/>
  <c r="F35" i="67"/>
  <c r="U7" i="1" l="1"/>
  <c r="C38" i="86"/>
  <c r="C15" i="87"/>
  <c r="C18" i="87"/>
  <c r="H7" i="35"/>
  <c r="AB7" i="35" s="1"/>
  <c r="T38" i="35" s="1"/>
  <c r="G38" i="35" s="1"/>
  <c r="C19" i="67"/>
  <c r="C20" i="67" s="1"/>
  <c r="C26" i="67" s="1"/>
  <c r="C15" i="79"/>
  <c r="C18" i="79"/>
  <c r="C39" i="11"/>
  <c r="C43" i="11" s="1"/>
  <c r="C41" i="11" s="1"/>
  <c r="C15" i="77"/>
  <c r="C18" i="77"/>
  <c r="C18" i="15"/>
  <c r="C15" i="15"/>
  <c r="C18" i="78"/>
  <c r="C15" i="78"/>
  <c r="C35" i="68"/>
  <c r="C38" i="68"/>
  <c r="L63" i="40"/>
  <c r="K65" i="40"/>
  <c r="T16" i="1"/>
  <c r="E2" i="70"/>
  <c r="B3" i="81"/>
  <c r="B2" i="81"/>
  <c r="S19" i="6"/>
  <c r="S27" i="6" s="1"/>
  <c r="H19" i="6"/>
  <c r="L19" i="9" s="1"/>
  <c r="I27" i="6"/>
  <c r="J20" i="15"/>
  <c r="F63" i="15"/>
  <c r="C62" i="15" s="1"/>
  <c r="C34" i="15"/>
  <c r="C31" i="15" s="1"/>
  <c r="F63" i="67"/>
  <c r="C62" i="67" s="1"/>
  <c r="C34" i="67"/>
  <c r="J20" i="67"/>
  <c r="C34" i="79"/>
  <c r="F63" i="79"/>
  <c r="C62" i="79" s="1"/>
  <c r="J20" i="79"/>
  <c r="F63" i="78"/>
  <c r="C62" i="78" s="1"/>
  <c r="C34" i="78"/>
  <c r="J20" i="78"/>
  <c r="C16" i="12"/>
  <c r="C21" i="12" s="1"/>
  <c r="C22" i="12" s="1"/>
  <c r="C30" i="12" s="1"/>
  <c r="C28" i="12" s="1"/>
  <c r="I5" i="6"/>
  <c r="I6" i="6"/>
  <c r="C19" i="69"/>
  <c r="C24" i="69" s="1"/>
  <c r="D37" i="69"/>
  <c r="C37" i="69" s="1"/>
  <c r="C33" i="69" s="1"/>
  <c r="C19" i="68"/>
  <c r="D37" i="68"/>
  <c r="C37" i="68" s="1"/>
  <c r="C23" i="69"/>
  <c r="C33" i="78"/>
  <c r="S7" i="35"/>
  <c r="AA7" i="35"/>
  <c r="R38" i="35" s="1"/>
  <c r="U7" i="35"/>
  <c r="J7" i="35"/>
  <c r="K59" i="34"/>
  <c r="I58" i="21"/>
  <c r="J46" i="36"/>
  <c r="K52" i="37"/>
  <c r="L52" i="37" s="1"/>
  <c r="M52" i="37" s="1"/>
  <c r="N52" i="37" s="1"/>
  <c r="O52" i="37" s="1"/>
  <c r="J7" i="37" s="1"/>
  <c r="F7" i="37"/>
  <c r="I68" i="39"/>
  <c r="H70" i="39"/>
  <c r="C26" i="43"/>
  <c r="B2" i="43" s="1"/>
  <c r="C6" i="68" s="1"/>
  <c r="C7" i="68" s="1"/>
  <c r="C5" i="68" s="1"/>
  <c r="C23" i="68" s="1"/>
  <c r="C27" i="43"/>
  <c r="B6" i="76"/>
  <c r="F6" i="87"/>
  <c r="F6" i="77"/>
  <c r="E6" i="76"/>
  <c r="C6" i="87" l="1"/>
  <c r="C10" i="87" s="1"/>
  <c r="C5" i="87" s="1"/>
  <c r="F49" i="77"/>
  <c r="C49" i="77" s="1"/>
  <c r="C40" i="86"/>
  <c r="Z6" i="1" s="1"/>
  <c r="C19" i="87"/>
  <c r="C20" i="87" s="1"/>
  <c r="C26" i="87" s="1"/>
  <c r="C46" i="11"/>
  <c r="C45" i="11" s="1"/>
  <c r="C49" i="11" s="1"/>
  <c r="C51" i="11" s="1"/>
  <c r="C19" i="79"/>
  <c r="C20" i="79" s="1"/>
  <c r="C26" i="79" s="1"/>
  <c r="C23" i="67"/>
  <c r="C29" i="67" s="1"/>
  <c r="C33" i="67" s="1"/>
  <c r="C31" i="67" s="1"/>
  <c r="C20" i="69"/>
  <c r="C25" i="69" s="1"/>
  <c r="C22" i="69" s="1"/>
  <c r="C19" i="77"/>
  <c r="C19" i="78"/>
  <c r="C19" i="15"/>
  <c r="C20" i="15" s="1"/>
  <c r="C26" i="15" s="1"/>
  <c r="C33" i="68"/>
  <c r="C42" i="68" s="1"/>
  <c r="C6" i="77"/>
  <c r="C10" i="77" s="1"/>
  <c r="C5" i="77" s="1"/>
  <c r="H27" i="6"/>
  <c r="R19" i="6"/>
  <c r="L65" i="40"/>
  <c r="M63" i="40"/>
  <c r="C20" i="78"/>
  <c r="C26" i="78" s="1"/>
  <c r="C20" i="77"/>
  <c r="C26" i="77" s="1"/>
  <c r="C31" i="78"/>
  <c r="C39" i="69"/>
  <c r="C42" i="69"/>
  <c r="C27" i="12"/>
  <c r="C25" i="12" s="1"/>
  <c r="C32" i="12" s="1"/>
  <c r="B2" i="12" s="1"/>
  <c r="B3" i="12" s="1"/>
  <c r="C20" i="68"/>
  <c r="C24" i="68"/>
  <c r="AC7" i="37"/>
  <c r="V42" i="37" s="1"/>
  <c r="I42" i="37" s="1"/>
  <c r="W7" i="37"/>
  <c r="S7" i="37"/>
  <c r="AA7" i="37"/>
  <c r="R42" i="37" s="1"/>
  <c r="AC7" i="35"/>
  <c r="V38" i="35" s="1"/>
  <c r="I38" i="35" s="1"/>
  <c r="G43" i="35" s="1"/>
  <c r="H43" i="35" s="1"/>
  <c r="W7" i="35"/>
  <c r="G42" i="35"/>
  <c r="H42" i="35" s="1"/>
  <c r="R39" i="35"/>
  <c r="E38" i="35"/>
  <c r="J68" i="39"/>
  <c r="I70" i="39"/>
  <c r="H7" i="37"/>
  <c r="K46" i="36"/>
  <c r="J58" i="21"/>
  <c r="L59" i="34"/>
  <c r="M59" i="34" s="1"/>
  <c r="N59" i="34" s="1"/>
  <c r="O59" i="34" s="1"/>
  <c r="H7" i="34" s="1"/>
  <c r="E2" i="76"/>
  <c r="B2" i="76"/>
  <c r="B3" i="43"/>
  <c r="M6" i="77"/>
  <c r="J6" i="77" l="1"/>
  <c r="J10" i="77" s="1"/>
  <c r="J5" i="77" s="1"/>
  <c r="C53" i="77"/>
  <c r="C48" i="77" s="1"/>
  <c r="C38" i="87"/>
  <c r="C32" i="87"/>
  <c r="C33" i="87"/>
  <c r="C23" i="87"/>
  <c r="C29" i="87" s="1"/>
  <c r="J59" i="87" s="1"/>
  <c r="J60" i="87" s="1"/>
  <c r="C28" i="69"/>
  <c r="C27" i="69" s="1"/>
  <c r="C31" i="69" s="1"/>
  <c r="C39" i="68"/>
  <c r="C43" i="68" s="1"/>
  <c r="C52" i="11"/>
  <c r="B2" i="11" s="1"/>
  <c r="B3" i="11" s="1"/>
  <c r="J59" i="67"/>
  <c r="J60" i="67" s="1"/>
  <c r="Q48" i="67" s="1"/>
  <c r="C13" i="67"/>
  <c r="C37" i="67" s="1"/>
  <c r="C36" i="67"/>
  <c r="C57" i="67"/>
  <c r="C64" i="67" s="1"/>
  <c r="Q49" i="67"/>
  <c r="J14" i="67"/>
  <c r="J22" i="67" s="1"/>
  <c r="J19" i="67"/>
  <c r="J17" i="67" s="1"/>
  <c r="C23" i="79"/>
  <c r="C29" i="79" s="1"/>
  <c r="C23" i="15"/>
  <c r="C29" i="15" s="1"/>
  <c r="C36" i="15" s="1"/>
  <c r="C23" i="77"/>
  <c r="C29" i="77" s="1"/>
  <c r="C36" i="77" s="1"/>
  <c r="C23" i="78"/>
  <c r="C29" i="78" s="1"/>
  <c r="M65" i="40"/>
  <c r="N63" i="40"/>
  <c r="R27" i="6"/>
  <c r="R6" i="1"/>
  <c r="C32" i="77"/>
  <c r="C38" i="77"/>
  <c r="C33" i="77"/>
  <c r="L57" i="77"/>
  <c r="L60" i="77" s="1"/>
  <c r="C41" i="68"/>
  <c r="C28" i="68"/>
  <c r="C27" i="68" s="1"/>
  <c r="C25" i="68"/>
  <c r="C22" i="68" s="1"/>
  <c r="C46" i="69"/>
  <c r="C45" i="69" s="1"/>
  <c r="C43" i="69"/>
  <c r="C41" i="69" s="1"/>
  <c r="C46" i="68"/>
  <c r="C45" i="68" s="1"/>
  <c r="U7" i="34"/>
  <c r="AB7" i="34"/>
  <c r="T49" i="34" s="1"/>
  <c r="G49" i="34" s="1"/>
  <c r="U7" i="37"/>
  <c r="AB7" i="37"/>
  <c r="T42" i="37" s="1"/>
  <c r="G42" i="37" s="1"/>
  <c r="K68" i="39"/>
  <c r="J70" i="39"/>
  <c r="C39" i="35"/>
  <c r="B2" i="35" s="1"/>
  <c r="B3" i="35" s="1"/>
  <c r="C38" i="35"/>
  <c r="I42" i="35"/>
  <c r="J42" i="35" s="1"/>
  <c r="I43" i="35"/>
  <c r="J43" i="35" s="1"/>
  <c r="I46" i="37"/>
  <c r="J46" i="37" s="1"/>
  <c r="F7" i="34"/>
  <c r="K58" i="21"/>
  <c r="L46" i="36"/>
  <c r="E43" i="35"/>
  <c r="F43" i="35" s="1"/>
  <c r="E42" i="35"/>
  <c r="F42" i="35" s="1"/>
  <c r="R43" i="37"/>
  <c r="E42" i="37"/>
  <c r="J7" i="34"/>
  <c r="B3" i="76"/>
  <c r="L57" i="15"/>
  <c r="L60" i="15" s="1"/>
  <c r="M21" i="87"/>
  <c r="F35" i="77"/>
  <c r="M21" i="77"/>
  <c r="F35" i="87"/>
  <c r="Q48" i="87" l="1"/>
  <c r="L46" i="87"/>
  <c r="C60" i="77"/>
  <c r="C66" i="77"/>
  <c r="J24" i="77"/>
  <c r="J18" i="77"/>
  <c r="C57" i="87"/>
  <c r="Q49" i="87"/>
  <c r="C13" i="87"/>
  <c r="J14" i="87"/>
  <c r="C36" i="87"/>
  <c r="J19" i="87"/>
  <c r="J20" i="87"/>
  <c r="F63" i="87"/>
  <c r="C62" i="87" s="1"/>
  <c r="C34" i="87"/>
  <c r="C31" i="87" s="1"/>
  <c r="J13" i="67"/>
  <c r="J23" i="67" s="1"/>
  <c r="C56" i="11"/>
  <c r="C57" i="11" s="1"/>
  <c r="C75" i="67"/>
  <c r="C61" i="67"/>
  <c r="C59" i="67" s="1"/>
  <c r="C56" i="67"/>
  <c r="C65" i="67" s="1"/>
  <c r="C57" i="77"/>
  <c r="C64" i="77" s="1"/>
  <c r="C30" i="67"/>
  <c r="C39" i="67" s="1"/>
  <c r="C40" i="67" s="1"/>
  <c r="Q70" i="67"/>
  <c r="J16" i="67"/>
  <c r="J25" i="67" s="1"/>
  <c r="Q49" i="15"/>
  <c r="C36" i="79"/>
  <c r="J14" i="79"/>
  <c r="Q49" i="79"/>
  <c r="J59" i="79"/>
  <c r="J60" i="79" s="1"/>
  <c r="Q48" i="79" s="1"/>
  <c r="C57" i="79"/>
  <c r="J19" i="79"/>
  <c r="J17" i="79" s="1"/>
  <c r="C13" i="79"/>
  <c r="C33" i="79"/>
  <c r="C31" i="79" s="1"/>
  <c r="J19" i="15"/>
  <c r="J17" i="15" s="1"/>
  <c r="C13" i="15"/>
  <c r="C75" i="15" s="1"/>
  <c r="J14" i="15"/>
  <c r="J22" i="15" s="1"/>
  <c r="C57" i="15"/>
  <c r="C61" i="15" s="1"/>
  <c r="C59" i="15" s="1"/>
  <c r="J59" i="15"/>
  <c r="J60" i="15" s="1"/>
  <c r="Q48" i="15" s="1"/>
  <c r="J14" i="77"/>
  <c r="J13" i="77" s="1"/>
  <c r="J23" i="77" s="1"/>
  <c r="Q49" i="77"/>
  <c r="J59" i="77"/>
  <c r="J60" i="77" s="1"/>
  <c r="Q48" i="77" s="1"/>
  <c r="J19" i="77"/>
  <c r="C13" i="77"/>
  <c r="Q70" i="77" s="1"/>
  <c r="C34" i="77"/>
  <c r="C31" i="77" s="1"/>
  <c r="F63" i="77"/>
  <c r="C62" i="77" s="1"/>
  <c r="J20" i="77"/>
  <c r="J17" i="77" s="1"/>
  <c r="C64" i="15"/>
  <c r="R16" i="1"/>
  <c r="N65" i="40"/>
  <c r="O63" i="40"/>
  <c r="O65" i="40" s="1"/>
  <c r="C36" i="78"/>
  <c r="J14" i="78"/>
  <c r="Q49" i="78"/>
  <c r="J59" i="78"/>
  <c r="J60" i="78" s="1"/>
  <c r="Q48" i="78" s="1"/>
  <c r="C57" i="78"/>
  <c r="J19" i="78"/>
  <c r="J17" i="78" s="1"/>
  <c r="C13" i="78"/>
  <c r="Q57" i="77"/>
  <c r="Q66" i="77"/>
  <c r="C49" i="68"/>
  <c r="C51" i="68" s="1"/>
  <c r="C31" i="68"/>
  <c r="C49" i="69"/>
  <c r="C51" i="69" s="1"/>
  <c r="C52" i="69" s="1"/>
  <c r="B2" i="69" s="1"/>
  <c r="B3" i="69" s="1"/>
  <c r="L57" i="78"/>
  <c r="L60" i="78" s="1"/>
  <c r="E47" i="37"/>
  <c r="F47" i="37" s="1"/>
  <c r="E46" i="37"/>
  <c r="F46" i="37" s="1"/>
  <c r="M46" i="36"/>
  <c r="L58" i="21"/>
  <c r="L68" i="39"/>
  <c r="K70" i="39"/>
  <c r="AC7" i="34"/>
  <c r="V49" i="34" s="1"/>
  <c r="I49" i="34" s="1"/>
  <c r="G54" i="34" s="1"/>
  <c r="H54" i="34" s="1"/>
  <c r="W7" i="34"/>
  <c r="C43" i="37"/>
  <c r="B2" i="37" s="1"/>
  <c r="B3" i="37" s="1"/>
  <c r="C42" i="37"/>
  <c r="S7" i="34"/>
  <c r="AA7" i="34"/>
  <c r="R49" i="34" s="1"/>
  <c r="I47" i="37"/>
  <c r="J47" i="37" s="1"/>
  <c r="G46" i="37"/>
  <c r="H46" i="37" s="1"/>
  <c r="G47" i="37"/>
  <c r="H47" i="37" s="1"/>
  <c r="G53" i="34"/>
  <c r="H53" i="34" s="1"/>
  <c r="Q57" i="15"/>
  <c r="Q66" i="15"/>
  <c r="L51" i="67"/>
  <c r="J17" i="87" l="1"/>
  <c r="J22" i="87"/>
  <c r="J13" i="87"/>
  <c r="J23" i="87" s="1"/>
  <c r="Q70" i="87"/>
  <c r="C75" i="87"/>
  <c r="C56" i="87"/>
  <c r="C65" i="87" s="1"/>
  <c r="C37" i="87"/>
  <c r="C30" i="87" s="1"/>
  <c r="C39" i="87" s="1"/>
  <c r="C61" i="87"/>
  <c r="C59" i="87" s="1"/>
  <c r="C64" i="87"/>
  <c r="C58" i="67"/>
  <c r="C67" i="67" s="1"/>
  <c r="C68" i="67" s="1"/>
  <c r="C71" i="67" s="1"/>
  <c r="Q69" i="67"/>
  <c r="Q68" i="67" s="1"/>
  <c r="C80" i="67"/>
  <c r="C79" i="67" s="1"/>
  <c r="C61" i="77"/>
  <c r="C59" i="77" s="1"/>
  <c r="Q67" i="67"/>
  <c r="L57" i="67"/>
  <c r="L60" i="67" s="1"/>
  <c r="C75" i="79"/>
  <c r="C37" i="79"/>
  <c r="C30" i="79" s="1"/>
  <c r="C39" i="79" s="1"/>
  <c r="Q70" i="79"/>
  <c r="C56" i="79"/>
  <c r="C65" i="79" s="1"/>
  <c r="C64" i="79"/>
  <c r="C61" i="79"/>
  <c r="C59" i="79" s="1"/>
  <c r="J22" i="79"/>
  <c r="J13" i="79"/>
  <c r="J23" i="79" s="1"/>
  <c r="Q65" i="67"/>
  <c r="Q47" i="67"/>
  <c r="Q53" i="67" s="1"/>
  <c r="C43" i="67"/>
  <c r="Q56" i="67"/>
  <c r="C83" i="67"/>
  <c r="C82" i="67" s="1"/>
  <c r="Q70" i="15"/>
  <c r="J13" i="15"/>
  <c r="J23" i="15" s="1"/>
  <c r="J16" i="15" s="1"/>
  <c r="J25" i="15" s="1"/>
  <c r="C56" i="15"/>
  <c r="C65" i="15" s="1"/>
  <c r="C58" i="15" s="1"/>
  <c r="C67" i="15" s="1"/>
  <c r="C68" i="15" s="1"/>
  <c r="C37" i="15"/>
  <c r="C30" i="15" s="1"/>
  <c r="C39" i="15" s="1"/>
  <c r="Q69" i="15" s="1"/>
  <c r="L46" i="15"/>
  <c r="C37" i="77"/>
  <c r="C30" i="77" s="1"/>
  <c r="C39" i="77" s="1"/>
  <c r="C75" i="77"/>
  <c r="J22" i="77"/>
  <c r="J16" i="77" s="1"/>
  <c r="J25" i="77" s="1"/>
  <c r="J26" i="77" s="1"/>
  <c r="J29" i="77" s="1"/>
  <c r="L46" i="77"/>
  <c r="C56" i="77"/>
  <c r="C65" i="77" s="1"/>
  <c r="L46" i="78"/>
  <c r="J22" i="78"/>
  <c r="J13" i="78"/>
  <c r="J23" i="78" s="1"/>
  <c r="H7" i="40"/>
  <c r="J7" i="40"/>
  <c r="F7" i="40"/>
  <c r="Q70" i="78"/>
  <c r="C56" i="78"/>
  <c r="C65" i="78" s="1"/>
  <c r="C75" i="78"/>
  <c r="C37" i="78"/>
  <c r="C30" i="78" s="1"/>
  <c r="C39" i="78" s="1"/>
  <c r="C61" i="78"/>
  <c r="C59" i="78" s="1"/>
  <c r="C64" i="78"/>
  <c r="C52" i="68"/>
  <c r="B2" i="68" s="1"/>
  <c r="C57" i="69"/>
  <c r="C56" i="69" s="1"/>
  <c r="Q66" i="78"/>
  <c r="Q57" i="78"/>
  <c r="I53" i="34"/>
  <c r="J53" i="34" s="1"/>
  <c r="M68" i="39"/>
  <c r="L70" i="39"/>
  <c r="E49" i="34"/>
  <c r="I54" i="34" s="1"/>
  <c r="J54" i="34" s="1"/>
  <c r="R50" i="34"/>
  <c r="M58" i="21"/>
  <c r="N58" i="21" s="1"/>
  <c r="O58" i="21" s="1"/>
  <c r="N46" i="36"/>
  <c r="O46" i="36" s="1"/>
  <c r="H7" i="36" s="1"/>
  <c r="J7" i="36"/>
  <c r="C19" i="85"/>
  <c r="L51" i="79"/>
  <c r="L51" i="87"/>
  <c r="C58" i="87" l="1"/>
  <c r="C67" i="87" s="1"/>
  <c r="C68" i="87" s="1"/>
  <c r="C71" i="87" s="1"/>
  <c r="J16" i="87"/>
  <c r="J25" i="87" s="1"/>
  <c r="Q69" i="87"/>
  <c r="Q68" i="87" s="1"/>
  <c r="C80" i="87"/>
  <c r="C79" i="87" s="1"/>
  <c r="C40" i="87"/>
  <c r="B2" i="87" s="1"/>
  <c r="B3" i="87" s="1"/>
  <c r="Q67" i="87"/>
  <c r="F7" i="36"/>
  <c r="S7" i="36" s="1"/>
  <c r="F7" i="21"/>
  <c r="C45" i="67"/>
  <c r="C46" i="67" s="1"/>
  <c r="L46" i="67"/>
  <c r="D2" i="67" s="1"/>
  <c r="B3" i="67" s="1"/>
  <c r="Q66" i="67"/>
  <c r="Q75" i="67" s="1"/>
  <c r="Q57" i="67"/>
  <c r="Q62" i="67" s="1"/>
  <c r="J16" i="79"/>
  <c r="J25" i="79" s="1"/>
  <c r="Q67" i="79"/>
  <c r="L57" i="79"/>
  <c r="L60" i="79" s="1"/>
  <c r="C58" i="79"/>
  <c r="C67" i="79" s="1"/>
  <c r="C68" i="79" s="1"/>
  <c r="C80" i="79"/>
  <c r="C79" i="79" s="1"/>
  <c r="C40" i="79"/>
  <c r="Q69" i="79"/>
  <c r="Q68" i="79" s="1"/>
  <c r="Q68" i="15"/>
  <c r="C40" i="15"/>
  <c r="C46" i="15" s="1"/>
  <c r="C80" i="15"/>
  <c r="C79" i="15" s="1"/>
  <c r="C58" i="77"/>
  <c r="C67" i="77" s="1"/>
  <c r="C68" i="77" s="1"/>
  <c r="C71" i="77" s="1"/>
  <c r="C58" i="78"/>
  <c r="C67" i="78" s="1"/>
  <c r="C68" i="78" s="1"/>
  <c r="C71" i="78" s="1"/>
  <c r="J16" i="78"/>
  <c r="J25" i="78" s="1"/>
  <c r="C40" i="77"/>
  <c r="Q69" i="77"/>
  <c r="Q68" i="77" s="1"/>
  <c r="C71" i="15"/>
  <c r="C40" i="78"/>
  <c r="Q69" i="78"/>
  <c r="Q68" i="78" s="1"/>
  <c r="C80" i="78"/>
  <c r="C79" i="78" s="1"/>
  <c r="S7" i="40"/>
  <c r="AA7" i="40"/>
  <c r="R42" i="40" s="1"/>
  <c r="U7" i="40"/>
  <c r="AB7" i="40"/>
  <c r="T42" i="40" s="1"/>
  <c r="G42" i="40" s="1"/>
  <c r="C80" i="77"/>
  <c r="C79" i="77" s="1"/>
  <c r="W7" i="40"/>
  <c r="AC7" i="40"/>
  <c r="V42" i="40" s="1"/>
  <c r="I42" i="40" s="1"/>
  <c r="C102" i="85"/>
  <c r="C21" i="85"/>
  <c r="C57" i="68"/>
  <c r="C56" i="68" s="1"/>
  <c r="S7" i="21"/>
  <c r="AA7" i="21"/>
  <c r="R48" i="21" s="1"/>
  <c r="C49" i="34"/>
  <c r="C50" i="34"/>
  <c r="R24" i="31" s="1"/>
  <c r="W7" i="36"/>
  <c r="AC7" i="36"/>
  <c r="V36" i="36" s="1"/>
  <c r="I36" i="36" s="1"/>
  <c r="AB7" i="36"/>
  <c r="T36" i="36" s="1"/>
  <c r="G36" i="36" s="1"/>
  <c r="U7" i="36"/>
  <c r="H7" i="21"/>
  <c r="J7" i="21"/>
  <c r="E54" i="34"/>
  <c r="F54" i="34" s="1"/>
  <c r="E53" i="34"/>
  <c r="F53" i="34" s="1"/>
  <c r="N68" i="39"/>
  <c r="M70" i="39"/>
  <c r="B3" i="68"/>
  <c r="D35" i="85" s="1"/>
  <c r="L51" i="15"/>
  <c r="C20" i="85"/>
  <c r="D34" i="85"/>
  <c r="L51" i="78"/>
  <c r="L51" i="77"/>
  <c r="Q47" i="87" l="1"/>
  <c r="Q53" i="87" s="1"/>
  <c r="C43" i="87"/>
  <c r="C46" i="87"/>
  <c r="Q65" i="87"/>
  <c r="Q75" i="87" s="1"/>
  <c r="C83" i="87"/>
  <c r="C82" i="87" s="1"/>
  <c r="Q56" i="87"/>
  <c r="Q62" i="87" s="1"/>
  <c r="Q56" i="15"/>
  <c r="Q62" i="15" s="1"/>
  <c r="Q67" i="15"/>
  <c r="AA7" i="36"/>
  <c r="R36" i="36" s="1"/>
  <c r="B2" i="67"/>
  <c r="Q47" i="79"/>
  <c r="Q53" i="79" s="1"/>
  <c r="Q56" i="79"/>
  <c r="Q65" i="79"/>
  <c r="C43" i="79"/>
  <c r="C83" i="79"/>
  <c r="C82" i="79" s="1"/>
  <c r="L46" i="79"/>
  <c r="B2" i="79" s="1"/>
  <c r="B3" i="79" s="1"/>
  <c r="Q66" i="79"/>
  <c r="Q57" i="79"/>
  <c r="Q62" i="79" s="1"/>
  <c r="C46" i="79"/>
  <c r="C71" i="79"/>
  <c r="Q47" i="15"/>
  <c r="Q53" i="15" s="1"/>
  <c r="B2" i="15"/>
  <c r="C83" i="15"/>
  <c r="C82" i="15" s="1"/>
  <c r="Q65" i="15"/>
  <c r="Q75" i="15" s="1"/>
  <c r="C43" i="15"/>
  <c r="C46" i="78"/>
  <c r="Q67" i="78"/>
  <c r="Q67" i="77"/>
  <c r="G46" i="40"/>
  <c r="H46" i="40" s="1"/>
  <c r="G47" i="40"/>
  <c r="H47" i="40" s="1"/>
  <c r="E42" i="40"/>
  <c r="I47" i="40" s="1"/>
  <c r="J47" i="40" s="1"/>
  <c r="R43" i="40"/>
  <c r="Q47" i="78"/>
  <c r="Q53" i="78" s="1"/>
  <c r="Q56" i="78"/>
  <c r="Q62" i="78" s="1"/>
  <c r="C83" i="78"/>
  <c r="C82" i="78" s="1"/>
  <c r="Q65" i="78"/>
  <c r="Q75" i="78" s="1"/>
  <c r="C43" i="78"/>
  <c r="B2" i="78"/>
  <c r="Q47" i="77"/>
  <c r="Q53" i="77" s="1"/>
  <c r="C43" i="77"/>
  <c r="Q56" i="77"/>
  <c r="Q62" i="77" s="1"/>
  <c r="C83" i="77"/>
  <c r="C82" i="77" s="1"/>
  <c r="B2" i="77"/>
  <c r="Q65" i="77"/>
  <c r="Q75" i="77" s="1"/>
  <c r="I46" i="40"/>
  <c r="J46" i="40" s="1"/>
  <c r="C46" i="77"/>
  <c r="C103" i="85"/>
  <c r="O68" i="39"/>
  <c r="O70" i="39" s="1"/>
  <c r="N70" i="39"/>
  <c r="AC7" i="21"/>
  <c r="V48" i="21" s="1"/>
  <c r="I48" i="21" s="1"/>
  <c r="W7" i="21"/>
  <c r="I40" i="36"/>
  <c r="J40" i="36" s="1"/>
  <c r="R49" i="21"/>
  <c r="E48" i="21"/>
  <c r="E36" i="36"/>
  <c r="R37" i="36"/>
  <c r="AB7" i="21"/>
  <c r="T48" i="21" s="1"/>
  <c r="G48" i="21" s="1"/>
  <c r="U7" i="21"/>
  <c r="G40" i="36"/>
  <c r="H40" i="36" s="1"/>
  <c r="G41" i="36"/>
  <c r="H41" i="36" s="1"/>
  <c r="D2" i="34"/>
  <c r="D19" i="82"/>
  <c r="AO9" i="1"/>
  <c r="F20" i="31"/>
  <c r="D19" i="85"/>
  <c r="D19" i="84"/>
  <c r="AO6" i="1"/>
  <c r="AO7" i="1"/>
  <c r="B2" i="34" l="1"/>
  <c r="Q75" i="79"/>
  <c r="D21" i="84"/>
  <c r="D102" i="84"/>
  <c r="B7" i="70"/>
  <c r="B3" i="15"/>
  <c r="B6" i="70"/>
  <c r="D102" i="82"/>
  <c r="D21" i="82"/>
  <c r="D21" i="85"/>
  <c r="D102" i="85"/>
  <c r="G19" i="85"/>
  <c r="D22" i="85"/>
  <c r="B9" i="70"/>
  <c r="B3" i="77"/>
  <c r="E47" i="40"/>
  <c r="F47" i="40" s="1"/>
  <c r="E46" i="40"/>
  <c r="F46" i="40" s="1"/>
  <c r="B3" i="78"/>
  <c r="C42" i="40"/>
  <c r="C43" i="40"/>
  <c r="G52" i="21"/>
  <c r="H52" i="21" s="1"/>
  <c r="G53" i="21"/>
  <c r="H53" i="21" s="1"/>
  <c r="E40" i="36"/>
  <c r="F40" i="36" s="1"/>
  <c r="E41" i="36"/>
  <c r="F41" i="36" s="1"/>
  <c r="C48" i="21"/>
  <c r="C49" i="21"/>
  <c r="B2" i="21" s="1"/>
  <c r="B3" i="21" s="1"/>
  <c r="I41" i="36"/>
  <c r="J41" i="36" s="1"/>
  <c r="I52" i="21"/>
  <c r="J52" i="21" s="1"/>
  <c r="I53" i="21"/>
  <c r="J53" i="21" s="1"/>
  <c r="J7" i="39"/>
  <c r="H7" i="39"/>
  <c r="F7" i="39"/>
  <c r="C37" i="36"/>
  <c r="B2" i="36" s="1"/>
  <c r="B3" i="36" s="1"/>
  <c r="C36" i="36"/>
  <c r="E52" i="21"/>
  <c r="F52" i="21" s="1"/>
  <c r="E53" i="21"/>
  <c r="F53" i="21" s="1"/>
  <c r="D20" i="82"/>
  <c r="C19" i="82"/>
  <c r="D20" i="84"/>
  <c r="D20" i="85"/>
  <c r="C21" i="82" l="1"/>
  <c r="G19" i="82"/>
  <c r="C102" i="82"/>
  <c r="D22" i="82"/>
  <c r="B3" i="34"/>
  <c r="E16" i="74"/>
  <c r="F16" i="74"/>
  <c r="D103" i="84"/>
  <c r="B2" i="70"/>
  <c r="C32" i="82"/>
  <c r="H118" i="82" s="1"/>
  <c r="G21" i="82"/>
  <c r="D103" i="85"/>
  <c r="G20" i="85"/>
  <c r="D103" i="82"/>
  <c r="B55" i="40"/>
  <c r="F55" i="40" s="1"/>
  <c r="B51" i="40"/>
  <c r="F51" i="40" s="1"/>
  <c r="B53" i="40"/>
  <c r="F53" i="40" s="1"/>
  <c r="B56" i="40"/>
  <c r="F56" i="40" s="1"/>
  <c r="B57" i="40"/>
  <c r="F57" i="40" s="1"/>
  <c r="B58" i="40"/>
  <c r="F58" i="40" s="1"/>
  <c r="B52" i="40"/>
  <c r="F52" i="40" s="1"/>
  <c r="B54" i="40"/>
  <c r="F54" i="40" s="1"/>
  <c r="B60" i="40"/>
  <c r="F60" i="40" s="1"/>
  <c r="B59" i="40"/>
  <c r="F59" i="40" s="1"/>
  <c r="F61" i="40"/>
  <c r="B2" i="40" s="1"/>
  <c r="B3" i="40" s="1"/>
  <c r="C32" i="85"/>
  <c r="G21" i="85"/>
  <c r="S7" i="39"/>
  <c r="AA7" i="39"/>
  <c r="R47" i="39" s="1"/>
  <c r="AC7" i="39"/>
  <c r="V47" i="39" s="1"/>
  <c r="I47" i="39" s="1"/>
  <c r="W7" i="39"/>
  <c r="AB7" i="39"/>
  <c r="T47" i="39" s="1"/>
  <c r="G47" i="39" s="1"/>
  <c r="U7" i="39"/>
  <c r="C20" i="82"/>
  <c r="D19" i="9"/>
  <c r="D102" i="9" l="1"/>
  <c r="D21" i="9"/>
  <c r="B3" i="70"/>
  <c r="C103" i="82"/>
  <c r="G20" i="82"/>
  <c r="C35" i="82"/>
  <c r="F118" i="82" s="1"/>
  <c r="F119" i="82" s="1"/>
  <c r="H118" i="85"/>
  <c r="C35" i="85"/>
  <c r="I118" i="82"/>
  <c r="C104" i="82"/>
  <c r="H119" i="82"/>
  <c r="H101" i="82"/>
  <c r="E47" i="39"/>
  <c r="R48" i="39"/>
  <c r="G51" i="39"/>
  <c r="H51" i="39" s="1"/>
  <c r="G52" i="39"/>
  <c r="H52" i="39" s="1"/>
  <c r="I51" i="39"/>
  <c r="J51" i="39" s="1"/>
  <c r="D20" i="9"/>
  <c r="D103" i="9" l="1"/>
  <c r="G118" i="82"/>
  <c r="E118" i="82" s="1"/>
  <c r="C34" i="82"/>
  <c r="D118" i="82" s="1"/>
  <c r="D119" i="82" s="1"/>
  <c r="C34" i="85"/>
  <c r="D118" i="85" s="1"/>
  <c r="D119" i="85" s="1"/>
  <c r="F118" i="85"/>
  <c r="H119" i="85"/>
  <c r="H101" i="85"/>
  <c r="I118" i="85"/>
  <c r="C104" i="85"/>
  <c r="C105" i="82"/>
  <c r="H102" i="82"/>
  <c r="M48" i="82"/>
  <c r="H107" i="82"/>
  <c r="H109" i="82"/>
  <c r="D45" i="82"/>
  <c r="E51" i="39"/>
  <c r="F51" i="39" s="1"/>
  <c r="E52" i="39"/>
  <c r="F52" i="39" s="1"/>
  <c r="I52" i="39"/>
  <c r="J52" i="39" s="1"/>
  <c r="C48" i="39"/>
  <c r="C47" i="39"/>
  <c r="R83" i="31" l="1"/>
  <c r="S83" i="31" s="1"/>
  <c r="R75" i="31"/>
  <c r="S75" i="31" s="1"/>
  <c r="R67" i="31"/>
  <c r="S67" i="31" s="1"/>
  <c r="R59" i="31"/>
  <c r="S59" i="31" s="1"/>
  <c r="R51" i="31"/>
  <c r="S51" i="31" s="1"/>
  <c r="R43" i="31"/>
  <c r="S43" i="31" s="1"/>
  <c r="R35" i="31"/>
  <c r="S35" i="31" s="1"/>
  <c r="R78" i="31"/>
  <c r="S78" i="31" s="1"/>
  <c r="R70" i="31"/>
  <c r="S70" i="31" s="1"/>
  <c r="R62" i="31"/>
  <c r="S62" i="31" s="1"/>
  <c r="R54" i="31"/>
  <c r="S54" i="31" s="1"/>
  <c r="R46" i="31"/>
  <c r="S46" i="31" s="1"/>
  <c r="R38" i="31"/>
  <c r="S38" i="31" s="1"/>
  <c r="R81" i="31"/>
  <c r="S81" i="31" s="1"/>
  <c r="R73" i="31"/>
  <c r="S73" i="31" s="1"/>
  <c r="R65" i="31"/>
  <c r="S65" i="31" s="1"/>
  <c r="R57" i="31"/>
  <c r="S57" i="31" s="1"/>
  <c r="R49" i="31"/>
  <c r="S49" i="31" s="1"/>
  <c r="R41" i="31"/>
  <c r="S41" i="31" s="1"/>
  <c r="R33" i="31"/>
  <c r="S33" i="31" s="1"/>
  <c r="R76" i="31"/>
  <c r="S76" i="31" s="1"/>
  <c r="R68" i="31"/>
  <c r="S68" i="31" s="1"/>
  <c r="R60" i="31"/>
  <c r="S60" i="31" s="1"/>
  <c r="R44" i="31"/>
  <c r="S44" i="31" s="1"/>
  <c r="R36" i="31"/>
  <c r="S36" i="31" s="1"/>
  <c r="R29" i="31"/>
  <c r="S29" i="31" s="1"/>
  <c r="R26" i="31"/>
  <c r="S26" i="31" s="1"/>
  <c r="R79" i="31"/>
  <c r="S79" i="31" s="1"/>
  <c r="R71" i="31"/>
  <c r="S71" i="31" s="1"/>
  <c r="R63" i="31"/>
  <c r="S63" i="31" s="1"/>
  <c r="R55" i="31"/>
  <c r="S55" i="31" s="1"/>
  <c r="R47" i="31"/>
  <c r="S47" i="31" s="1"/>
  <c r="R39" i="31"/>
  <c r="S39" i="31" s="1"/>
  <c r="R82" i="31"/>
  <c r="S82" i="31" s="1"/>
  <c r="R74" i="31"/>
  <c r="S74" i="31" s="1"/>
  <c r="R66" i="31"/>
  <c r="S66" i="31" s="1"/>
  <c r="R58" i="31"/>
  <c r="S58" i="31" s="1"/>
  <c r="R50" i="31"/>
  <c r="S50" i="31" s="1"/>
  <c r="R42" i="31"/>
  <c r="S42" i="31" s="1"/>
  <c r="R34" i="31"/>
  <c r="S34" i="31" s="1"/>
  <c r="R77" i="31"/>
  <c r="S77" i="31" s="1"/>
  <c r="R69" i="31"/>
  <c r="S69" i="31" s="1"/>
  <c r="R61" i="31"/>
  <c r="S61" i="31" s="1"/>
  <c r="R53" i="31"/>
  <c r="S53" i="31" s="1"/>
  <c r="R45" i="31"/>
  <c r="S45" i="31" s="1"/>
  <c r="R37" i="31"/>
  <c r="S37" i="31" s="1"/>
  <c r="R80" i="31"/>
  <c r="S80" i="31" s="1"/>
  <c r="R72" i="31"/>
  <c r="S72" i="31" s="1"/>
  <c r="R64" i="31"/>
  <c r="S64" i="31" s="1"/>
  <c r="R56" i="31"/>
  <c r="S56" i="31" s="1"/>
  <c r="R48" i="31"/>
  <c r="S48" i="31" s="1"/>
  <c r="R40" i="31"/>
  <c r="S40" i="31" s="1"/>
  <c r="R32" i="31"/>
  <c r="S32" i="31" s="1"/>
  <c r="R30" i="31"/>
  <c r="S30" i="31" s="1"/>
  <c r="S24" i="31"/>
  <c r="R27" i="31"/>
  <c r="S27" i="31" s="1"/>
  <c r="R25" i="31"/>
  <c r="S25" i="31" s="1"/>
  <c r="R52" i="31"/>
  <c r="S52" i="31" s="1"/>
  <c r="R31" i="31"/>
  <c r="S31" i="31" s="1"/>
  <c r="R28" i="31"/>
  <c r="S28" i="31" s="1"/>
  <c r="G118" i="85"/>
  <c r="E118" i="85" s="1"/>
  <c r="F119" i="85"/>
  <c r="H102" i="85"/>
  <c r="C105" i="85"/>
  <c r="M48" i="85"/>
  <c r="H109" i="85"/>
  <c r="D45" i="85"/>
  <c r="H107" i="85"/>
  <c r="D55" i="82"/>
  <c r="M53" i="82" s="1"/>
  <c r="C85" i="82"/>
  <c r="D53" i="82"/>
  <c r="C93" i="82"/>
  <c r="C86" i="82" s="1"/>
  <c r="D52" i="82"/>
  <c r="C64" i="82"/>
  <c r="C63" i="82" s="1"/>
  <c r="C67" i="82" s="1"/>
  <c r="C68" i="82" s="1"/>
  <c r="D54" i="82" s="1"/>
  <c r="C78" i="82"/>
  <c r="C73" i="82" s="1"/>
  <c r="C72" i="82"/>
  <c r="D122" i="82"/>
  <c r="D123" i="82" s="1"/>
  <c r="H108" i="82"/>
  <c r="H110" i="82"/>
  <c r="M49" i="82"/>
  <c r="D124" i="82"/>
  <c r="D125" i="82" s="1"/>
  <c r="B60" i="39"/>
  <c r="F60" i="39" s="1"/>
  <c r="B58" i="39"/>
  <c r="F58" i="39" s="1"/>
  <c r="B64" i="39"/>
  <c r="F64" i="39" s="1"/>
  <c r="B57" i="39"/>
  <c r="F57" i="39" s="1"/>
  <c r="B62" i="39"/>
  <c r="F62" i="39" s="1"/>
  <c r="B56" i="39"/>
  <c r="F56" i="39" s="1"/>
  <c r="F66" i="39" s="1"/>
  <c r="B2" i="39" s="1"/>
  <c r="B3" i="39" s="1"/>
  <c r="B63" i="39"/>
  <c r="F63" i="39" s="1"/>
  <c r="B61" i="39"/>
  <c r="F61" i="39" s="1"/>
  <c r="B59" i="39"/>
  <c r="F59" i="39" s="1"/>
  <c r="B65" i="39"/>
  <c r="F65" i="39" s="1"/>
  <c r="S22" i="31" l="1"/>
  <c r="C72" i="85"/>
  <c r="D52" i="85"/>
  <c r="C85" i="85"/>
  <c r="D53" i="85"/>
  <c r="D55" i="85"/>
  <c r="M53" i="85" s="1"/>
  <c r="C93" i="85"/>
  <c r="C86" i="85" s="1"/>
  <c r="C78" i="85"/>
  <c r="C73" i="85" s="1"/>
  <c r="C64" i="85"/>
  <c r="C63" i="85" s="1"/>
  <c r="C67" i="85" s="1"/>
  <c r="C68" i="85" s="1"/>
  <c r="D54" i="85" s="1"/>
  <c r="D122" i="85"/>
  <c r="D123" i="85" s="1"/>
  <c r="H108" i="85"/>
  <c r="M49" i="85"/>
  <c r="D124" i="85"/>
  <c r="D125" i="85" s="1"/>
  <c r="H110" i="85"/>
  <c r="L66" i="82"/>
  <c r="M66" i="82" s="1"/>
  <c r="L67" i="82"/>
  <c r="M67" i="82" s="1"/>
  <c r="L68" i="82"/>
  <c r="M68" i="82" s="1"/>
  <c r="L64" i="82"/>
  <c r="M64" i="82" s="1"/>
  <c r="L65" i="82"/>
  <c r="M65" i="82" s="1"/>
  <c r="L63" i="82"/>
  <c r="M63" i="82" s="1"/>
  <c r="C79" i="82"/>
  <c r="C95" i="82"/>
  <c r="R22" i="31" l="1"/>
  <c r="B21" i="31" s="1"/>
  <c r="B20" i="31"/>
  <c r="L68" i="85"/>
  <c r="M68" i="85" s="1"/>
  <c r="L66" i="85"/>
  <c r="M66" i="85" s="1"/>
  <c r="L67" i="85"/>
  <c r="M67" i="85" s="1"/>
  <c r="L65" i="85"/>
  <c r="M65" i="85" s="1"/>
  <c r="L63" i="85"/>
  <c r="M63" i="85" s="1"/>
  <c r="L64" i="85"/>
  <c r="M64" i="85" s="1"/>
  <c r="C95" i="85"/>
  <c r="C79" i="85"/>
  <c r="C80" i="85" s="1"/>
  <c r="E80" i="85" s="1"/>
  <c r="E81" i="85" s="1"/>
  <c r="C80" i="82"/>
  <c r="E80" i="82" s="1"/>
  <c r="E81" i="82" s="1"/>
  <c r="C96" i="82"/>
  <c r="E96" i="82" s="1"/>
  <c r="E97" i="82" s="1"/>
  <c r="M69" i="82"/>
  <c r="N69" i="82" s="1"/>
  <c r="C19" i="9"/>
  <c r="C19" i="84"/>
  <c r="C20" i="9"/>
  <c r="C20" i="84"/>
  <c r="C21" i="9" l="1"/>
  <c r="C102" i="9"/>
  <c r="D22" i="9"/>
  <c r="G19" i="9"/>
  <c r="C103" i="9"/>
  <c r="G20" i="9"/>
  <c r="C21" i="84"/>
  <c r="G19" i="84"/>
  <c r="C102" i="84"/>
  <c r="D22" i="84"/>
  <c r="G20" i="84"/>
  <c r="C103" i="84"/>
  <c r="C81" i="85"/>
  <c r="M69" i="85"/>
  <c r="N69" i="85" s="1"/>
  <c r="C96" i="85"/>
  <c r="E96" i="85" s="1"/>
  <c r="E97" i="85" s="1"/>
  <c r="C97" i="82"/>
  <c r="D58" i="82" s="1"/>
  <c r="D56" i="82" s="1"/>
  <c r="M54" i="82" s="1"/>
  <c r="N57" i="82" s="1"/>
  <c r="C81" i="82"/>
  <c r="F62" i="88" l="1"/>
  <c r="D24" i="88"/>
  <c r="E24" i="88" s="1"/>
  <c r="D5" i="88"/>
  <c r="E5" i="88" s="1"/>
  <c r="D9" i="88"/>
  <c r="E9" i="88" s="1"/>
  <c r="D13" i="88"/>
  <c r="E13" i="88" s="1"/>
  <c r="D17" i="88"/>
  <c r="E17" i="88" s="1"/>
  <c r="D21" i="88"/>
  <c r="E21" i="88" s="1"/>
  <c r="D25" i="88"/>
  <c r="E25" i="88" s="1"/>
  <c r="D29" i="88"/>
  <c r="E29" i="88" s="1"/>
  <c r="D33" i="88"/>
  <c r="E33" i="88" s="1"/>
  <c r="D37" i="88"/>
  <c r="E37" i="88" s="1"/>
  <c r="D41" i="88"/>
  <c r="E41" i="88" s="1"/>
  <c r="D45" i="88"/>
  <c r="E45" i="88" s="1"/>
  <c r="D49" i="88"/>
  <c r="E49" i="88" s="1"/>
  <c r="D53" i="88"/>
  <c r="E53" i="88" s="1"/>
  <c r="D57" i="88"/>
  <c r="E57" i="88" s="1"/>
  <c r="D6" i="88"/>
  <c r="E6" i="88" s="1"/>
  <c r="D10" i="88"/>
  <c r="E10" i="88" s="1"/>
  <c r="D14" i="88"/>
  <c r="E14" i="88" s="1"/>
  <c r="D18" i="88"/>
  <c r="E18" i="88" s="1"/>
  <c r="D22" i="88"/>
  <c r="E22" i="88" s="1"/>
  <c r="D26" i="88"/>
  <c r="E26" i="88" s="1"/>
  <c r="D30" i="88"/>
  <c r="E30" i="88" s="1"/>
  <c r="D34" i="88"/>
  <c r="E34" i="88" s="1"/>
  <c r="D38" i="88"/>
  <c r="E38" i="88" s="1"/>
  <c r="D42" i="88"/>
  <c r="E42" i="88" s="1"/>
  <c r="D46" i="88"/>
  <c r="E46" i="88" s="1"/>
  <c r="D50" i="88"/>
  <c r="E50" i="88" s="1"/>
  <c r="D54" i="88"/>
  <c r="E54" i="88" s="1"/>
  <c r="D58" i="88"/>
  <c r="E58" i="88" s="1"/>
  <c r="D2" i="88"/>
  <c r="C32" i="9"/>
  <c r="D4" i="88"/>
  <c r="E4" i="88" s="1"/>
  <c r="D7" i="88"/>
  <c r="E7" i="88" s="1"/>
  <c r="D11" i="88"/>
  <c r="E11" i="88" s="1"/>
  <c r="D15" i="88"/>
  <c r="E15" i="88" s="1"/>
  <c r="D19" i="88"/>
  <c r="E19" i="88" s="1"/>
  <c r="D23" i="88"/>
  <c r="E23" i="88" s="1"/>
  <c r="D27" i="88"/>
  <c r="E27" i="88" s="1"/>
  <c r="D31" i="88"/>
  <c r="E31" i="88" s="1"/>
  <c r="D35" i="88"/>
  <c r="E35" i="88" s="1"/>
  <c r="D39" i="88"/>
  <c r="E39" i="88" s="1"/>
  <c r="D43" i="88"/>
  <c r="E43" i="88" s="1"/>
  <c r="D47" i="88"/>
  <c r="E47" i="88" s="1"/>
  <c r="D51" i="88"/>
  <c r="E51" i="88" s="1"/>
  <c r="D55" i="88"/>
  <c r="E55" i="88" s="1"/>
  <c r="D59" i="88"/>
  <c r="E59" i="88" s="1"/>
  <c r="D8" i="88"/>
  <c r="E8" i="88" s="1"/>
  <c r="D12" i="88"/>
  <c r="E12" i="88" s="1"/>
  <c r="D16" i="88"/>
  <c r="E16" i="88" s="1"/>
  <c r="D20" i="88"/>
  <c r="E20" i="88" s="1"/>
  <c r="D28" i="88"/>
  <c r="E28" i="88" s="1"/>
  <c r="D32" i="88"/>
  <c r="E32" i="88" s="1"/>
  <c r="D36" i="88"/>
  <c r="E36" i="88" s="1"/>
  <c r="D40" i="88"/>
  <c r="E40" i="88" s="1"/>
  <c r="D44" i="88"/>
  <c r="E44" i="88" s="1"/>
  <c r="D48" i="88"/>
  <c r="E48" i="88" s="1"/>
  <c r="D52" i="88"/>
  <c r="E52" i="88" s="1"/>
  <c r="D56" i="88"/>
  <c r="E56" i="88" s="1"/>
  <c r="D60" i="88"/>
  <c r="E60" i="88" s="1"/>
  <c r="D3" i="88"/>
  <c r="E3" i="88" s="1"/>
  <c r="G21" i="9"/>
  <c r="G21" i="84"/>
  <c r="C32" i="84"/>
  <c r="C97" i="85"/>
  <c r="D58" i="85" s="1"/>
  <c r="D56" i="85" s="1"/>
  <c r="M54" i="85" s="1"/>
  <c r="N57" i="85" s="1"/>
  <c r="N58" i="85" s="1"/>
  <c r="P57" i="82"/>
  <c r="N59" i="82"/>
  <c r="N58" i="82"/>
  <c r="D61" i="88" l="1"/>
  <c r="E61" i="88" s="1"/>
  <c r="C35" i="9"/>
  <c r="F118" i="9" s="1"/>
  <c r="H118" i="9"/>
  <c r="C34" i="9"/>
  <c r="D118" i="9" s="1"/>
  <c r="E2" i="88"/>
  <c r="C35" i="84"/>
  <c r="F118" i="84" s="1"/>
  <c r="H118" i="84"/>
  <c r="E15" i="74"/>
  <c r="F15" i="74"/>
  <c r="N59" i="85"/>
  <c r="N60" i="85" s="1"/>
  <c r="P57" i="85"/>
  <c r="N60" i="82"/>
  <c r="N61" i="82"/>
  <c r="D62" i="88" l="1"/>
  <c r="E62" i="88" s="1"/>
  <c r="D119" i="9"/>
  <c r="D5" i="52" s="1"/>
  <c r="B49" i="72" s="1"/>
  <c r="D4" i="52"/>
  <c r="B47" i="72" s="1"/>
  <c r="G118" i="9"/>
  <c r="G4" i="52" s="1"/>
  <c r="B52" i="72" s="1"/>
  <c r="F119" i="9"/>
  <c r="F5" i="52" s="1"/>
  <c r="B53" i="72" s="1"/>
  <c r="F4" i="52"/>
  <c r="B51" i="72" s="1"/>
  <c r="H101" i="9"/>
  <c r="H119" i="9"/>
  <c r="H5" i="52" s="1"/>
  <c r="H4" i="52"/>
  <c r="I118" i="9"/>
  <c r="C104" i="9"/>
  <c r="D14" i="74"/>
  <c r="C34" i="84"/>
  <c r="D118" i="84" s="1"/>
  <c r="D119" i="84" s="1"/>
  <c r="F119" i="84"/>
  <c r="G118" i="84"/>
  <c r="H119" i="84"/>
  <c r="I118" i="84"/>
  <c r="H101" i="84"/>
  <c r="C104" i="84"/>
  <c r="N61" i="85"/>
  <c r="M48" i="9" l="1"/>
  <c r="H109" i="9"/>
  <c r="H107" i="9"/>
  <c r="D45" i="9"/>
  <c r="D5" i="53"/>
  <c r="F14" i="74"/>
  <c r="E14" i="74"/>
  <c r="B5" i="74"/>
  <c r="C105" i="9"/>
  <c r="I4" i="52"/>
  <c r="H102" i="9"/>
  <c r="D7" i="53" s="1"/>
  <c r="B21" i="72" s="1"/>
  <c r="E118" i="9"/>
  <c r="E4" i="52" s="1"/>
  <c r="B48" i="72" s="1"/>
  <c r="M48" i="84"/>
  <c r="H107" i="84"/>
  <c r="H109" i="84"/>
  <c r="D45" i="84"/>
  <c r="H102" i="84"/>
  <c r="C105" i="84"/>
  <c r="E118" i="84"/>
  <c r="D6" i="53" l="1"/>
  <c r="B22" i="72" s="1"/>
  <c r="B20" i="72"/>
  <c r="H108" i="9"/>
  <c r="D15" i="53" s="1"/>
  <c r="B31" i="72" s="1"/>
  <c r="D13" i="53"/>
  <c r="D122" i="9"/>
  <c r="C5" i="74"/>
  <c r="D5" i="74"/>
  <c r="C85" i="9"/>
  <c r="D55" i="9"/>
  <c r="M53" i="9" s="1"/>
  <c r="D53" i="9"/>
  <c r="C78" i="9"/>
  <c r="C73" i="9" s="1"/>
  <c r="C93" i="9"/>
  <c r="C86" i="9" s="1"/>
  <c r="C72" i="9"/>
  <c r="D52" i="9"/>
  <c r="C64" i="9"/>
  <c r="C63" i="9" s="1"/>
  <c r="C67" i="9" s="1"/>
  <c r="C68" i="9" s="1"/>
  <c r="D54" i="9" s="1"/>
  <c r="H110" i="9"/>
  <c r="D18" i="53" s="1"/>
  <c r="B35" i="72" s="1"/>
  <c r="D16" i="53"/>
  <c r="M49" i="9"/>
  <c r="D124" i="9"/>
  <c r="H110" i="84"/>
  <c r="D124" i="84"/>
  <c r="D125" i="84" s="1"/>
  <c r="M49" i="84"/>
  <c r="D55" i="84"/>
  <c r="M53" i="84" s="1"/>
  <c r="C64" i="84"/>
  <c r="C63" i="84" s="1"/>
  <c r="C67" i="84" s="1"/>
  <c r="C68" i="84" s="1"/>
  <c r="D54" i="84" s="1"/>
  <c r="C72" i="84"/>
  <c r="C93" i="84"/>
  <c r="C86" i="84" s="1"/>
  <c r="D53" i="84"/>
  <c r="D52" i="84"/>
  <c r="C78" i="84"/>
  <c r="C73" i="84" s="1"/>
  <c r="C85" i="84"/>
  <c r="H108" i="84"/>
  <c r="D122" i="84"/>
  <c r="D123" i="84" s="1"/>
  <c r="C79" i="9" l="1"/>
  <c r="C80" i="9" s="1"/>
  <c r="E80" i="9" s="1"/>
  <c r="E81" i="9" s="1"/>
  <c r="L66" i="9"/>
  <c r="M66" i="9" s="1"/>
  <c r="L63" i="9"/>
  <c r="M63" i="9" s="1"/>
  <c r="L68" i="9"/>
  <c r="M68" i="9" s="1"/>
  <c r="L67" i="9"/>
  <c r="M67" i="9" s="1"/>
  <c r="L65" i="9"/>
  <c r="M65" i="9" s="1"/>
  <c r="L64" i="9"/>
  <c r="M64" i="9" s="1"/>
  <c r="C95" i="9"/>
  <c r="B30" i="72"/>
  <c r="D14" i="53"/>
  <c r="B32" i="72" s="1"/>
  <c r="D10" i="52"/>
  <c r="D125" i="9"/>
  <c r="D11" i="52" s="1"/>
  <c r="H14" i="74"/>
  <c r="B7" i="74" s="1"/>
  <c r="D17" i="53"/>
  <c r="B36" i="72" s="1"/>
  <c r="B34" i="72"/>
  <c r="D123" i="9"/>
  <c r="D9" i="52" s="1"/>
  <c r="D8" i="52"/>
  <c r="G14" i="74"/>
  <c r="B6" i="74" s="1"/>
  <c r="C95" i="84"/>
  <c r="C96" i="84" s="1"/>
  <c r="E96" i="84" s="1"/>
  <c r="E97" i="84" s="1"/>
  <c r="L63" i="84"/>
  <c r="M63" i="84" s="1"/>
  <c r="M69" i="84" s="1"/>
  <c r="N69" i="84" s="1"/>
  <c r="L68" i="84"/>
  <c r="M68" i="84" s="1"/>
  <c r="L64" i="84"/>
  <c r="M64" i="84" s="1"/>
  <c r="L65" i="84"/>
  <c r="M65" i="84" s="1"/>
  <c r="L67" i="84"/>
  <c r="M67" i="84" s="1"/>
  <c r="L66" i="84"/>
  <c r="M66" i="84" s="1"/>
  <c r="C79" i="84"/>
  <c r="C6" i="74" l="1"/>
  <c r="D6" i="74"/>
  <c r="C81" i="9"/>
  <c r="D7" i="74"/>
  <c r="C7" i="74"/>
  <c r="M69" i="9"/>
  <c r="N69" i="9" s="1"/>
  <c r="C96" i="9"/>
  <c r="E96" i="9" s="1"/>
  <c r="E97" i="9" s="1"/>
  <c r="C97" i="84"/>
  <c r="D58" i="84" s="1"/>
  <c r="D56" i="84" s="1"/>
  <c r="M54" i="84" s="1"/>
  <c r="N57" i="84" s="1"/>
  <c r="N59" i="84" s="1"/>
  <c r="C80" i="84"/>
  <c r="E80" i="84" s="1"/>
  <c r="E81" i="84" s="1"/>
  <c r="C81" i="84"/>
  <c r="C97" i="9" l="1"/>
  <c r="D58" i="9" s="1"/>
  <c r="D56" i="9" s="1"/>
  <c r="M54" i="9" s="1"/>
  <c r="N57" i="9" s="1"/>
  <c r="P57" i="84"/>
  <c r="N58" i="84"/>
  <c r="N61" i="84"/>
  <c r="N60" i="84"/>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贾莹</author>
  </authors>
  <commentList>
    <comment ref="B12" authorId="0">
      <text>
        <r>
          <rPr>
            <b/>
            <sz val="9"/>
            <color indexed="81"/>
            <rFont val="宋体"/>
            <family val="3"/>
            <charset val="134"/>
          </rPr>
          <t>贾莹</t>
        </r>
        <r>
          <rPr>
            <b/>
            <sz val="9"/>
            <color indexed="81"/>
            <rFont val="Tahoma"/>
            <family val="2"/>
          </rPr>
          <t>:</t>
        </r>
        <r>
          <rPr>
            <sz val="9"/>
            <color indexed="81"/>
            <rFont val="Tahoma"/>
            <family val="2"/>
          </rPr>
          <t xml:space="preserve">
</t>
        </r>
        <r>
          <rPr>
            <sz val="9"/>
            <color indexed="81"/>
            <rFont val="宋体"/>
            <family val="3"/>
            <charset val="134"/>
          </rPr>
          <t>交订金：牡丹江市特华得食品有限公司</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<sst xmlns="http://schemas.openxmlformats.org/spreadsheetml/2006/main" count="10882" uniqueCount="3463">
  <si>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</si>
  <si>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</si>
  <si>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</si>
  <si>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</si>
  <si>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</si>
  <si>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</si>
  <si>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</si>
  <si>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</si>
  <si>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</si>
  <si>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</si>
  <si>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</si>
  <si>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</si>
  <si>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</si>
  <si>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</si>
  <si>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</si>
  <si>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</si>
  <si>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</si>
  <si>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</si>
  <si>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</si>
  <si>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</si>
  <si>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</si>
  <si>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</si>
  <si>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</si>
  <si>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</si>
  <si>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</si>
  <si>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</si>
  <si>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</si>
  <si>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</si>
  <si>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</si>
  <si>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</si>
  <si>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</si>
  <si>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</si>
  <si>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</si>
  <si>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</si>
  <si>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</si>
  <si>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</si>
  <si>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</si>
  <si>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</si>
  <si>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</si>
  <si>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</si>
  <si>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</si>
  <si>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</si>
  <si>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</si>
  <si>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</si>
  <si>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</si>
  <si>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</si>
  <si>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</si>
  <si>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</si>
  <si>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</si>
  <si>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</si>
  <si>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</si>
  <si>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</si>
  <si>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</si>
  <si>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</si>
  <si>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</si>
  <si>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</si>
  <si>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</si>
  <si>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</si>
  <si>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</si>
  <si>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</si>
  <si>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</si>
  <si>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</si>
  <si>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</si>
  <si>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</si>
  <si>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</si>
  <si>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</si>
  <si>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</si>
  <si>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</si>
  <si>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</si>
  <si>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</si>
  <si>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</si>
  <si>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</si>
  <si>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</si>
  <si>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</si>
  <si>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</si>
  <si>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</si>
  <si>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</si>
  <si>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</si>
  <si>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</si>
  <si>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</si>
  <si>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</si>
  <si>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</si>
  <si>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</si>
  <si>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</si>
  <si>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</si>
  <si>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</si>
  <si>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</si>
  <si>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</si>
  <si>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</si>
  <si>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</si>
  <si>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</si>
  <si>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</si>
  <si>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</si>
  <si>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</si>
  <si>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</si>
  <si>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</si>
  <si>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</si>
  <si>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</si>
  <si>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</si>
  <si>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</si>
  <si>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</si>
  <si>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</si>
  <si>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</si>
  <si>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</si>
  <si>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</si>
  <si>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</si>
  <si>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</si>
  <si>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</si>
  <si>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</si>
  <si>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</si>
  <si>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</si>
  <si>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</si>
  <si>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</si>
  <si>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</si>
  <si>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</si>
  <si>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</si>
  <si>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</si>
  <si>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</si>
  <si>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</si>
  <si>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</si>
  <si>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</si>
  <si>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</si>
  <si>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</si>
  <si>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</si>
  <si>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</si>
  <si>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</si>
  <si>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</si>
  <si>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</si>
  <si>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</si>
  <si>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</si>
  <si>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</si>
  <si>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</si>
  <si>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</si>
  <si>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</si>
  <si>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</si>
  <si>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</si>
  <si>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</si>
  <si>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</si>
  <si>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</si>
  <si>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</si>
  <si>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</si>
  <si>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</si>
  <si>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</si>
  <si>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</si>
  <si>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</si>
  <si>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</si>
  <si>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</si>
  <si>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</si>
  <si>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</si>
  <si>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</si>
  <si>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</si>
  <si>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</si>
  <si>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</si>
  <si>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</si>
  <si>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</si>
  <si>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</si>
  <si>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</si>
  <si>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</si>
  <si>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</si>
  <si>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</si>
  <si>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</si>
  <si>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</si>
  <si>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</si>
  <si>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</si>
  <si>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</si>
  <si>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</si>
  <si>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</si>
  <si>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</si>
  <si>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</si>
  <si>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</si>
  <si>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</si>
  <si>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</si>
  <si>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</si>
  <si>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</si>
  <si>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</si>
  <si>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</si>
  <si>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</si>
  <si>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</si>
  <si>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</si>
  <si>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</si>
  <si>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</si>
  <si>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</si>
  <si>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</si>
  <si>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</si>
  <si>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</si>
  <si>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</si>
  <si>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</si>
  <si>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</si>
  <si>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</si>
  <si>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</si>
  <si>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</si>
  <si>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</si>
  <si>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</si>
  <si>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</si>
  <si>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</si>
  <si>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</si>
  <si>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</si>
  <si>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</si>
  <si>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</si>
  <si>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</si>
  <si>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</si>
  <si>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</si>
  <si>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</si>
  <si>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</si>
  <si>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</si>
  <si>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</si>
  <si>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</si>
  <si>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</si>
  <si>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</si>
  <si>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</si>
  <si>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</si>
  <si>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</si>
  <si>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</si>
  <si>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</si>
  <si>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</si>
  <si>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</si>
  <si>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</si>
  <si>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</si>
  <si>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</si>
  <si>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</si>
  <si>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</si>
  <si>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</si>
  <si>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</si>
  <si>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</si>
  <si>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</si>
  <si>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</si>
  <si>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</si>
  <si>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</si>
  <si>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</si>
  <si>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</si>
  <si>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</si>
  <si>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</si>
  <si>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</si>
  <si>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</si>
  <si>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</si>
  <si>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</si>
  <si>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</si>
  <si>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</si>
  <si>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</si>
  <si>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</si>
  <si>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</si>
  <si>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</si>
  <si>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</si>
  <si>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</si>
  <si>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</si>
  <si>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</si>
  <si>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</si>
  <si>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</si>
  <si>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</si>
  <si>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</si>
  <si>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</si>
  <si>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</si>
  <si>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</si>
  <si>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</si>
  <si>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</si>
  <si>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</si>
  <si>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</si>
  <si>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</si>
  <si>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</si>
  <si>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</si>
  <si>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</si>
  <si>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</si>
  <si>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</si>
  <si>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</si>
  <si>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</si>
  <si>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</si>
  <si>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</si>
  <si>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</si>
  <si>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</si>
  <si>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</si>
  <si>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</si>
  <si>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</si>
  <si>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</si>
  <si>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</si>
  <si>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</si>
  <si>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</si>
  <si>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</si>
  <si>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</si>
  <si>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</si>
  <si>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</si>
  <si>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</si>
  <si>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</si>
  <si>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</si>
  <si>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</si>
  <si>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</si>
  <si>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</si>
  <si>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</si>
  <si>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</si>
  <si>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</si>
  <si>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</si>
  <si>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</si>
  <si>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</si>
  <si>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</si>
  <si>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</si>
  <si>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</si>
  <si>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</si>
  <si>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</si>
  <si>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</si>
  <si>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</si>
  <si>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</si>
  <si>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</si>
  <si>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</si>
  <si>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</si>
  <si>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</si>
  <si>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</si>
  <si>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</si>
  <si>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</si>
  <si>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</si>
  <si>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</si>
  <si>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</si>
  <si>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</si>
  <si>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</si>
  <si>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</si>
  <si>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</si>
  <si>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</si>
  <si>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</si>
  <si>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</si>
  <si>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</si>
  <si>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</si>
  <si>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</si>
  <si>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</si>
  <si>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</si>
  <si>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</si>
  <si>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</si>
  <si>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</si>
  <si>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</si>
  <si>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</si>
  <si>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</si>
  <si>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</si>
  <si>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</si>
  <si>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</si>
  <si>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</si>
  <si>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</si>
  <si>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</si>
  <si>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</si>
  <si>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</si>
  <si>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</si>
  <si>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</si>
  <si>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</si>
  <si>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</si>
  <si>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</si>
  <si>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</si>
  <si>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</si>
  <si>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</si>
  <si>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</si>
  <si>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</si>
  <si>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</si>
  <si>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</si>
  <si>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</si>
  <si>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</si>
  <si>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</si>
  <si>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</si>
  <si>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</si>
  <si>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</si>
  <si>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</si>
  <si>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</si>
  <si>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</si>
  <si>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</si>
  <si>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</si>
  <si>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</si>
  <si>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</si>
  <si>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</si>
  <si>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</si>
  <si>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</si>
  <si>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</si>
  <si>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</si>
  <si>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</si>
  <si>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</si>
  <si>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</si>
  <si>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</si>
  <si>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</si>
  <si>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</si>
  <si>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</si>
  <si>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</si>
  <si>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</si>
  <si>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</si>
  <si>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</si>
  <si>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</si>
  <si>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</si>
  <si>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</si>
  <si>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</si>
  <si>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</si>
  <si>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</si>
  <si>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</si>
  <si>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</si>
  <si>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</si>
  <si>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</si>
  <si>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</si>
  <si>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</si>
  <si>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</si>
  <si>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</si>
  <si>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</si>
  <si>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</si>
  <si>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</si>
  <si>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</si>
  <si>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</si>
  <si>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</si>
  <si>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</si>
  <si>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</si>
  <si>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</si>
  <si>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</si>
  <si>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</si>
  <si>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</si>
  <si>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</si>
  <si>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</si>
  <si>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</si>
  <si>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</si>
  <si>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</si>
  <si>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</si>
  <si>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</si>
  <si>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</si>
  <si>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</si>
  <si>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</si>
  <si>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</si>
  <si>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</si>
  <si>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</si>
  <si>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</si>
  <si>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</si>
  <si>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</si>
  <si>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</si>
  <si>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</si>
  <si>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</si>
  <si>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</si>
  <si>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</si>
  <si>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</si>
  <si>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</si>
  <si>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</si>
  <si>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</si>
  <si>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</si>
  <si>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</si>
  <si>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</si>
  <si>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</si>
  <si>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</si>
  <si>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</si>
  <si>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</si>
  <si>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</si>
  <si>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</si>
  <si>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</si>
  <si>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</si>
  <si>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</si>
  <si>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</si>
  <si>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</si>
  <si>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</si>
  <si>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</si>
  <si>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</si>
  <si>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</si>
  <si>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</si>
  <si>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</si>
  <si>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</si>
  <si>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</si>
  <si>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</si>
  <si>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</si>
  <si>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</si>
  <si>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</si>
  <si>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</si>
  <si>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</si>
  <si>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</si>
  <si>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</si>
  <si>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</si>
  <si>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</si>
  <si>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</si>
  <si>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</si>
  <si>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</si>
  <si>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</si>
  <si>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</si>
  <si>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</si>
  <si>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</si>
  <si>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</si>
  <si>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</si>
  <si>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</si>
  <si>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</si>
  <si>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</si>
  <si>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</si>
  <si>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</si>
  <si>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</si>
  <si>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</si>
  <si>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</si>
  <si>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</si>
  <si>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</si>
  <si>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</si>
  <si>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</si>
  <si>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</si>
  <si>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</si>
  <si>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</si>
  <si>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</si>
  <si>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</si>
  <si>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</si>
  <si>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</si>
  <si>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</si>
  <si>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</si>
  <si>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</si>
  <si>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</si>
  <si>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</si>
  <si>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</si>
  <si>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</si>
  <si>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</si>
  <si>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</si>
  <si>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</si>
  <si>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</si>
  <si>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</si>
  <si>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</si>
  <si>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</si>
  <si>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</si>
  <si>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</si>
  <si>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</si>
  <si>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</si>
  <si>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</si>
  <si>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</si>
  <si>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</si>
  <si>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</si>
  <si>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</si>
  <si>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</si>
  <si>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</si>
  <si>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</si>
  <si>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</si>
  <si>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</si>
  <si>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</si>
  <si>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</si>
  <si>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</si>
  <si>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</si>
  <si>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</si>
  <si>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</si>
  <si>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</si>
  <si>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</si>
  <si>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</si>
  <si>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</si>
  <si>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</si>
  <si>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</si>
  <si>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</si>
  <si>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</si>
  <si>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</si>
  <si>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</si>
  <si>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</si>
  <si>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</si>
  <si>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</si>
  <si>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</si>
  <si>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</si>
  <si>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</si>
  <si>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</si>
  <si>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</si>
  <si>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</si>
  <si>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</si>
  <si>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</si>
  <si>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</si>
  <si>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</si>
  <si>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</si>
  <si>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</si>
  <si>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</si>
  <si>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</si>
  <si>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</si>
  <si>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</si>
  <si>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</si>
  <si>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</si>
  <si>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</si>
  <si>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</si>
  <si>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</si>
  <si>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</si>
  <si>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</si>
  <si>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</si>
  <si>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</si>
  <si>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</si>
  <si>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</si>
  <si>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</si>
  <si>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</si>
  <si>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</si>
  <si>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</si>
  <si>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</si>
  <si>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</si>
  <si>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</si>
  <si>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</si>
  <si>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</si>
  <si>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</si>
  <si>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</si>
  <si>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</si>
  <si>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</si>
  <si>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</si>
  <si>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</si>
  <si>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</si>
  <si>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</si>
  <si>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</si>
  <si>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</si>
  <si>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</si>
  <si>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</si>
  <si>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</si>
  <si>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</si>
  <si>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</si>
  <si>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</si>
  <si>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</si>
  <si>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</si>
  <si>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</si>
  <si>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</si>
  <si>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</si>
  <si>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</si>
  <si>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</si>
  <si>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</si>
  <si>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</si>
  <si>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</si>
  <si>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</si>
  <si>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</si>
  <si>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</si>
  <si>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</si>
  <si>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</si>
  <si>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</si>
  <si>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</si>
  <si>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</si>
  <si>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</si>
  <si>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</si>
  <si>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</si>
  <si>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</si>
  <si>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</si>
  <si>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</si>
  <si>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</si>
  <si>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</si>
  <si>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</si>
  <si>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</si>
  <si>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</si>
  <si>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</si>
  <si>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</si>
  <si>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</si>
  <si>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</si>
  <si>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</si>
  <si>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</si>
  <si>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</si>
  <si>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</si>
  <si>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</si>
  <si>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</si>
  <si>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</si>
  <si>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</si>
  <si>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</si>
  <si>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</si>
  <si>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</si>
  <si>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</si>
  <si>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</si>
  <si>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</si>
  <si>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</si>
  <si>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</si>
  <si>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</si>
  <si>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</si>
  <si>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</si>
  <si>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</si>
  <si>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</si>
  <si>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</si>
  <si>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</si>
  <si>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</si>
  <si>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</si>
  <si>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</si>
  <si>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</si>
  <si>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</si>
  <si>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</si>
  <si>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</si>
  <si>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</si>
  <si>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</si>
  <si>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</si>
  <si>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</si>
  <si>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</si>
  <si>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</si>
  <si>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</si>
  <si>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</si>
  <si>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</si>
  <si>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</si>
  <si>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</si>
  <si>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</si>
  <si>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</si>
  <si>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</si>
  <si>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</si>
  <si>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</si>
  <si>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</si>
  <si>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</si>
  <si>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</si>
  <si>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</si>
  <si>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</si>
  <si>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</si>
  <si>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</si>
  <si>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</si>
  <si>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</si>
  <si>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</si>
  <si>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</si>
  <si>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</si>
  <si>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</si>
  <si>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</si>
  <si>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</si>
  <si>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</si>
  <si>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</si>
  <si>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</si>
  <si>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</si>
  <si>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</si>
  <si>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</si>
  <si>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</si>
  <si>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</si>
  <si>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</si>
  <si>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</si>
  <si>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</si>
  <si>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</si>
  <si>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</si>
  <si>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</si>
  <si>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</si>
  <si>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</si>
  <si>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</si>
  <si>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</si>
  <si>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</si>
  <si>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</si>
  <si>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</si>
  <si>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</si>
  <si>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</si>
  <si>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</si>
  <si>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</si>
  <si>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</si>
  <si>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</si>
  <si>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</si>
  <si>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</si>
  <si>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</si>
  <si>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</si>
  <si>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</si>
  <si>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</si>
  <si>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</si>
  <si>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</si>
  <si>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</si>
  <si>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</si>
  <si>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</si>
  <si>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</si>
  <si>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</si>
  <si>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</si>
  <si>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</si>
  <si>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</si>
  <si>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</si>
  <si>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</si>
  <si>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</si>
  <si>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</si>
  <si>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</si>
  <si>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</si>
  <si>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</si>
  <si>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</si>
  <si>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</si>
  <si>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</si>
  <si>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</si>
  <si>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</si>
  <si>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</si>
  <si>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</si>
  <si>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</si>
  <si>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</si>
  <si>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</si>
  <si>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</si>
  <si>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</si>
  <si>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</si>
  <si>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</si>
  <si>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</si>
  <si>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</si>
  <si>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</si>
  <si>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</si>
  <si>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</si>
  <si>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</si>
  <si>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</si>
  <si>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</si>
  <si>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</si>
  <si>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</si>
  <si>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</si>
  <si>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</si>
  <si>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</si>
  <si>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</si>
  <si>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</si>
  <si>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</si>
  <si>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</si>
  <si>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</si>
  <si>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</si>
  <si>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</si>
  <si>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</si>
  <si>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</si>
  <si>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</si>
  <si>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</si>
  <si>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</si>
  <si>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</si>
  <si>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</si>
  <si>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</si>
  <si>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</si>
  <si>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</si>
  <si>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</si>
  <si>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</si>
  <si>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</si>
  <si>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</si>
  <si>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</si>
  <si>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</si>
  <si>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</si>
  <si>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</si>
  <si>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</si>
  <si>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</si>
  <si>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</si>
  <si>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</si>
  <si>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</si>
  <si>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</si>
  <si>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</si>
  <si>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</si>
  <si>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</si>
  <si>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</si>
  <si>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</si>
  <si>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</si>
  <si>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</si>
  <si>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</si>
  <si>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</si>
  <si>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</si>
  <si>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</si>
  <si>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</si>
  <si>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</si>
  <si>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</si>
  <si>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</si>
  <si>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</si>
  <si>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</si>
  <si>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</si>
  <si>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</si>
  <si>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</si>
  <si>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</si>
  <si>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</si>
  <si>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</si>
  <si>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</si>
  <si>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</si>
  <si>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</si>
  <si>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</si>
  <si>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</si>
  <si>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</si>
  <si>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</si>
  <si>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</si>
  <si>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</si>
  <si>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</si>
  <si>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</si>
  <si>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</si>
  <si>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</si>
  <si>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</si>
  <si>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</si>
  <si>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</si>
  <si>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</si>
  <si>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</si>
  <si>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</si>
  <si>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</si>
  <si>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</si>
  <si>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</si>
  <si>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</si>
  <si>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</si>
  <si>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</si>
  <si>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</si>
  <si>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</si>
  <si>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</si>
  <si>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</si>
  <si>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</si>
  <si>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</si>
  <si>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</si>
  <si>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</si>
  <si>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</si>
  <si>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</si>
  <si>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</si>
  <si>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</si>
  <si>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</si>
  <si>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</si>
  <si>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</si>
  <si>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</si>
  <si>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</si>
  <si>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</si>
  <si>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</si>
  <si>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</si>
  <si>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</si>
  <si>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</si>
  <si>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</si>
  <si>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</si>
  <si>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</si>
  <si>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</si>
  <si>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</si>
  <si>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</si>
  <si>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</si>
  <si>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</si>
  <si>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</si>
  <si>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</si>
  <si>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</si>
  <si>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</si>
  <si>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</si>
  <si>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</si>
  <si>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</si>
  <si>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</si>
  <si>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</si>
  <si>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</si>
  <si>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</si>
  <si>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</si>
  <si>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</si>
  <si>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</si>
  <si>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</si>
  <si>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</si>
  <si>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</si>
  <si>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</si>
  <si>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</si>
  <si>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</si>
  <si>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</si>
  <si>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</si>
  <si>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</si>
  <si>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</si>
  <si>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</si>
  <si>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</si>
  <si>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</si>
  <si>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</si>
  <si>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</si>
  <si>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</si>
  <si>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</si>
  <si>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</si>
  <si>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</si>
  <si>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</si>
  <si>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</si>
  <si>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</si>
  <si>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</si>
  <si>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</si>
  <si>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</si>
  <si>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</si>
  <si>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</si>
  <si>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</si>
  <si>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</si>
  <si>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</si>
  <si>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</si>
  <si>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</si>
  <si>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</si>
  <si>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</si>
  <si>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</si>
  <si>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</si>
  <si>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</si>
  <si>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</si>
  <si>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</si>
  <si>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</si>
  <si>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</si>
  <si>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</si>
  <si>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</si>
  <si>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</si>
  <si>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</si>
  <si>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</si>
  <si>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</si>
  <si>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</si>
  <si>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</si>
  <si>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</si>
  <si>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</si>
  <si>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</si>
  <si>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</si>
  <si>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</si>
  <si>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</si>
  <si>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</si>
  <si>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</si>
  <si>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</si>
  <si>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</si>
  <si>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</si>
  <si>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</si>
  <si>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</si>
  <si>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</si>
  <si>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</si>
  <si>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</si>
  <si>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</si>
  <si>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</si>
  <si>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</si>
  <si>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</si>
  <si>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</si>
  <si>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</si>
  <si>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</si>
  <si>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</si>
  <si>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</si>
  <si>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</si>
  <si>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</si>
  <si>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</si>
  <si>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</si>
  <si>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</si>
  <si>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</si>
  <si>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</si>
  <si>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</si>
  <si>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</si>
  <si>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</si>
  <si>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</si>
  <si>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</si>
  <si>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</si>
  <si>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</si>
  <si>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</si>
  <si>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</si>
  <si>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</si>
  <si>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</si>
  <si>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</si>
  <si>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</si>
  <si>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</si>
  <si>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</si>
  <si>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</si>
  <si>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</si>
  <si>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</si>
  <si>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</si>
  <si>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</si>
  <si>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</si>
  <si>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</si>
  <si>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</si>
  <si>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</si>
  <si>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</si>
  <si>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</si>
  <si>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</si>
  <si>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</si>
  <si>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</si>
  <si>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</si>
  <si>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</si>
  <si>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</si>
  <si>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</si>
  <si>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</si>
  <si>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</si>
  <si>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</si>
  <si>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</si>
  <si>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</si>
  <si>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</si>
  <si>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</si>
  <si>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</si>
  <si>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</si>
  <si>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</si>
  <si>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</si>
  <si>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</si>
  <si>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</si>
  <si>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</si>
  <si>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</si>
  <si>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</si>
  <si>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</si>
  <si>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</si>
  <si>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</si>
  <si>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</si>
  <si>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</si>
  <si>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</si>
  <si>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</si>
  <si>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</si>
  <si>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</si>
  <si>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</si>
  <si>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</si>
  <si>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</si>
  <si>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</si>
  <si>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</si>
  <si>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</si>
  <si>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</si>
  <si>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</si>
  <si>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</si>
  <si>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</si>
  <si>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</si>
  <si>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</si>
  <si>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</si>
  <si>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</si>
  <si>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</si>
  <si>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</si>
  <si>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</si>
  <si>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</si>
  <si>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</si>
  <si>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</si>
  <si>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</si>
  <si>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</si>
  <si>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</si>
  <si>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</si>
  <si>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</si>
  <si>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</si>
  <si>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</si>
  <si>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</si>
  <si>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</si>
  <si>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</si>
  <si>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</si>
  <si>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</si>
  <si>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</si>
  <si>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</si>
  <si>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</si>
  <si>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</si>
  <si>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</si>
  <si>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</si>
  <si>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</si>
  <si>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</si>
  <si>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</si>
  <si>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</si>
  <si>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</si>
  <si>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</si>
  <si>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</si>
  <si>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</si>
  <si>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</si>
  <si>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</si>
  <si>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</si>
  <si>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</si>
  <si>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</si>
  <si>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</si>
  <si>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</si>
  <si>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</si>
  <si>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</si>
  <si>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</si>
  <si>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</si>
  <si>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</si>
  <si>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</si>
  <si>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</si>
  <si>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</si>
  <si>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</si>
  <si>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</si>
  <si>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</si>
  <si>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</si>
  <si>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</si>
  <si>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</si>
  <si>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</si>
  <si>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</si>
  <si>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</si>
  <si>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</si>
  <si>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</si>
  <si>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</si>
  <si>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</si>
  <si>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</si>
  <si>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</si>
  <si>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</si>
  <si>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</si>
  <si>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</si>
  <si>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</si>
  <si>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</si>
  <si>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</si>
  <si>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</si>
  <si>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</si>
  <si>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</si>
  <si>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</si>
  <si>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</si>
  <si>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</si>
  <si>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</si>
  <si>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</si>
  <si>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</si>
  <si>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</si>
  <si>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</si>
  <si>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</si>
  <si>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</si>
  <si>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</si>
  <si>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</si>
  <si>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</si>
  <si>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</si>
  <si>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</si>
  <si>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</si>
  <si>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</si>
  <si>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</si>
  <si>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</si>
  <si>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</si>
  <si>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</si>
  <si>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</si>
  <si>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</si>
  <si>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</si>
  <si>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</si>
  <si>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</si>
  <si>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</si>
  <si>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</si>
  <si>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</si>
  <si>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</si>
  <si>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</si>
  <si>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</si>
  <si>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</si>
  <si>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</si>
  <si>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</si>
  <si>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</si>
  <si>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</si>
  <si>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</si>
  <si>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</si>
  <si>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</si>
  <si>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</si>
  <si>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</si>
  <si>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</si>
  <si>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</si>
  <si>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</si>
  <si>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</si>
  <si>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</si>
  <si>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</si>
  <si>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</si>
  <si>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</si>
  <si>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</si>
  <si>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</si>
  <si>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</si>
  <si>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</si>
  <si>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</si>
  <si>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</si>
  <si>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</si>
  <si>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</si>
  <si>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</si>
  <si>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</si>
  <si>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</si>
  <si>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</si>
  <si>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</si>
  <si>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</si>
  <si>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</si>
  <si>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</si>
  <si>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</si>
  <si>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</si>
  <si>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</si>
  <si>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</si>
  <si>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</si>
  <si>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</si>
  <si>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</si>
  <si>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</si>
  <si>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</si>
  <si>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</si>
  <si>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</si>
  <si>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</si>
  <si>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</si>
  <si>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</si>
  <si>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</si>
  <si>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</si>
  <si>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</si>
  <si>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</si>
  <si>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</si>
  <si>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</si>
  <si>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</si>
  <si>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</si>
  <si>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</si>
  <si>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</si>
  <si>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</si>
  <si>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</si>
  <si>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</si>
  <si>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</si>
  <si>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</si>
  <si>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</si>
  <si>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</si>
  <si>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</si>
  <si>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</si>
  <si>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</si>
  <si>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</si>
  <si>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</si>
  <si>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</si>
  <si>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</si>
  <si>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</si>
  <si>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</si>
  <si>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</si>
  <si>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</si>
  <si>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</si>
  <si>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</si>
  <si>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</si>
  <si>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</si>
  <si>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</si>
  <si>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</si>
  <si>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</si>
  <si>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</si>
  <si>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</si>
  <si>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</si>
  <si>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</si>
  <si>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</si>
  <si>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</si>
  <si>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</si>
  <si>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</si>
  <si>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</si>
  <si>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</si>
  <si>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</si>
  <si>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</si>
  <si>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</si>
  <si>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</si>
  <si>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</si>
  <si>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</si>
  <si>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</si>
  <si>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</si>
  <si>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</si>
  <si>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</si>
  <si>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</si>
  <si>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</si>
  <si>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</si>
  <si>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</si>
  <si>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</si>
  <si>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</si>
  <si>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</si>
  <si>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</si>
  <si>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</si>
  <si>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</si>
  <si>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</si>
  <si>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</si>
  <si>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</si>
  <si>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</si>
  <si>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</si>
  <si>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</si>
  <si>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</si>
  <si>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</si>
  <si>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</si>
  <si>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</si>
  <si>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</si>
  <si>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</si>
  <si>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</si>
  <si>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</si>
  <si>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</si>
  <si>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</si>
  <si>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</si>
  <si>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</si>
  <si>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</si>
  <si>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</si>
  <si>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</si>
  <si>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</si>
  <si>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</si>
  <si>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</si>
  <si>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</si>
  <si>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</si>
  <si>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</si>
  <si>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</si>
  <si>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</si>
  <si>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</si>
  <si>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</si>
  <si>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</si>
  <si>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</si>
  <si>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</si>
  <si>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</si>
  <si>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</si>
  <si>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</si>
  <si>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</si>
  <si>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</si>
  <si>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</si>
  <si>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</si>
  <si>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</si>
  <si>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</si>
  <si>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</si>
  <si>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</si>
  <si>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</si>
  <si>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</si>
  <si>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</si>
  <si>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</si>
  <si>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</si>
  <si>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</si>
  <si>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</si>
  <si>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</si>
  <si>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</si>
  <si>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</si>
  <si>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</si>
  <si>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</si>
  <si>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</si>
  <si>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</si>
  <si>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</si>
  <si>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</si>
  <si>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</si>
  <si>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</si>
  <si>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</si>
  <si>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</si>
  <si>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</si>
  <si>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</si>
  <si>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</si>
  <si>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</si>
  <si>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</si>
  <si>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</si>
  <si>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</si>
  <si>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</si>
  <si>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</si>
  <si>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</si>
  <si>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</si>
  <si>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</si>
  <si>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</si>
  <si>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</si>
  <si>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</si>
  <si>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</si>
  <si>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</si>
  <si>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</si>
  <si>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</si>
  <si>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</si>
  <si>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</si>
  <si>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</si>
  <si>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</si>
  <si>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</si>
  <si>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</si>
  <si>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</si>
  <si>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</si>
  <si>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</si>
  <si>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</si>
  <si>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</si>
  <si>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</si>
  <si>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</si>
  <si>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</si>
  <si>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</si>
  <si>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</si>
  <si>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</si>
  <si>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</si>
  <si>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</si>
  <si>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</si>
  <si>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</si>
  <si>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</si>
  <si>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</si>
  <si>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</si>
  <si>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</si>
  <si>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</si>
  <si>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</si>
  <si>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</si>
  <si>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</si>
  <si>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</si>
  <si>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</si>
  <si>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</si>
  <si>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</si>
  <si>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</si>
  <si>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</si>
  <si>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</si>
  <si>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</si>
  <si>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</si>
  <si>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</si>
  <si>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</si>
  <si>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</si>
  <si>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</si>
  <si>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</si>
  <si>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</si>
  <si>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</si>
  <si>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</si>
  <si>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</si>
  <si>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</si>
  <si>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</si>
  <si>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</si>
  <si>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</si>
  <si>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</si>
  <si>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</si>
  <si>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</si>
  <si>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</si>
  <si>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</si>
  <si>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</si>
  <si>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</si>
  <si>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</si>
  <si>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</si>
  <si>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</si>
  <si>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</si>
  <si>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</si>
  <si>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</si>
  <si>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</si>
  <si>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</si>
  <si>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</si>
  <si>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</si>
  <si>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</si>
  <si>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</si>
  <si>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</si>
  <si>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</si>
  <si>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</si>
  <si>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</si>
  <si>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</si>
  <si>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</si>
  <si>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</si>
  <si>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</si>
  <si>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</si>
  <si>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</si>
  <si>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</si>
  <si>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</si>
  <si>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</si>
  <si>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</si>
  <si>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</si>
  <si>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</si>
  <si>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</si>
  <si>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</si>
  <si>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</si>
  <si>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</si>
  <si>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</si>
  <si>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</si>
  <si>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</si>
  <si>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</si>
  <si>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</si>
  <si>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</si>
  <si>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</si>
  <si>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</si>
  <si>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</si>
  <si>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</si>
  <si>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</si>
  <si>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</si>
  <si>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</si>
  <si>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</si>
  <si>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</si>
  <si>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</si>
  <si>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</si>
  <si>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</si>
  <si>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</si>
  <si>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</si>
  <si>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</si>
  <si>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</si>
  <si>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</si>
  <si>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</si>
  <si>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</si>
  <si>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</si>
  <si>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</si>
  <si>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</si>
  <si>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</si>
  <si>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</si>
  <si>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</si>
  <si>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</si>
  <si>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</si>
  <si>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</si>
  <si>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</si>
  <si>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</si>
  <si>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</si>
  <si>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</si>
  <si>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</si>
  <si>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</si>
  <si>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</si>
  <si>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</si>
  <si>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</si>
  <si>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</si>
  <si>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</si>
  <si>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</si>
  <si>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</si>
  <si>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</si>
  <si>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</si>
  <si>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</si>
  <si>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</si>
  <si>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</si>
  <si>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</si>
  <si>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</si>
  <si>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</si>
  <si>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</si>
  <si>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</si>
  <si>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</si>
  <si>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</si>
  <si>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</si>
  <si>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</si>
  <si>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</si>
  <si>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</si>
  <si>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</si>
  <si>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</si>
  <si>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</si>
  <si>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</si>
  <si>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</si>
  <si>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</si>
  <si>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</si>
  <si>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</si>
  <si>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</si>
  <si>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</si>
  <si>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</si>
  <si>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</si>
  <si>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</si>
  <si>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</si>
  <si>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</si>
  <si>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</si>
  <si>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</si>
  <si>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</si>
  <si>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</si>
  <si>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</si>
  <si>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</si>
  <si>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</si>
  <si>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</si>
  <si>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</si>
  <si>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</si>
  <si>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</si>
  <si>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</si>
  <si>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</si>
  <si>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</si>
  <si>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</si>
  <si>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</si>
  <si>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</si>
  <si>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</si>
  <si>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</si>
  <si>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</si>
  <si>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</si>
  <si>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</si>
  <si>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</si>
  <si>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</si>
  <si>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</si>
  <si>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</si>
  <si>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</si>
  <si>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</si>
  <si>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</si>
  <si>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</si>
  <si>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</si>
  <si>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</si>
  <si>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</si>
  <si>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</si>
  <si>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</si>
  <si>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</si>
  <si>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</si>
  <si>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</si>
  <si>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</si>
  <si>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</si>
  <si>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</si>
  <si>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</si>
  <si>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</si>
  <si>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</si>
  <si>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</si>
  <si>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</si>
  <si>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</si>
  <si>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</si>
  <si>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</si>
  <si>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</si>
  <si>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</si>
  <si>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</si>
  <si>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</si>
  <si>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</si>
  <si>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</si>
  <si>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</si>
  <si>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</si>
  <si>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</si>
  <si>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</si>
  <si>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</si>
  <si>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</si>
  <si>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</si>
  <si>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</si>
  <si>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</si>
  <si>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</si>
  <si>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</si>
  <si>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</si>
  <si>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</si>
  <si>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</si>
  <si>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</si>
  <si>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</si>
  <si>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</si>
  <si>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</si>
  <si>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</si>
  <si>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</si>
  <si>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</si>
  <si>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</si>
  <si>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</si>
  <si>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</si>
  <si>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</si>
  <si>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</si>
  <si>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</si>
  <si>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</si>
  <si>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</si>
  <si>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</si>
  <si>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</si>
  <si>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</si>
  <si>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</si>
  <si>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</si>
  <si>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</si>
  <si>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</si>
  <si>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</si>
  <si>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</si>
  <si>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</si>
  <si>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</si>
  <si>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</si>
  <si>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</si>
  <si>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</si>
  <si>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</si>
  <si>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</si>
  <si>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</si>
  <si>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</si>
  <si>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</si>
  <si>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</si>
  <si>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</si>
  <si>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</si>
  <si>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</si>
  <si>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</si>
  <si>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</si>
  <si>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</si>
  <si>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</si>
  <si>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</si>
  <si>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</si>
  <si>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</si>
  <si>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</si>
  <si>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</si>
  <si>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</si>
  <si>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</si>
  <si>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</si>
  <si>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</si>
  <si>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</si>
  <si>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</si>
  <si>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</si>
  <si>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</si>
  <si>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</si>
  <si>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</si>
  <si>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</si>
  <si>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</si>
  <si>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</si>
  <si>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</si>
  <si>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</si>
  <si>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</si>
  <si>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</si>
  <si>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</si>
  <si>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</si>
  <si>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</si>
  <si>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</si>
  <si>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</si>
  <si>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</si>
  <si>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</si>
  <si>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</si>
  <si>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</si>
  <si>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</si>
  <si>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</si>
  <si>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</si>
  <si>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</si>
  <si>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</si>
  <si>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</si>
  <si>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</si>
  <si>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</si>
  <si>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</si>
  <si>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</si>
  <si>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</si>
  <si>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</si>
  <si>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</si>
  <si>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</si>
  <si>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</si>
  <si>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</si>
  <si>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</si>
  <si>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</si>
  <si>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</si>
  <si>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</si>
  <si>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</si>
  <si>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</si>
  <si>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</si>
  <si>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</si>
  <si>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</si>
  <si>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</si>
  <si>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</si>
  <si>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</si>
  <si>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</si>
  <si>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</si>
  <si>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</si>
  <si>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</si>
  <si>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</si>
  <si>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</si>
  <si>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</si>
  <si>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</si>
  <si>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</si>
  <si>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</si>
  <si>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</si>
  <si>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</si>
  <si>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</si>
  <si>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</si>
  <si>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</si>
  <si>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</si>
  <si>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</si>
  <si>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</si>
  <si>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</si>
  <si>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</si>
  <si>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</si>
  <si>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</si>
  <si>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</si>
  <si>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</si>
  <si>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</si>
  <si>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</si>
  <si>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</si>
  <si>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</si>
  <si>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</si>
  <si>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</si>
  <si>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</si>
  <si>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</si>
  <si>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</si>
  <si>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</si>
  <si>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</si>
  <si>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</si>
  <si>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</si>
  <si>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</si>
  <si>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</si>
  <si>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</si>
  <si>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</si>
  <si>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</si>
  <si>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</si>
  <si>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</si>
  <si>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</si>
  <si>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</si>
  <si>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</si>
  <si>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</si>
  <si>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</si>
  <si>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</si>
  <si>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</si>
  <si>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</si>
  <si>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</si>
  <si>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</si>
  <si>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</si>
  <si>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</si>
  <si>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</si>
  <si>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</si>
  <si>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</si>
  <si>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</si>
  <si>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</si>
  <si>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</si>
  <si>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</si>
  <si>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</si>
  <si>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</si>
  <si>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</si>
  <si>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</si>
  <si>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</si>
  <si>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</si>
  <si>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</si>
  <si>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</si>
  <si>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</si>
  <si>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</si>
  <si>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</si>
  <si>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</si>
  <si>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</si>
  <si>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</si>
  <si>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</si>
  <si>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</si>
  <si>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</si>
  <si>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</si>
  <si>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</si>
  <si>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</si>
  <si>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</si>
  <si>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</si>
  <si>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</si>
  <si>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</si>
  <si>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</si>
  <si>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</si>
  <si>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</si>
  <si>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</si>
  <si>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</si>
  <si>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</si>
  <si>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</si>
  <si>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</si>
  <si>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</si>
  <si>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</si>
  <si>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</si>
  <si>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</si>
  <si>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</si>
  <si>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</si>
  <si>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</si>
  <si>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</si>
  <si>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</si>
  <si>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</si>
  <si>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</si>
  <si>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</si>
  <si>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</si>
  <si>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</si>
  <si>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</si>
  <si>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</si>
  <si>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</si>
  <si>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</si>
  <si>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</si>
  <si>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</si>
  <si>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</si>
  <si>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</si>
  <si>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</si>
  <si>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</si>
  <si>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</si>
  <si>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</si>
  <si>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</si>
  <si>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</si>
  <si>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</si>
  <si>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</si>
  <si>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</si>
  <si>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</si>
  <si>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</si>
  <si>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</si>
  <si>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</si>
  <si>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</si>
  <si>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</si>
  <si>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</si>
  <si>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</si>
  <si>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</si>
  <si>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</si>
  <si>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</si>
  <si>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</si>
  <si>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</si>
  <si>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</si>
  <si>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</si>
  <si>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</si>
  <si>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</si>
  <si>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</si>
  <si>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</si>
  <si>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</si>
  <si>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</si>
  <si>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</si>
  <si>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</si>
  <si>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</si>
  <si>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</si>
  <si>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</si>
  <si>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</si>
  <si>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</si>
  <si>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</si>
  <si>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</si>
  <si>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</si>
  <si>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</si>
  <si>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</si>
  <si>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</si>
  <si>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</si>
  <si>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</si>
  <si>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</si>
  <si>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</si>
  <si>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</si>
  <si>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</si>
  <si>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</si>
  <si>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</si>
  <si>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</si>
  <si>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</si>
  <si>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</si>
  <si>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</si>
  <si>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</si>
  <si>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</si>
  <si>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</si>
  <si>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</si>
  <si>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</si>
  <si>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</si>
  <si>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</si>
  <si>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</si>
  <si>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</si>
  <si>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</si>
  <si>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</si>
  <si>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</si>
  <si>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</si>
  <si>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</si>
  <si>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</si>
  <si>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</si>
  <si>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</si>
  <si>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</si>
  <si>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</si>
  <si>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</si>
  <si>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</si>
  <si>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</si>
  <si>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</si>
  <si>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</si>
  <si>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</si>
  <si>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</si>
  <si>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</si>
  <si>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</si>
  <si>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</si>
  <si>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</si>
  <si>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</si>
  <si>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</si>
  <si>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</si>
  <si>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</si>
  <si>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</si>
  <si>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</si>
  <si>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</si>
  <si>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</si>
  <si>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</si>
  <si>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</si>
  <si>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</si>
  <si>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</si>
  <si>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</si>
  <si>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</si>
  <si>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</si>
  <si>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</si>
  <si>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</si>
  <si>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</si>
  <si>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</si>
  <si>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</si>
  <si>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</si>
  <si>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</si>
  <si>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</si>
  <si>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</si>
  <si>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</si>
  <si>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</si>
  <si>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</si>
  <si>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</si>
  <si>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</si>
  <si>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</si>
  <si>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</si>
  <si>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</si>
  <si>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</si>
  <si>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</si>
  <si>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</si>
  <si>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</si>
  <si>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</si>
  <si>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</si>
  <si>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</si>
  <si>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</si>
  <si>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</si>
  <si>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</si>
  <si>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</si>
  <si>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</si>
  <si>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</si>
  <si>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</si>
  <si>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</si>
  <si>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</si>
  <si>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</si>
  <si>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</si>
  <si>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</si>
  <si>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</si>
  <si>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</si>
  <si>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</si>
  <si>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</si>
  <si>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</si>
  <si>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</si>
  <si>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</si>
  <si>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</si>
  <si>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</si>
  <si>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</si>
  <si>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</si>
  <si>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</si>
  <si>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</si>
  <si>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</si>
  <si>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</si>
  <si>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</si>
  <si>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</si>
  <si>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</si>
  <si>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</si>
  <si>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</si>
  <si>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</si>
  <si>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</si>
  <si>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</si>
  <si>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</si>
  <si>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</si>
  <si>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</si>
  <si>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</si>
  <si>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</si>
  <si>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</si>
  <si>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</si>
  <si>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</si>
  <si>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</si>
  <si>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</si>
  <si>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</si>
  <si>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</si>
  <si>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</si>
  <si>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</si>
  <si>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</si>
  <si>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</si>
  <si>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</si>
  <si>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</si>
  <si>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</si>
  <si>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</si>
  <si>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</si>
  <si>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</si>
  <si>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</si>
  <si>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</si>
  <si>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</si>
  <si>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</si>
  <si>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</si>
  <si>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</si>
  <si>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</si>
  <si>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</si>
  <si>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</si>
  <si>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</si>
  <si>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</si>
  <si>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</si>
  <si>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</si>
  <si>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</si>
  <si>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</si>
  <si>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</si>
  <si>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</si>
  <si>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</si>
  <si>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</si>
  <si>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</si>
  <si>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</si>
  <si>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</si>
  <si>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</si>
  <si>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</si>
  <si>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</si>
  <si>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</si>
  <si>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</si>
  <si>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</si>
  <si>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</si>
  <si>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</si>
  <si>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</si>
  <si>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</si>
  <si>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</si>
  <si>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</si>
  <si>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</si>
  <si>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</si>
  <si>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</si>
  <si>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</si>
  <si>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</si>
  <si>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</si>
  <si>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</si>
  <si>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</si>
  <si>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</si>
  <si>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</si>
  <si>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</si>
  <si>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</si>
  <si>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</si>
  <si>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</si>
  <si>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</si>
  <si>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</si>
  <si>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</si>
  <si>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</si>
  <si>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</si>
  <si>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</si>
  <si>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</si>
  <si>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</si>
  <si>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</si>
  <si>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</si>
  <si>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</si>
  <si>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</si>
  <si>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</si>
  <si>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</si>
  <si>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</si>
  <si>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</si>
  <si>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</si>
  <si>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</si>
  <si>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</si>
  <si>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</si>
  <si>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</si>
  <si>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</si>
  <si>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</si>
  <si>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</si>
  <si>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</si>
  <si>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</si>
  <si>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</si>
  <si>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</si>
  <si>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</si>
  <si>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</si>
  <si>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</si>
  <si>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</si>
  <si>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</si>
  <si>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</si>
  <si>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</si>
  <si>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</si>
  <si>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</si>
  <si>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</si>
  <si>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</si>
  <si>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</si>
  <si>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</si>
  <si>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</si>
  <si>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</si>
  <si>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</si>
  <si>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</si>
  <si>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</si>
  <si>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</si>
  <si>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</si>
  <si>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</si>
  <si>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</si>
  <si>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</si>
  <si>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</si>
  <si>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</si>
  <si>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</si>
  <si>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</si>
  <si>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</si>
  <si>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</si>
  <si>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</si>
  <si>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</si>
  <si>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</si>
  <si>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</si>
  <si>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</si>
  <si>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</si>
  <si>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</si>
  <si>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</si>
  <si>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</si>
  <si>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</si>
  <si>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</si>
  <si>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</si>
  <si>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</si>
  <si>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</si>
  <si>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</si>
  <si>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</si>
  <si>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</si>
  <si>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</si>
  <si>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</si>
  <si>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</si>
  <si>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</si>
  <si>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</si>
  <si>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</si>
  <si>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</si>
  <si>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</si>
  <si>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</si>
  <si>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</si>
  <si>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</si>
  <si>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</si>
  <si>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</si>
  <si>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</si>
  <si>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</si>
  <si>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</si>
  <si>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</si>
  <si>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</si>
  <si>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</si>
  <si>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</si>
  <si>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</si>
  <si>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</si>
  <si>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</si>
  <si>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</si>
  <si>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</si>
  <si>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</si>
  <si>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</si>
  <si>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</si>
  <si>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</si>
  <si>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</si>
  <si>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</si>
  <si>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</si>
  <si>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</si>
  <si>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</si>
  <si>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</si>
  <si>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</si>
  <si>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</si>
  <si>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</si>
  <si>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</si>
  <si>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</si>
  <si>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</si>
  <si>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</si>
  <si>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</si>
  <si>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</si>
  <si>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</si>
  <si>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</si>
  <si>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</si>
  <si>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</si>
  <si>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</si>
  <si>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</si>
  <si>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</si>
  <si>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</si>
  <si>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</si>
  <si>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</si>
  <si>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</si>
  <si>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</si>
  <si>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</si>
  <si>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</si>
  <si>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</si>
  <si>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</si>
  <si>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</si>
  <si>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</si>
  <si>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</si>
  <si>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</si>
  <si>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</si>
  <si>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</si>
  <si>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</si>
  <si>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</si>
  <si>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</si>
  <si>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</si>
  <si>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</si>
  <si>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</si>
  <si>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</si>
  <si>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</si>
  <si>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</si>
  <si>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</si>
  <si>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</si>
  <si>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</si>
  <si>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</si>
  <si>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</si>
  <si>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</si>
  <si>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</si>
  <si>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</si>
  <si>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</si>
  <si>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</si>
  <si>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</si>
  <si>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</si>
  <si>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</si>
  <si>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</si>
  <si>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</si>
  <si>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</si>
  <si>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</si>
  <si>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</si>
  <si>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</si>
  <si>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</si>
  <si>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</si>
  <si>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</si>
  <si>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</si>
  <si>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</si>
  <si>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</si>
  <si>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</si>
  <si>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</si>
  <si>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</si>
  <si>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</si>
  <si>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</si>
  <si>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</si>
  <si>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</si>
  <si>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</si>
  <si>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</si>
  <si>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</si>
  <si>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</si>
  <si>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</si>
  <si>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</si>
  <si>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</si>
  <si>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</si>
  <si>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</si>
  <si>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</si>
  <si>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</si>
  <si>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</si>
  <si>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</si>
  <si>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</si>
  <si>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</si>
  <si>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</si>
  <si>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</si>
  <si>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</si>
  <si>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</si>
  <si>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</si>
  <si>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</si>
  <si>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</si>
  <si>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</si>
  <si>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</si>
  <si>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</si>
  <si>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</si>
  <si>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</si>
  <si>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</si>
  <si>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</si>
  <si>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</si>
  <si>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</si>
  <si>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</si>
  <si>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</si>
  <si>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</si>
  <si>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</si>
  <si>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</si>
  <si>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</si>
  <si>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</si>
  <si>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</si>
  <si>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</si>
  <si>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</si>
  <si>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</si>
  <si>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</si>
  <si>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</si>
  <si>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</si>
  <si>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</si>
  <si>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</si>
  <si>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</si>
  <si>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</si>
  <si>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</si>
  <si>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</si>
  <si>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</si>
  <si>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</si>
  <si>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</si>
  <si>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</si>
  <si>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</si>
  <si>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</si>
  <si>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</si>
  <si>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</si>
  <si>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</si>
  <si>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</si>
  <si>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</si>
  <si>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</si>
  <si>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</si>
  <si>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</si>
  <si>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</si>
  <si>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</si>
  <si>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</si>
  <si>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</si>
  <si>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</si>
  <si>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</si>
  <si>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</si>
  <si>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</si>
  <si>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</si>
  <si>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</si>
  <si>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</si>
  <si>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</si>
  <si>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</si>
  <si>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</si>
  <si>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</si>
  <si>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</si>
  <si>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</si>
  <si>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</si>
  <si>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</si>
  <si>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</si>
  <si>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</si>
  <si>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</si>
  <si>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</si>
  <si>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</si>
  <si>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</si>
  <si>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</si>
  <si>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</si>
  <si>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</si>
  <si>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</si>
  <si>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</si>
  <si>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</si>
  <si>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</si>
  <si>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</si>
  <si>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</si>
  <si>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</si>
  <si>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</si>
  <si>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</si>
  <si>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</si>
  <si>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</si>
  <si>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</si>
  <si>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</si>
  <si>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</si>
  <si>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</si>
  <si>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</si>
  <si>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</si>
  <si>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</si>
  <si>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</si>
  <si>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</si>
  <si>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</si>
  <si>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</si>
  <si>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</si>
  <si>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</si>
  <si>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</si>
  <si>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</si>
  <si>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</si>
  <si>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</si>
  <si>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</si>
  <si>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</si>
  <si>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</si>
  <si>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</si>
  <si>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</si>
  <si>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</si>
  <si>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</si>
  <si>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</si>
  <si>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</si>
  <si>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</si>
  <si>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</si>
  <si>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</si>
  <si>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</si>
  <si>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</si>
  <si>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</si>
  <si>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</si>
  <si>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</si>
  <si>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</si>
  <si>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</si>
  <si>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</si>
  <si>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</si>
  <si>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</si>
  <si>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</si>
  <si>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</si>
  <si>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</si>
  <si>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</si>
  <si>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</si>
  <si>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</si>
  <si>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</si>
  <si>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</si>
  <si>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</si>
  <si>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</si>
  <si>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</si>
  <si>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</si>
  <si>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</si>
  <si>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</si>
  <si>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</si>
  <si>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</si>
  <si>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</si>
  <si>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</si>
  <si>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</si>
  <si>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</si>
  <si>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</si>
  <si>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</si>
  <si>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</si>
  <si>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</si>
  <si>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</si>
  <si>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</si>
  <si>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</si>
  <si>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</si>
  <si>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</si>
  <si>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</si>
  <si>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</si>
  <si>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</si>
  <si>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</si>
  <si>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</si>
  <si>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</si>
  <si>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</si>
  <si>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</si>
  <si>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</si>
  <si>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</si>
  <si>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</si>
  <si>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</si>
  <si>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</si>
  <si>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</si>
  <si>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</si>
  <si>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</si>
  <si>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</si>
  <si>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</si>
  <si>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</si>
  <si>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</si>
  <si>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</si>
  <si>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</si>
  <si>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</si>
  <si>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</si>
  <si>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</si>
  <si>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</si>
  <si>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</si>
  <si>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</si>
  <si>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</si>
  <si>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</si>
  <si>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</si>
  <si>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</si>
  <si>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</si>
  <si>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</si>
  <si>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</si>
  <si>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</si>
  <si>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</si>
  <si>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</si>
  <si>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</si>
  <si>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</si>
  <si>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</si>
  <si>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</si>
  <si>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</si>
  <si>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</si>
  <si>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</si>
  <si>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</si>
  <si>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</si>
  <si>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</si>
  <si>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</si>
  <si>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</si>
  <si>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</si>
  <si>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</si>
  <si>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</si>
  <si>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</si>
  <si>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</si>
  <si>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</si>
  <si>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</si>
  <si>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</si>
  <si>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</si>
  <si>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</si>
  <si>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</si>
  <si>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</si>
  <si>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</si>
  <si>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</si>
  <si>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</si>
  <si>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</si>
  <si>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</si>
  <si>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</si>
  <si>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</si>
  <si>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</si>
  <si>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</si>
  <si>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</si>
  <si>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</si>
  <si>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</si>
  <si>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</si>
  <si>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</si>
  <si>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</si>
  <si>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</si>
  <si>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</si>
  <si>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</si>
  <si>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</si>
  <si>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</si>
  <si>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</si>
  <si>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</si>
  <si>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</si>
  <si>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</si>
  <si>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</si>
  <si>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</si>
  <si>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</si>
  <si>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</si>
  <si>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</si>
  <si>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</si>
  <si>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</si>
  <si>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</si>
  <si>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</si>
  <si>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</si>
  <si>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</si>
  <si>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</si>
  <si>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</si>
  <si>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</si>
  <si>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</si>
  <si>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</si>
  <si>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</si>
  <si>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</si>
  <si>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</si>
  <si>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</si>
  <si>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</si>
  <si>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</si>
  <si>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</si>
  <si>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</si>
  <si>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</si>
  <si>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</si>
  <si>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</si>
  <si>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</si>
  <si>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</si>
  <si>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</si>
  <si>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</si>
  <si>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</si>
  <si>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</si>
  <si>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</si>
  <si>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</si>
  <si>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</si>
  <si>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</si>
  <si>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</si>
  <si>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</si>
  <si>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</si>
  <si>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</si>
  <si>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</si>
  <si>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</si>
  <si>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</si>
  <si>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</si>
  <si>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</si>
  <si>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</si>
  <si>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</si>
  <si>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</si>
  <si>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</si>
  <si>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</si>
  <si>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</si>
  <si>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</si>
  <si>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</si>
  <si>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</si>
  <si>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</si>
  <si>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</si>
  <si>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</si>
  <si>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</si>
  <si>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</si>
  <si>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</si>
  <si>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</si>
  <si>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</si>
  <si>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</si>
  <si>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</si>
  <si>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</si>
  <si>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</si>
  <si>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</si>
  <si>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</si>
  <si>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</si>
  <si>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</si>
  <si>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</si>
  <si>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</si>
  <si>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</si>
  <si>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</si>
  <si>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</si>
  <si>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</si>
  <si>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</si>
  <si>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</si>
  <si>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</si>
  <si>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</si>
  <si>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</si>
  <si>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</si>
  <si>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</si>
  <si>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</si>
  <si>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</si>
  <si>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</si>
  <si>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</si>
  <si>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</si>
  <si>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</si>
  <si>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</si>
  <si>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</si>
  <si>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</si>
  <si>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</si>
  <si>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</si>
  <si>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</si>
  <si>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</si>
  <si>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</si>
  <si>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</si>
  <si>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</si>
  <si>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</si>
  <si>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</si>
  <si>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</si>
  <si>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</si>
  <si>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</si>
  <si>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</si>
  <si>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</si>
  <si>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</si>
  <si>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</si>
  <si>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</si>
  <si>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</si>
  <si>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</si>
  <si>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</si>
  <si>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</si>
  <si>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</si>
  <si>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</si>
  <si>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</si>
  <si>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</si>
  <si>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</si>
  <si>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</si>
  <si>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</si>
  <si>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</si>
  <si>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</si>
  <si>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</si>
  <si>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</si>
  <si>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</si>
  <si>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</si>
  <si>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</si>
  <si>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</si>
  <si>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</si>
  <si>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</si>
  <si>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</si>
  <si>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</si>
  <si>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</si>
  <si>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</si>
  <si>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</si>
  <si>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</si>
  <si>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</si>
  <si>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</si>
  <si>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</si>
  <si>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</si>
  <si>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</si>
  <si>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</si>
  <si>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</si>
  <si>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</si>
  <si>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</si>
  <si>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</si>
  <si>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</si>
  <si>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</si>
  <si>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</si>
  <si>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</si>
  <si>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</si>
  <si>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</si>
  <si>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</si>
  <si>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</si>
  <si>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</si>
  <si>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</si>
  <si>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</si>
  <si>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</si>
  <si>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</si>
  <si>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</si>
  <si>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</si>
  <si>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</si>
  <si>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</si>
  <si>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</si>
  <si>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</si>
  <si>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</si>
  <si>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</si>
  <si>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</si>
  <si>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</si>
  <si>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</si>
  <si>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</si>
  <si>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</si>
  <si>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</si>
  <si>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</si>
  <si>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</si>
  <si>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</si>
  <si>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</si>
  <si>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</si>
  <si>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</si>
  <si>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</si>
  <si>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</si>
  <si>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</si>
  <si>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</si>
  <si>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</si>
  <si>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</si>
  <si>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</si>
  <si>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</si>
  <si>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</si>
  <si>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</si>
  <si>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</si>
  <si>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</si>
  <si>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</si>
  <si>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</si>
  <si>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</si>
  <si>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</si>
  <si>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</si>
  <si>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</si>
  <si>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</si>
  <si>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</si>
  <si>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</si>
  <si>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</si>
  <si>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</si>
  <si>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</si>
  <si>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</si>
  <si>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</si>
  <si>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</si>
  <si>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</si>
  <si>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</si>
  <si>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</si>
  <si>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</si>
  <si>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</si>
  <si>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</si>
  <si>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</si>
  <si>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</si>
  <si>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</si>
  <si>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</si>
  <si>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</si>
  <si>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</si>
  <si>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</si>
  <si>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</si>
  <si>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</si>
  <si>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</si>
  <si>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</si>
  <si>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</si>
  <si>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</si>
  <si>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</si>
  <si>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</si>
  <si>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</si>
  <si>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</si>
  <si>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</si>
  <si>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</si>
  <si>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</si>
  <si>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</si>
  <si>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</si>
  <si>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</si>
  <si>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</si>
  <si>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</si>
  <si>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</si>
  <si>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</si>
  <si>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</si>
  <si>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</si>
  <si>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</si>
  <si>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</si>
  <si>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</si>
  <si>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</si>
  <si>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</si>
  <si>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</si>
  <si>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</si>
  <si>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</si>
  <si>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</si>
  <si>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</si>
  <si>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</si>
  <si>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</si>
  <si>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</si>
  <si>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</si>
  <si>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</si>
  <si>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</si>
  <si>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</si>
  <si>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</si>
  <si>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</si>
  <si>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</si>
  <si>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</si>
  <si>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</si>
  <si>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</si>
  <si>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</si>
  <si>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</si>
  <si>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</si>
  <si>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</si>
  <si>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</si>
  <si>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</si>
  <si>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</si>
  <si>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</si>
  <si>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</si>
  <si>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</si>
  <si>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</si>
  <si>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</si>
  <si>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</si>
  <si>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</si>
  <si>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</si>
  <si>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</si>
  <si>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</si>
  <si>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</si>
  <si>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</si>
  <si>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</si>
  <si>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</si>
  <si>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</si>
  <si>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</si>
  <si>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</si>
  <si>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</si>
  <si>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</si>
  <si>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</si>
  <si>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</si>
  <si>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</si>
  <si>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</si>
  <si>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</si>
  <si>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</si>
  <si>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</si>
  <si>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</si>
  <si>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</si>
  <si>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</si>
  <si>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</si>
  <si>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</si>
  <si>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</si>
  <si>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</si>
  <si>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</si>
  <si>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</si>
  <si>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</si>
  <si>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</si>
  <si>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</si>
  <si>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</si>
  <si>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</si>
  <si>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</si>
  <si>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</si>
  <si>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</si>
  <si>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</si>
  <si>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</si>
  <si>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</si>
  <si>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</si>
  <si>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</si>
  <si>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</si>
  <si>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</si>
  <si>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</si>
  <si>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</si>
  <si>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</si>
  <si>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</si>
  <si>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</si>
  <si>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</si>
  <si>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</si>
  <si>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</si>
  <si>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</si>
  <si>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</si>
  <si>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</si>
  <si>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</si>
  <si>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</si>
  <si>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</si>
  <si>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</si>
  <si>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</si>
  <si>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</si>
  <si>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</si>
  <si>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</si>
  <si>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</si>
  <si>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</si>
  <si>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</si>
  <si>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</si>
  <si>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</si>
  <si>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</si>
  <si>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</si>
  <si>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</si>
  <si>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</si>
  <si>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</si>
  <si>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</si>
  <si>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</si>
  <si>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</si>
  <si>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</si>
  <si>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</si>
  <si>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</si>
  <si>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</si>
  <si>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</si>
  <si>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</si>
  <si>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</si>
  <si>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</si>
  <si>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</si>
  <si>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</si>
  <si>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</si>
  <si>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</si>
  <si>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</si>
  <si>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</si>
  <si>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</si>
  <si>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</si>
  <si>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</si>
  <si>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</si>
  <si>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</si>
  <si>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</si>
  <si>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</si>
  <si>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</si>
  <si>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</si>
  <si>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</si>
  <si>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</si>
  <si>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</si>
  <si>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</si>
  <si>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</si>
  <si>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</si>
  <si>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</si>
  <si>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</si>
  <si>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</si>
  <si>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</si>
  <si>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</si>
  <si>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</si>
  <si>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</si>
  <si>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</si>
  <si>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</si>
  <si>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</si>
  <si>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</si>
  <si>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</si>
  <si>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</si>
  <si>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</si>
  <si>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</si>
  <si>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</si>
  <si>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</si>
  <si>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</si>
  <si>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</si>
  <si>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</si>
  <si>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</si>
  <si>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</si>
  <si>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</si>
  <si>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</si>
  <si>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</si>
  <si>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</si>
  <si>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</si>
  <si>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</si>
  <si>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</si>
  <si>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</si>
  <si>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</si>
  <si>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</si>
  <si>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</si>
  <si>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</si>
  <si>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</si>
  <si>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</si>
  <si>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</si>
  <si>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</si>
  <si>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</si>
  <si>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</si>
  <si>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</si>
  <si>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</si>
  <si>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</si>
  <si>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</si>
  <si>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</si>
  <si>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</si>
  <si>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</si>
  <si>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</si>
  <si>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</si>
  <si>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</si>
  <si>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</si>
  <si>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</si>
  <si>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</si>
  <si>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</si>
  <si>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</si>
  <si>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</si>
  <si>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</si>
  <si>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</si>
  <si>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</si>
  <si>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</si>
  <si>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</si>
  <si>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</si>
  <si>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</si>
  <si>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</si>
  <si>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</si>
  <si>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</si>
  <si>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</si>
  <si>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</si>
  <si>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</si>
  <si>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</si>
  <si>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</si>
  <si>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</si>
  <si>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</si>
  <si>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</si>
  <si>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</si>
  <si>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</si>
  <si>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</si>
  <si>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</si>
  <si>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</si>
  <si>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</si>
  <si>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</si>
  <si>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</si>
  <si>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</si>
  <si>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</si>
  <si>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</si>
  <si>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</si>
  <si>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</si>
  <si>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</si>
  <si>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</si>
  <si>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</si>
  <si>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</si>
  <si>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</si>
  <si>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</si>
  <si>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</si>
  <si>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</si>
  <si>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</si>
  <si>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</si>
  <si>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</si>
  <si>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</si>
  <si>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</si>
  <si>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</si>
  <si>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</si>
  <si>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</si>
  <si>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</si>
  <si>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</si>
  <si>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</si>
  <si>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</si>
  <si>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</si>
  <si>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</si>
  <si>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</si>
  <si>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</si>
  <si>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</si>
  <si>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</si>
  <si>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</si>
  <si>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</si>
  <si>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</si>
  <si>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</si>
  <si>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</si>
  <si>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</si>
  <si>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</si>
  <si>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</si>
  <si>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</si>
  <si>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</si>
  <si>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</si>
  <si>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</si>
  <si>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</si>
  <si>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</si>
  <si>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</si>
  <si>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</si>
  <si>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</si>
  <si>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</si>
  <si>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</si>
  <si>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</si>
  <si>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</si>
  <si>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</si>
  <si>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</si>
  <si>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</si>
  <si>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</si>
  <si>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</si>
  <si>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</si>
  <si>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</si>
  <si>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</si>
  <si>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</si>
  <si>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</si>
  <si>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</si>
  <si>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</si>
  <si>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</si>
  <si>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</si>
  <si>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</si>
  <si>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</si>
  <si>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</si>
  <si>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</si>
  <si>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</si>
  <si>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</si>
  <si>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</si>
  <si>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</si>
  <si>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</si>
  <si>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</si>
  <si>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</si>
  <si>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</si>
  <si>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</si>
  <si>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</si>
  <si>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</si>
  <si>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</si>
  <si>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</si>
  <si>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</si>
  <si>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</si>
  <si>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</si>
  <si>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</si>
  <si>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</si>
  <si>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</si>
  <si>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</si>
  <si>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</si>
  <si>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</si>
  <si>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</si>
  <si>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</si>
  <si>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</si>
  <si>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</si>
  <si>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</si>
  <si>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</si>
  <si>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</si>
  <si>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</si>
  <si>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</si>
  <si>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</si>
  <si>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</si>
  <si>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</si>
  <si>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</si>
  <si>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</si>
  <si>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</si>
  <si>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</si>
  <si>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</si>
  <si>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</si>
  <si>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</si>
  <si>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</si>
  <si>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</si>
  <si>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</si>
  <si>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</si>
  <si>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</si>
  <si>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</si>
  <si>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</si>
  <si>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</si>
  <si>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</si>
  <si>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</si>
  <si>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</si>
  <si>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</si>
  <si>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</si>
  <si>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</si>
  <si>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</si>
  <si>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</si>
  <si>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</si>
  <si>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</si>
  <si>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</si>
  <si>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郑燚</t>
  </si>
  <si>
    <t>工行</t>
    <phoneticPr fontId="6" type="noConversion"/>
  </si>
  <si>
    <t>北京国锐房地产开发有限公司</t>
    <phoneticPr fontId="6" type="noConversion"/>
  </si>
  <si>
    <t>北京国锐房地产开发有限公司</t>
    <phoneticPr fontId="6" type="noConversion"/>
  </si>
  <si>
    <t>抵押</t>
  </si>
  <si>
    <t>已注销及未注销</t>
  </si>
  <si>
    <t>房地产抵押价值</t>
  </si>
  <si>
    <t>北京市</t>
  </si>
  <si>
    <r>
      <rPr>
        <sz val="12"/>
        <color theme="9" tint="-0.249977111117893"/>
        <rFont val="宋体"/>
        <family val="3"/>
        <charset val="134"/>
      </rPr>
      <t>经济技术开发区荣华南路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</si>
  <si>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企业</t>
  </si>
  <si>
    <t>出让</t>
  </si>
  <si>
    <t>收益法-商业</t>
    <phoneticPr fontId="16" type="noConversion"/>
  </si>
  <si>
    <t>收益法-办公</t>
    <phoneticPr fontId="16" type="noConversion"/>
  </si>
  <si>
    <t>收益法-仓储</t>
    <phoneticPr fontId="16" type="noConversion"/>
  </si>
  <si>
    <t>收益法-车位</t>
    <phoneticPr fontId="16" type="noConversion"/>
  </si>
  <si>
    <t>地下仓储</t>
  </si>
  <si>
    <t>地上商业</t>
  </si>
  <si>
    <t>是</t>
  </si>
  <si>
    <t>地上</t>
  </si>
  <si>
    <t>地下</t>
  </si>
  <si>
    <t>仓储</t>
  </si>
  <si>
    <t>成新度</t>
  </si>
  <si>
    <t>售价</t>
  </si>
  <si>
    <t>高速路</t>
  </si>
  <si>
    <t>快速路</t>
  </si>
  <si>
    <t>主干道</t>
  </si>
  <si>
    <t>次干道</t>
  </si>
  <si>
    <t>支路</t>
  </si>
  <si>
    <t>高区</t>
  </si>
  <si>
    <t>中区</t>
  </si>
  <si>
    <t>低区</t>
  </si>
  <si>
    <t>标准写字楼</t>
  </si>
  <si>
    <t>异形建筑</t>
  </si>
  <si>
    <t>钢结构</t>
  </si>
  <si>
    <t>钢混</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</si>
  <si>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</si>
  <si>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</si>
  <si>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</si>
  <si>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</si>
  <si>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</si>
  <si>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</si>
  <si>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</si>
  <si>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</si>
  <si>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</si>
  <si>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</si>
  <si>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</si>
  <si>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</si>
  <si>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</si>
  <si>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</si>
  <si>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</si>
  <si>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</si>
  <si>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</si>
  <si>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有</t>
  </si>
  <si>
    <t>无</t>
  </si>
  <si>
    <t>智能环保系统</t>
    <phoneticPr fontId="32" type="noConversion"/>
  </si>
  <si>
    <t>大族广场</t>
    <phoneticPr fontId="3" type="noConversion"/>
  </si>
  <si>
    <t>富兴国际中心</t>
    <phoneticPr fontId="3" type="noConversion"/>
  </si>
  <si>
    <t>林肯公园</t>
    <phoneticPr fontId="3" type="noConversion"/>
  </si>
  <si>
    <t>正常</t>
  </si>
  <si>
    <t>办公</t>
    <phoneticPr fontId="32" type="noConversion"/>
  </si>
  <si>
    <t>40-50（含）</t>
  </si>
  <si>
    <t>较好</t>
  </si>
  <si>
    <t>好</t>
  </si>
  <si>
    <t>有</t>
    <phoneticPr fontId="32" type="noConversion"/>
  </si>
  <si>
    <t>无</t>
    <phoneticPr fontId="32" type="noConversion"/>
  </si>
  <si>
    <t>无</t>
    <phoneticPr fontId="32" type="noConversion"/>
  </si>
  <si>
    <t>建筑品质</t>
    <phoneticPr fontId="32" type="noConversion"/>
  </si>
  <si>
    <t>高档</t>
    <phoneticPr fontId="32" type="noConversion"/>
  </si>
  <si>
    <t>中档</t>
    <phoneticPr fontId="32" type="noConversion"/>
  </si>
  <si>
    <t>高档</t>
    <phoneticPr fontId="32" type="noConversion"/>
  </si>
  <si>
    <t>中档</t>
    <phoneticPr fontId="32" type="noConversion"/>
  </si>
  <si>
    <t>朝林广场</t>
    <phoneticPr fontId="3" type="noConversion"/>
  </si>
  <si>
    <t>中航枝广场</t>
    <phoneticPr fontId="3" type="noConversion"/>
  </si>
  <si>
    <t>租金</t>
  </si>
  <si>
    <t>收益法-办公</t>
  </si>
  <si>
    <t>押一</t>
  </si>
  <si>
    <t>按租金收入计税</t>
  </si>
  <si>
    <t>非生产用房</t>
  </si>
  <si>
    <t>否</t>
  </si>
  <si>
    <t>比较法-办公</t>
  </si>
  <si>
    <t>多面临街</t>
  </si>
  <si>
    <t>双面临街</t>
  </si>
  <si>
    <t>单面临街</t>
  </si>
  <si>
    <t>不临街</t>
  </si>
  <si>
    <t>一般</t>
  </si>
  <si>
    <t>较差</t>
  </si>
  <si>
    <t>差</t>
  </si>
  <si>
    <t>大</t>
  </si>
  <si>
    <t>较大</t>
  </si>
  <si>
    <r>
      <t>1</t>
    </r>
    <r>
      <rPr>
        <sz val="11"/>
        <color indexed="8"/>
        <rFont val="宋体"/>
        <family val="3"/>
        <charset val="134"/>
      </rPr>
      <t>层</t>
    </r>
  </si>
  <si>
    <t>大型综合商业体</t>
    <phoneticPr fontId="31" type="noConversion"/>
  </si>
  <si>
    <t>独栋商业</t>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</si>
  <si>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</si>
  <si>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</si>
  <si>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</si>
  <si>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</si>
  <si>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</si>
  <si>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</si>
  <si>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</si>
  <si>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</si>
  <si>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</si>
  <si>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t>
  </si>
  <si>
    <t>精装</t>
    <phoneticPr fontId="31" type="noConversion"/>
  </si>
  <si>
    <t>普装</t>
    <phoneticPr fontId="31" type="noConversion"/>
  </si>
  <si>
    <t>简装</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</si>
  <si>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</si>
  <si>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</si>
  <si>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</si>
  <si>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</si>
  <si>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</si>
  <si>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</si>
  <si>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</si>
  <si>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</si>
  <si>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不餐饮</t>
  </si>
  <si>
    <t>不餐饮</t>
    <phoneticPr fontId="31" type="noConversion"/>
  </si>
  <si>
    <t>超高</t>
  </si>
  <si>
    <t>超高</t>
    <phoneticPr fontId="31" type="noConversion"/>
  </si>
  <si>
    <t>标准</t>
  </si>
  <si>
    <t>标准</t>
    <phoneticPr fontId="31" type="noConversion"/>
  </si>
  <si>
    <t>亦庄创意生活广场</t>
    <phoneticPr fontId="31" type="noConversion"/>
  </si>
  <si>
    <t>BDA国际广场</t>
    <phoneticPr fontId="3" type="noConversion"/>
  </si>
  <si>
    <t>商业</t>
    <phoneticPr fontId="31" type="noConversion"/>
  </si>
  <si>
    <t>30-40（含）</t>
  </si>
  <si>
    <t>较好</t>
    <phoneticPr fontId="31" type="noConversion"/>
  </si>
  <si>
    <t>好</t>
    <phoneticPr fontId="31" type="noConversion"/>
  </si>
  <si>
    <t>较好</t>
    <phoneticPr fontId="31" type="noConversion"/>
  </si>
  <si>
    <t>1层</t>
  </si>
  <si>
    <t>楼层</t>
    <phoneticPr fontId="143" type="noConversion"/>
  </si>
  <si>
    <t>租金</t>
    <phoneticPr fontId="143" type="noConversion"/>
  </si>
  <si>
    <t>系数</t>
    <phoneticPr fontId="143" type="noConversion"/>
  </si>
  <si>
    <t>面积</t>
    <phoneticPr fontId="143" type="noConversion"/>
  </si>
  <si>
    <t>4层及以上</t>
    <phoneticPr fontId="143" type="noConversion"/>
  </si>
  <si>
    <t>地下1层</t>
    <phoneticPr fontId="143" type="noConversion"/>
  </si>
  <si>
    <t>平均租金</t>
    <phoneticPr fontId="143" type="noConversion"/>
  </si>
  <si>
    <t>收益法-商业</t>
  </si>
  <si>
    <t>典型户型修正</t>
  </si>
  <si>
    <t>典型户型修正</t>
    <phoneticPr fontId="16" type="noConversion"/>
  </si>
  <si>
    <t>Ⅵ-亦1</t>
  </si>
  <si>
    <t>不临58条商业街</t>
  </si>
  <si>
    <t>七通一平</t>
  </si>
  <si>
    <t>一致</t>
  </si>
  <si>
    <t>按公示增长率计算</t>
  </si>
  <si>
    <t>楼层修正</t>
  </si>
  <si>
    <t>商务金融用地（办公类）</t>
  </si>
  <si>
    <t>自定义容积率</t>
  </si>
  <si>
    <t>未包含在土地购买价格中</t>
  </si>
  <si>
    <t>已包含在土地取得成本中</t>
  </si>
  <si>
    <t>自定义</t>
  </si>
  <si>
    <t>收益法-仓储</t>
  </si>
  <si>
    <t>成本法</t>
  </si>
  <si>
    <t>现房</t>
  </si>
  <si>
    <t>分摊土地面积</t>
  </si>
  <si>
    <t>成本比率</t>
  </si>
  <si>
    <t>建筑面积</t>
  </si>
  <si>
    <t>高区</t>
    <phoneticPr fontId="25" type="noConversion"/>
  </si>
  <si>
    <t>中区</t>
    <phoneticPr fontId="25" type="noConversion"/>
  </si>
  <si>
    <t>低区</t>
    <phoneticPr fontId="25" type="noConversion"/>
  </si>
  <si>
    <r>
      <rPr>
        <sz val="10"/>
        <color theme="1"/>
        <rFont val="华文细黑"/>
        <family val="3"/>
        <charset val="134"/>
      </rPr>
      <t>序号</t>
    </r>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</si>
  <si>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</si>
  <si>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</si>
  <si>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不动产权证书证号</t>
    </r>
    <phoneticPr fontId="143" type="noConversion"/>
  </si>
  <si>
    <r>
      <rPr>
        <sz val="10"/>
        <color theme="1"/>
        <rFont val="华文细黑"/>
        <family val="3"/>
        <charset val="134"/>
      </rPr>
      <t>用途</t>
    </r>
    <phoneticPr fontId="143" type="noConversion"/>
  </si>
  <si>
    <r>
      <rPr>
        <sz val="10"/>
        <color theme="1"/>
        <rFont val="华文细黑"/>
        <family val="3"/>
        <charset val="134"/>
      </rPr>
      <t>办公</t>
    </r>
    <phoneticPr fontId="143" type="noConversion"/>
  </si>
  <si>
    <r>
      <rPr>
        <b/>
        <sz val="10"/>
        <color theme="1"/>
        <rFont val="华文细黑"/>
        <family val="3"/>
        <charset val="134"/>
      </rPr>
      <t>合计</t>
    </r>
    <phoneticPr fontId="143" type="noConversion"/>
  </si>
  <si>
    <t>——</t>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</si>
  <si>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0022224</t>
    </r>
    <r>
      <rPr>
        <sz val="10"/>
        <color theme="1"/>
        <rFont val="华文细黑"/>
        <family val="3"/>
        <charset val="134"/>
      </rPr>
      <t>号</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</si>
  <si>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0022228号</t>
    </r>
    <r>
      <rPr>
        <sz val="10"/>
        <color theme="1"/>
        <rFont val="华文细黑"/>
        <family val="3"/>
        <charset val="134"/>
      </rPr>
      <t/>
    </r>
  </si>
  <si>
    <t>房屋面积明细表（依据不动产权证书）</t>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</si>
  <si>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</si>
  <si>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</si>
  <si>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</si>
  <si>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</si>
  <si>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</si>
  <si>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</si>
  <si>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</si>
  <si>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0000903号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</si>
  <si>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</si>
  <si>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</si>
  <si>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</si>
  <si>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</si>
  <si>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</si>
  <si>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</si>
  <si>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</si>
  <si>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</si>
  <si>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0022230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</si>
  <si>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</si>
  <si>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</si>
  <si>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</si>
  <si>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</si>
  <si>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</si>
  <si>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0000425号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</si>
  <si>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0000426号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</si>
  <si>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</si>
  <si>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</si>
  <si>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</si>
  <si>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</si>
  <si>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</si>
  <si>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0000422号</t>
    </r>
    <r>
      <rPr>
        <sz val="10"/>
        <color theme="1"/>
        <rFont val="华文细黑"/>
        <family val="3"/>
        <charset val="134"/>
      </rPr>
      <t/>
    </r>
  </si>
  <si>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</si>
  <si>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</si>
  <si>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</si>
  <si>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</si>
  <si>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</si>
  <si>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</si>
  <si>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</si>
  <si>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0000900</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</si>
  <si>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0000899</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</si>
  <si>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</si>
  <si>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</si>
  <si>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0000897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</si>
  <si>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</si>
  <si>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0000864</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</si>
  <si>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0000867</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</si>
  <si>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0000873</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</si>
  <si>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0000916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</si>
  <si>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0000915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</si>
  <si>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</si>
  <si>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0000885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</si>
  <si>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0000435</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</si>
  <si>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</si>
  <si>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0000431</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</si>
  <si>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0000416</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</si>
  <si>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0000428</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</si>
  <si>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0000429号</t>
    </r>
    <r>
      <rPr>
        <sz val="10"/>
        <color theme="1"/>
        <rFont val="华文细黑"/>
        <family val="3"/>
        <charset val="134"/>
      </rPr>
      <t/>
    </r>
  </si>
  <si>
    <r>
      <rPr>
        <sz val="10"/>
        <color theme="1"/>
        <rFont val="华文细黑"/>
        <family val="3"/>
        <charset val="134"/>
      </rPr>
      <t>京（</t>
    </r>
    <r>
      <rPr>
        <sz val="10"/>
        <color theme="1"/>
        <rFont val="Arial"/>
        <family val="2"/>
      </rPr>
      <t>2018</t>
    </r>
    <r>
      <rPr>
        <sz val="10"/>
        <color theme="1"/>
        <rFont val="华文细黑"/>
        <family val="3"/>
        <charset val="134"/>
      </rPr>
      <t>）开不动产权第</t>
    </r>
    <r>
      <rPr>
        <sz val="10"/>
        <color theme="1"/>
        <rFont val="Arial"/>
        <family val="2"/>
      </rPr>
      <t>0022222</t>
    </r>
    <r>
      <rPr>
        <sz val="10"/>
        <color theme="1"/>
        <rFont val="宋体"/>
        <family val="3"/>
        <charset val="134"/>
      </rPr>
      <t>号</t>
    </r>
    <r>
      <rPr>
        <sz val="10"/>
        <color theme="1"/>
        <rFont val="华文细黑"/>
        <family val="3"/>
        <charset val="134"/>
      </rPr>
      <t/>
    </r>
    <phoneticPr fontId="143" type="noConversion"/>
  </si>
  <si>
    <r>
      <rPr>
        <sz val="10"/>
        <color theme="1"/>
        <rFont val="华文细黑"/>
        <family val="3"/>
        <charset val="134"/>
      </rPr>
      <t>京（</t>
    </r>
    <r>
      <rPr>
        <sz val="10"/>
        <color theme="1"/>
        <rFont val="Arial"/>
        <family val="2"/>
      </rPr>
      <t>2019</t>
    </r>
    <r>
      <rPr>
        <sz val="10"/>
        <color theme="1"/>
        <rFont val="华文细黑"/>
        <family val="3"/>
        <charset val="134"/>
      </rPr>
      <t>）开不动产权第</t>
    </r>
    <r>
      <rPr>
        <sz val="10"/>
        <color theme="1"/>
        <rFont val="Arial"/>
        <family val="2"/>
      </rPr>
      <t>0000430</t>
    </r>
    <r>
      <rPr>
        <sz val="10"/>
        <color theme="1"/>
        <rFont val="宋体"/>
        <family val="3"/>
        <charset val="134"/>
      </rPr>
      <t>号</t>
    </r>
    <r>
      <rPr>
        <sz val="10"/>
        <color theme="1"/>
        <rFont val="华文细黑"/>
        <family val="3"/>
        <charset val="134"/>
      </rPr>
      <t/>
    </r>
    <phoneticPr fontId="143" type="noConversion"/>
  </si>
  <si>
    <t>序号</t>
  </si>
  <si>
    <t>承租人姓名</t>
    <phoneticPr fontId="257" type="noConversion"/>
  </si>
  <si>
    <t>房号</t>
  </si>
  <si>
    <t>开票
类别</t>
  </si>
  <si>
    <t>已出租面积</t>
    <phoneticPr fontId="257" type="noConversion"/>
  </si>
  <si>
    <t>租赁月数</t>
    <phoneticPr fontId="257" type="noConversion"/>
  </si>
  <si>
    <t>租赁起始日</t>
    <phoneticPr fontId="257" type="noConversion"/>
  </si>
  <si>
    <t>租赁终止日</t>
    <phoneticPr fontId="257" type="noConversion"/>
  </si>
  <si>
    <t>免租期</t>
  </si>
  <si>
    <t>租金递增</t>
  </si>
  <si>
    <t>付款方式</t>
  </si>
  <si>
    <t>单价/天/平方米</t>
    <phoneticPr fontId="257" type="noConversion"/>
  </si>
  <si>
    <t xml:space="preserve">正在执行
月租金  </t>
    <phoneticPr fontId="257" type="noConversion"/>
  </si>
  <si>
    <t>实交租金
保证金</t>
    <phoneticPr fontId="257" type="noConversion"/>
  </si>
  <si>
    <t>应交租金
保证金</t>
    <phoneticPr fontId="257" type="noConversion"/>
  </si>
  <si>
    <t>订金</t>
    <phoneticPr fontId="257" type="noConversion"/>
  </si>
  <si>
    <t>租金终止
日期</t>
    <phoneticPr fontId="257" type="noConversion"/>
  </si>
  <si>
    <t>2018年实收</t>
    <phoneticPr fontId="257" type="noConversion"/>
  </si>
  <si>
    <t>2018年实收（物业代收）</t>
    <phoneticPr fontId="257" type="noConversion"/>
  </si>
  <si>
    <t>租金合计</t>
    <phoneticPr fontId="257" type="noConversion"/>
  </si>
  <si>
    <t>2018年实收明细</t>
    <phoneticPr fontId="257" type="noConversion"/>
  </si>
  <si>
    <t>2019年合计</t>
    <phoneticPr fontId="257" type="noConversion"/>
  </si>
  <si>
    <t>2018年预收结转收入</t>
    <phoneticPr fontId="257" type="noConversion"/>
  </si>
  <si>
    <t>备注</t>
    <phoneticPr fontId="257" type="noConversion"/>
  </si>
  <si>
    <t>2019年预收结转收入</t>
    <phoneticPr fontId="257" type="noConversion"/>
  </si>
  <si>
    <t>交款日期</t>
  </si>
  <si>
    <t>所属期间</t>
  </si>
  <si>
    <t>2018年1月</t>
    <phoneticPr fontId="257" type="noConversion"/>
  </si>
  <si>
    <t>2018年2月</t>
  </si>
  <si>
    <t>2018年3月</t>
  </si>
  <si>
    <t>2018年4月</t>
  </si>
  <si>
    <t>2018年5月</t>
  </si>
  <si>
    <t>2018年6月</t>
  </si>
  <si>
    <t>2018年7月</t>
  </si>
  <si>
    <t>2018年8月</t>
  </si>
  <si>
    <t>2018年9月</t>
  </si>
  <si>
    <t>2018年10月</t>
  </si>
  <si>
    <t>2018年11月</t>
  </si>
  <si>
    <t>2018年12月</t>
  </si>
  <si>
    <t>合计</t>
    <phoneticPr fontId="257" type="noConversion"/>
  </si>
  <si>
    <t>2019年1月</t>
    <phoneticPr fontId="257" type="noConversion"/>
  </si>
  <si>
    <t>2019年2月</t>
  </si>
  <si>
    <t>2019年3月</t>
  </si>
  <si>
    <t>2019年4月</t>
  </si>
  <si>
    <t>2019年5月</t>
  </si>
  <si>
    <t>2019年6月</t>
  </si>
  <si>
    <t>2019年7月</t>
  </si>
  <si>
    <t>2019年8月</t>
  </si>
  <si>
    <t>2019年9月</t>
  </si>
  <si>
    <t>2019年10月</t>
  </si>
  <si>
    <t>2019年11月</t>
  </si>
  <si>
    <t>2019年12月</t>
  </si>
  <si>
    <t>招商证券股份有限公司</t>
  </si>
  <si>
    <t>开租金和租赁保证金收据</t>
  </si>
  <si>
    <t>2018.7.15-2018.10.14</t>
  </si>
  <si>
    <t>押三付六</t>
    <phoneticPr fontId="257" type="noConversion"/>
  </si>
  <si>
    <t>2018.10.15-2019.4.14</t>
  </si>
  <si>
    <t>新韩银行（北京）有限公司北京分行</t>
  </si>
  <si>
    <t>102</t>
    <phoneticPr fontId="257" type="noConversion"/>
  </si>
  <si>
    <t>2018.8.20-2018.12.19</t>
  </si>
  <si>
    <t>押三付三</t>
  </si>
  <si>
    <t>2019-3-19</t>
    <phoneticPr fontId="257" type="noConversion"/>
  </si>
  <si>
    <t>2018.12.20-2019.3.19</t>
  </si>
  <si>
    <t>103</t>
    <phoneticPr fontId="257" type="noConversion"/>
  </si>
  <si>
    <t>吴立远</t>
  </si>
  <si>
    <t>106</t>
    <phoneticPr fontId="257" type="noConversion"/>
  </si>
  <si>
    <t>60</t>
  </si>
  <si>
    <t>2018.05.15-2018.11.14</t>
  </si>
  <si>
    <t>押三付三</t>
    <phoneticPr fontId="257" type="noConversion"/>
  </si>
  <si>
    <t>2018.11.15-2019.2.14</t>
  </si>
  <si>
    <t>朱瑞峰</t>
  </si>
  <si>
    <t>2018.6.15-2018.8.14</t>
  </si>
  <si>
    <t>2018.8.15-2018.11.14</t>
    <phoneticPr fontId="257" type="noConversion"/>
  </si>
  <si>
    <t>2018.11.15-2019.3.14</t>
    <phoneticPr fontId="257" type="noConversion"/>
  </si>
  <si>
    <t>北京醒觉管理咨询有限公司</t>
  </si>
  <si>
    <t>36</t>
  </si>
  <si>
    <t>2018.04.01-2018.05.31</t>
  </si>
  <si>
    <t>2018.6.1-2018.9.31</t>
  </si>
  <si>
    <t>2018.10.1-2018.12.31</t>
    <phoneticPr fontId="257" type="noConversion"/>
  </si>
  <si>
    <t>2019.1.1-2019.3.31由物业代收</t>
    <phoneticPr fontId="257" type="noConversion"/>
  </si>
  <si>
    <t>2018.05.20-2018.08.19</t>
  </si>
  <si>
    <t>2018.08.20-2018.11.19</t>
  </si>
  <si>
    <t>2018.11.20-2019.2.19</t>
    <phoneticPr fontId="257" type="noConversion"/>
  </si>
  <si>
    <t>2019.2.20-2019.5.19由物业代收</t>
    <phoneticPr fontId="257" type="noConversion"/>
  </si>
  <si>
    <t>北京金色领航资产管理有限责任公司</t>
  </si>
  <si>
    <t>3</t>
    <phoneticPr fontId="257" type="noConversion"/>
  </si>
  <si>
    <t>已退租</t>
    <phoneticPr fontId="257" type="noConversion"/>
  </si>
  <si>
    <t>2018.07.08-2018.10.07</t>
  </si>
  <si>
    <t>条顿城堡（北京）营销有限责任公司</t>
    <phoneticPr fontId="257" type="noConversion"/>
  </si>
  <si>
    <t>开订金收据</t>
    <phoneticPr fontId="257" type="noConversion"/>
  </si>
  <si>
    <t>24</t>
    <phoneticPr fontId="257" type="noConversion"/>
  </si>
  <si>
    <t>2019.1.1-2019.3.31</t>
    <phoneticPr fontId="257" type="noConversion"/>
  </si>
  <si>
    <t>押三付三</t>
    <phoneticPr fontId="257" type="noConversion"/>
  </si>
  <si>
    <t>2019.4.1-2019.6.30</t>
    <phoneticPr fontId="257" type="noConversion"/>
  </si>
  <si>
    <t>北京家禾瑞宝地毯有限公司</t>
  </si>
  <si>
    <t>2019.9.10-2019.10.9、2020.9.10-2020.10.9</t>
  </si>
  <si>
    <t>2018.10.10-2019.1.9</t>
  </si>
  <si>
    <t>李舰</t>
  </si>
  <si>
    <t>2018.10.01-2018.11.30</t>
  </si>
  <si>
    <t>2018.12.01-2019.2.28</t>
  </si>
  <si>
    <t>北京瑞中生态环境工程有限公司</t>
  </si>
  <si>
    <t>2018.09.01-2018.11.30</t>
  </si>
  <si>
    <t>2018.12.01-2019.02.28</t>
  </si>
  <si>
    <t>2019.3.1-2019.5.31由物业代收</t>
    <phoneticPr fontId="257" type="noConversion"/>
  </si>
  <si>
    <t>蒙太奇（北京）生物智能科技有限公司</t>
    <phoneticPr fontId="257" type="noConversion"/>
  </si>
  <si>
    <t>2018.08.24</t>
  </si>
  <si>
    <t>2020.08.23</t>
  </si>
  <si>
    <t>2018.08.24-2018.10.23</t>
  </si>
  <si>
    <t>2018.10.24-2019.01.23</t>
  </si>
  <si>
    <t>2019.1.24-2019.4.23由物业代收</t>
    <phoneticPr fontId="257" type="noConversion"/>
  </si>
  <si>
    <t>李锐-北京小满</t>
    <phoneticPr fontId="257" type="noConversion"/>
  </si>
  <si>
    <t>2018.09.01-2018.10.31</t>
  </si>
  <si>
    <t>押三付三</t>
    <phoneticPr fontId="257" type="noConversion"/>
  </si>
  <si>
    <t>2018.11.01-2019.01.31</t>
  </si>
  <si>
    <t>络可英（北京）国际信息技术有限公司</t>
  </si>
  <si>
    <t>1701</t>
    <phoneticPr fontId="257" type="noConversion"/>
  </si>
  <si>
    <t>已开发票</t>
  </si>
  <si>
    <t>2018.12.27-2019.03.26</t>
  </si>
  <si>
    <t>2019.03.27-2019.06.26</t>
  </si>
  <si>
    <t>时尚星（北京）文化传媒有限公司</t>
    <phoneticPr fontId="257" type="noConversion"/>
  </si>
  <si>
    <t>已开发票</t>
    <phoneticPr fontId="257" type="noConversion"/>
  </si>
  <si>
    <t>2019.3.1-2019.4.30</t>
    <phoneticPr fontId="257" type="noConversion"/>
  </si>
  <si>
    <t>押三付三</t>
    <phoneticPr fontId="257" type="noConversion"/>
  </si>
  <si>
    <t>2019.5.1-2019.7.31</t>
    <phoneticPr fontId="257" type="noConversion"/>
  </si>
  <si>
    <t>创颖科技（北京）有限公司</t>
  </si>
  <si>
    <t>2018.12.1-2019.2.28</t>
  </si>
  <si>
    <t>2019.3.1-2019.5.31</t>
  </si>
  <si>
    <t>上海申博人力资源集团有限公司</t>
    <phoneticPr fontId="257" type="noConversion"/>
  </si>
  <si>
    <t>开订金收据</t>
    <phoneticPr fontId="257" type="noConversion"/>
  </si>
  <si>
    <t>北京泽桥传媒科技股份有限公司</t>
  </si>
  <si>
    <t>3202</t>
    <phoneticPr fontId="257" type="noConversion"/>
  </si>
  <si>
    <t>2018.04.01-2018.9.30</t>
  </si>
  <si>
    <t>2018.10.01-2018.12.30</t>
    <phoneticPr fontId="257" type="noConversion"/>
  </si>
  <si>
    <t>2019.1.1-2019.3.31由物业代收</t>
    <phoneticPr fontId="257" type="noConversion"/>
  </si>
  <si>
    <t>已出租面积</t>
    <phoneticPr fontId="143" type="noConversion"/>
  </si>
  <si>
    <t>开租金和租赁保证金收据</t>
    <phoneticPr fontId="143" type="noConversion"/>
  </si>
  <si>
    <t>办公已出租</t>
  </si>
  <si>
    <t>办公已出租</t>
    <phoneticPr fontId="7" type="noConversion"/>
  </si>
  <si>
    <t>办公未出租</t>
  </si>
  <si>
    <t>办公未出租</t>
    <phoneticPr fontId="7" type="noConversion"/>
  </si>
  <si>
    <t>收益法-办公已出租</t>
  </si>
  <si>
    <t>收益法-办公已出租</t>
    <phoneticPr fontId="16" type="noConversion"/>
  </si>
  <si>
    <t>收益法-办公未出租</t>
  </si>
  <si>
    <t>收益法-办公未出租</t>
    <phoneticPr fontId="16" type="noConversion"/>
  </si>
  <si>
    <t>租赁中止日期</t>
    <phoneticPr fontId="143" type="noConversion"/>
  </si>
  <si>
    <t>估价时点</t>
    <phoneticPr fontId="143" type="noConversion"/>
  </si>
  <si>
    <t>剩余租赁期</t>
    <phoneticPr fontId="14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</si>
  <si>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</si>
  <si>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</si>
  <si>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</si>
  <si>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</si>
  <si>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</si>
  <si>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</si>
  <si>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</si>
  <si>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</si>
  <si>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</si>
  <si>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</si>
  <si>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</si>
  <si>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</si>
  <si>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</si>
  <si>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</si>
  <si>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</si>
  <si>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</si>
  <si>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平均租金</t>
    <phoneticPr fontId="143" type="noConversion"/>
  </si>
  <si>
    <t>日租金收益</t>
    <phoneticPr fontId="143" type="noConversion"/>
  </si>
  <si>
    <t>市场租金</t>
    <phoneticPr fontId="143" type="noConversion"/>
  </si>
  <si>
    <t>年增长率</t>
    <phoneticPr fontId="143" type="noConversion"/>
  </si>
  <si>
    <t>租约期结束时市场租金</t>
    <phoneticPr fontId="143" type="noConversion"/>
  </si>
  <si>
    <t>押三</t>
  </si>
  <si>
    <t>收益法（汇总）</t>
  </si>
  <si>
    <r>
      <rPr>
        <b/>
        <sz val="10"/>
        <color theme="1"/>
        <rFont val="华文细黑"/>
        <family val="3"/>
        <charset val="134"/>
      </rPr>
      <t>合计</t>
    </r>
    <phoneticPr fontId="143" type="noConversion"/>
  </si>
  <si>
    <r>
      <rPr>
        <sz val="10"/>
        <color theme="1"/>
        <rFont val="华文细黑"/>
        <family val="3"/>
        <charset val="134"/>
      </rPr>
      <t>序号</t>
    </r>
    <phoneticPr fontId="143" type="noConversion"/>
  </si>
  <si>
    <r>
      <rPr>
        <sz val="10"/>
        <color theme="1"/>
        <rFont val="华文细黑"/>
        <family val="3"/>
        <charset val="134"/>
      </rPr>
      <t>房号</t>
    </r>
    <phoneticPr fontId="143" type="noConversion"/>
  </si>
  <si>
    <r>
      <rPr>
        <sz val="10"/>
        <color theme="1"/>
        <rFont val="华文细黑"/>
        <family val="3"/>
        <charset val="134"/>
      </rPr>
      <t>面积</t>
    </r>
    <phoneticPr fontId="143" type="noConversion"/>
  </si>
  <si>
    <r>
      <rPr>
        <sz val="10"/>
        <color theme="1"/>
        <rFont val="华文细黑"/>
        <family val="3"/>
        <charset val="134"/>
      </rPr>
      <t>总价（万元）</t>
    </r>
    <phoneticPr fontId="143" type="noConversion"/>
  </si>
  <si>
    <t>楼面单价（元/平方米）</t>
    <phoneticPr fontId="143" type="noConversion"/>
  </si>
  <si>
    <t>比较法每套房占比较法总价比例</t>
    <phoneticPr fontId="143" type="noConversion"/>
  </si>
  <si>
    <t>王鹏</t>
  </si>
  <si>
    <t>押三付三</t>
    <phoneticPr fontId="143" type="noConversion"/>
  </si>
  <si>
    <t>需扣减承租人权益</t>
  </si>
  <si>
    <t>北京戴思富德贸易有限公司</t>
    <phoneticPr fontId="257" type="noConversion"/>
  </si>
  <si>
    <t>北京戴思富德贸易有限公司</t>
    <phoneticPr fontId="143" type="noConversion"/>
  </si>
  <si>
    <t>押二</t>
  </si>
  <si>
    <t>收益还原</t>
  </si>
  <si>
    <r>
      <rPr>
        <sz val="10"/>
        <color theme="1"/>
        <rFont val="宋体"/>
        <family val="3"/>
        <charset val="134"/>
      </rPr>
      <t>比较法价值</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</si>
</sst>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 numFmtId="198" formatCode="0.00_ ;[Red]\-0.00\ "/>
    <numFmt numFmtId="199" formatCode="_ * #,##0.00_ ;_ * \-#,##0.00_ ;_ * &quot;-&quot;??_ ;_ @_ "/>
    <numFmt numFmtId="200" formatCode="_ * #,##0_ ;_ * \-#,##0_ ;_ * &quot;-&quot;??_ ;_ @_ "/>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
      <b/>
      <sz val="10"/>
      <color theme="1"/>
      <name val="华文细黑"/>
      <family val="3"/>
      <charset val="134"/>
    </font>
    <font>
      <sz val="11"/>
      <color theme="1"/>
      <name val="宋体"/>
      <family val="3"/>
      <charset val="134"/>
      <scheme val="minor"/>
    </font>
    <font>
      <sz val="9"/>
      <name val="宋体"/>
      <family val="2"/>
      <charset val="134"/>
      <scheme val="minor"/>
    </font>
    <font>
      <sz val="10"/>
      <name val="宋体"/>
      <family val="3"/>
      <charset val="134"/>
      <scheme val="minor"/>
    </font>
    <font>
      <b/>
      <sz val="10"/>
      <name val="宋体"/>
      <family val="3"/>
      <charset val="134"/>
      <scheme val="minor"/>
    </font>
    <font>
      <b/>
      <sz val="9"/>
      <color indexed="81"/>
      <name val="Tahoma"/>
      <family val="2"/>
    </font>
    <font>
      <sz val="9"/>
      <color indexed="81"/>
      <name val="Tahoma"/>
      <family val="2"/>
    </font>
    <font>
      <sz val="11"/>
      <color indexed="8"/>
      <name val="仿宋_GB2312"/>
      <family val="3"/>
      <charset val="134"/>
    </font>
    <font>
      <sz val="11"/>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99" fillId="0" borderId="0" applyFont="0" applyFill="0" applyBorder="0" applyAlignment="0" applyProtection="0">
      <alignment vertical="center"/>
    </xf>
    <xf numFmtId="197" fontId="37" fillId="0" borderId="0" applyFont="0" applyFill="0" applyBorder="0" applyAlignment="0" applyProtection="0">
      <alignment vertical="center"/>
    </xf>
    <xf numFmtId="43" fontId="256" fillId="0" borderId="0" applyFont="0" applyFill="0" applyBorder="0" applyAlignment="0" applyProtection="0">
      <alignment vertical="center"/>
    </xf>
  </cellStyleXfs>
  <cellXfs count="36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5" fillId="0" borderId="0" xfId="0" applyFont="1" applyAlignment="1">
      <alignment horizontal="lef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 xfId="0"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54" fillId="0" borderId="9"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137"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137" fillId="0" borderId="83" xfId="10" applyNumberFormat="1" applyFont="1" applyFill="1" applyBorder="1" applyAlignment="1" applyProtection="1">
      <alignment horizontal="center" vertical="center"/>
      <protection locked="0"/>
    </xf>
    <xf numFmtId="0" fontId="137"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47" fillId="0" borderId="44" xfId="10" applyNumberFormat="1" applyFont="1" applyFill="1" applyBorder="1" applyAlignment="1" applyProtection="1">
      <alignment horizontal="center" vertical="center" wrapText="1"/>
      <protection locked="0"/>
    </xf>
    <xf numFmtId="0" fontId="47" fillId="2" borderId="1" xfId="2"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54" fillId="9" borderId="54" xfId="0" applyNumberFormat="1" applyFont="1" applyFill="1" applyBorder="1" applyAlignment="1" applyProtection="1">
      <alignment horizontal="center" vertical="center" wrapText="1"/>
      <protection locked="0"/>
    </xf>
    <xf numFmtId="0" fontId="47" fillId="9" borderId="37" xfId="0" applyNumberFormat="1" applyFont="1" applyFill="1" applyBorder="1" applyAlignment="1" applyProtection="1">
      <alignment horizontal="center" vertical="center" wrapText="1"/>
      <protection locked="0"/>
    </xf>
    <xf numFmtId="10" fontId="104" fillId="9" borderId="1" xfId="0" applyNumberFormat="1"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54" fillId="9" borderId="14" xfId="0" applyNumberFormat="1" applyFont="1" applyFill="1" applyBorder="1" applyAlignment="1" applyProtection="1">
      <alignment horizontal="center" vertical="center" wrapText="1"/>
      <protection locked="0"/>
    </xf>
    <xf numFmtId="0" fontId="105" fillId="0" borderId="1" xfId="0" applyFont="1" applyFill="1" applyBorder="1" applyAlignment="1">
      <alignment horizontal="left" vertical="center"/>
    </xf>
    <xf numFmtId="0" fontId="109" fillId="5" borderId="0" xfId="0" applyFont="1" applyFill="1" applyProtection="1">
      <alignment vertical="center"/>
    </xf>
    <xf numFmtId="0" fontId="105" fillId="0" borderId="1" xfId="0" applyFont="1" applyBorder="1" applyAlignment="1">
      <alignment horizontal="left" vertical="center"/>
    </xf>
    <xf numFmtId="0" fontId="105" fillId="0" borderId="0" xfId="0" applyFont="1" applyBorder="1" applyAlignment="1">
      <alignment horizontal="left" vertical="center"/>
    </xf>
    <xf numFmtId="0" fontId="105" fillId="5" borderId="0" xfId="0" applyFont="1" applyFill="1" applyBorder="1" applyAlignment="1">
      <alignment horizontal="left" vertical="center"/>
    </xf>
    <xf numFmtId="0" fontId="50" fillId="6" borderId="60"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8" fillId="0" borderId="1" xfId="0" applyFont="1" applyBorder="1" applyAlignment="1">
      <alignment horizontal="left" vertical="center"/>
    </xf>
    <xf numFmtId="0" fontId="108" fillId="0" borderId="2" xfId="0" applyFont="1" applyBorder="1" applyAlignment="1">
      <alignment horizontal="left" vertical="center"/>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5" fillId="0" borderId="1" xfId="0" applyFont="1" applyBorder="1" applyAlignment="1">
      <alignment vertical="center"/>
    </xf>
    <xf numFmtId="0" fontId="105" fillId="0" borderId="1" xfId="0" applyFont="1" applyFill="1" applyBorder="1" applyAlignment="1">
      <alignment horizontal="left" vertical="center" wrapText="1"/>
    </xf>
    <xf numFmtId="198" fontId="84" fillId="17" borderId="5" xfId="1" applyNumberFormat="1" applyFont="1" applyFill="1" applyBorder="1" applyAlignment="1">
      <alignment horizontal="center" vertical="center"/>
    </xf>
    <xf numFmtId="0" fontId="0" fillId="0" borderId="54" xfId="0" applyBorder="1" applyAlignment="1">
      <alignment vertical="center"/>
    </xf>
    <xf numFmtId="0" fontId="0" fillId="17" borderId="3" xfId="0" applyFill="1" applyBorder="1" applyAlignment="1">
      <alignment vertical="center"/>
    </xf>
    <xf numFmtId="0" fontId="100" fillId="0" borderId="0" xfId="0" applyFont="1" applyAlignment="1">
      <alignment horizontal="center" vertical="center"/>
    </xf>
    <xf numFmtId="43" fontId="84" fillId="17" borderId="1" xfId="19" applyFont="1" applyFill="1" applyBorder="1" applyAlignment="1">
      <alignment horizontal="center" vertical="center"/>
    </xf>
    <xf numFmtId="198" fontId="84" fillId="17" borderId="1" xfId="1" applyNumberFormat="1" applyFont="1" applyFill="1" applyBorder="1" applyAlignment="1">
      <alignment horizontal="center" vertical="center"/>
    </xf>
    <xf numFmtId="198" fontId="19" fillId="17" borderId="1" xfId="1" applyNumberFormat="1" applyFont="1" applyFill="1" applyBorder="1" applyAlignment="1">
      <alignment horizontal="center" vertical="center"/>
    </xf>
    <xf numFmtId="49" fontId="84" fillId="17" borderId="1" xfId="1" applyNumberFormat="1" applyFont="1" applyFill="1" applyBorder="1" applyAlignment="1">
      <alignment horizontal="center" vertical="center"/>
    </xf>
    <xf numFmtId="0" fontId="0" fillId="0" borderId="0" xfId="0" applyAlignment="1">
      <alignment horizontal="center" vertical="center"/>
    </xf>
    <xf numFmtId="43" fontId="19" fillId="9" borderId="1" xfId="19" applyFont="1" applyFill="1" applyBorder="1" applyAlignment="1">
      <alignment horizontal="center" vertical="center"/>
    </xf>
    <xf numFmtId="43" fontId="19" fillId="9" borderId="1" xfId="19" applyFont="1" applyFill="1" applyBorder="1" applyAlignment="1">
      <alignment horizontal="left" vertical="center" wrapText="1"/>
    </xf>
    <xf numFmtId="43" fontId="19" fillId="9" borderId="1" xfId="19" applyFont="1" applyFill="1" applyBorder="1" applyAlignment="1">
      <alignment horizontal="left" vertical="center"/>
    </xf>
    <xf numFmtId="43" fontId="19" fillId="9" borderId="1" xfId="19" applyFont="1" applyFill="1" applyBorder="1" applyAlignment="1">
      <alignment horizontal="center" vertical="center" wrapText="1"/>
    </xf>
    <xf numFmtId="43" fontId="19" fillId="9" borderId="1" xfId="19" applyFont="1" applyFill="1" applyBorder="1" applyAlignment="1">
      <alignment horizontal="center" vertical="center" wrapText="1" shrinkToFit="1"/>
    </xf>
    <xf numFmtId="200" fontId="19" fillId="9" borderId="1" xfId="19" applyNumberFormat="1" applyFont="1" applyFill="1" applyBorder="1" applyAlignment="1">
      <alignment horizontal="center" vertical="center" wrapText="1"/>
    </xf>
    <xf numFmtId="43" fontId="84" fillId="9" borderId="1" xfId="19" applyFont="1" applyFill="1" applyBorder="1" applyAlignment="1">
      <alignment horizontal="center" vertical="center" wrapText="1"/>
    </xf>
    <xf numFmtId="43" fontId="113" fillId="0" borderId="0" xfId="19" applyFont="1" applyAlignment="1">
      <alignment horizontal="center" vertical="center"/>
    </xf>
    <xf numFmtId="195" fontId="19" fillId="7" borderId="1" xfId="1" applyNumberFormat="1" applyFont="1" applyFill="1" applyBorder="1" applyAlignment="1">
      <alignment horizontal="center" vertical="center"/>
    </xf>
    <xf numFmtId="198" fontId="19" fillId="7" borderId="1" xfId="1" applyNumberFormat="1" applyFont="1" applyFill="1" applyBorder="1" applyAlignment="1">
      <alignment horizontal="left" vertical="center" wrapText="1"/>
    </xf>
    <xf numFmtId="0" fontId="54" fillId="7" borderId="1" xfId="0" applyFont="1" applyFill="1" applyBorder="1" applyAlignment="1">
      <alignment horizontal="center" vertical="center"/>
    </xf>
    <xf numFmtId="198" fontId="19" fillId="7" borderId="1" xfId="1" applyNumberFormat="1" applyFont="1" applyFill="1" applyBorder="1" applyAlignment="1">
      <alignment horizontal="left" vertical="center"/>
    </xf>
    <xf numFmtId="198" fontId="19" fillId="7" borderId="1" xfId="1" applyNumberFormat="1" applyFont="1" applyFill="1" applyBorder="1" applyAlignment="1">
      <alignment horizontal="center" vertical="center"/>
    </xf>
    <xf numFmtId="49" fontId="19" fillId="7" borderId="1" xfId="1" applyNumberFormat="1" applyFont="1" applyFill="1" applyBorder="1" applyAlignment="1">
      <alignment horizontal="center" vertical="center"/>
    </xf>
    <xf numFmtId="14" fontId="19" fillId="7" borderId="1" xfId="1" applyNumberFormat="1" applyFont="1" applyFill="1" applyBorder="1" applyAlignment="1">
      <alignment horizontal="center" vertical="center"/>
    </xf>
    <xf numFmtId="43" fontId="19" fillId="7" borderId="1" xfId="19" applyFont="1" applyFill="1" applyBorder="1" applyAlignment="1">
      <alignment horizontal="center" vertical="center"/>
    </xf>
    <xf numFmtId="200" fontId="19" fillId="7" borderId="1" xfId="19" applyNumberFormat="1" applyFont="1" applyFill="1" applyBorder="1" applyAlignment="1">
      <alignment horizontal="center" vertical="center"/>
    </xf>
    <xf numFmtId="198" fontId="19" fillId="7" borderId="1" xfId="1" applyNumberFormat="1" applyFont="1" applyFill="1" applyBorder="1" applyAlignment="1">
      <alignment horizontal="center" vertical="center" wrapText="1"/>
    </xf>
    <xf numFmtId="43" fontId="19" fillId="7" borderId="1" xfId="19" applyFont="1" applyFill="1" applyBorder="1" applyAlignment="1">
      <alignment horizontal="center" vertical="center" wrapText="1"/>
    </xf>
    <xf numFmtId="43" fontId="113" fillId="7" borderId="1" xfId="19" applyFont="1" applyFill="1" applyBorder="1" applyAlignment="1">
      <alignment horizontal="center" vertical="center"/>
    </xf>
    <xf numFmtId="43" fontId="84" fillId="7" borderId="1" xfId="19" applyFont="1" applyFill="1" applyBorder="1" applyAlignment="1">
      <alignment horizontal="center" vertical="center"/>
    </xf>
    <xf numFmtId="43" fontId="119" fillId="7" borderId="1" xfId="19" applyFont="1" applyFill="1" applyBorder="1" applyAlignment="1">
      <alignment horizontal="center" vertical="center"/>
    </xf>
    <xf numFmtId="199" fontId="113" fillId="7" borderId="1" xfId="0" applyNumberFormat="1" applyFont="1" applyFill="1" applyBorder="1" applyAlignment="1">
      <alignment horizontal="center" vertical="center"/>
    </xf>
    <xf numFmtId="0" fontId="113" fillId="7" borderId="1" xfId="0" applyFont="1" applyFill="1" applyBorder="1" applyAlignment="1">
      <alignment horizontal="center" vertical="center"/>
    </xf>
    <xf numFmtId="0" fontId="119" fillId="7" borderId="1" xfId="0" applyFont="1" applyFill="1" applyBorder="1" applyAlignment="1">
      <alignment horizontal="center" vertical="center"/>
    </xf>
    <xf numFmtId="0" fontId="113" fillId="7" borderId="0" xfId="0" applyFont="1" applyFill="1" applyAlignment="1">
      <alignment horizontal="center" vertical="center"/>
    </xf>
    <xf numFmtId="198" fontId="19" fillId="7" borderId="13" xfId="1" applyNumberFormat="1" applyFont="1" applyFill="1" applyBorder="1" applyAlignment="1">
      <alignment vertical="center"/>
    </xf>
    <xf numFmtId="198" fontId="19" fillId="7" borderId="13" xfId="1" applyNumberFormat="1" applyFont="1" applyFill="1" applyBorder="1" applyAlignment="1">
      <alignment horizontal="left" vertical="center"/>
    </xf>
    <xf numFmtId="198" fontId="19" fillId="0" borderId="1" xfId="1" applyNumberFormat="1" applyFont="1" applyFill="1" applyBorder="1" applyAlignment="1">
      <alignment horizontal="left" vertical="center"/>
    </xf>
    <xf numFmtId="43" fontId="19" fillId="7" borderId="1" xfId="19" applyFont="1" applyFill="1" applyBorder="1" applyAlignment="1">
      <alignment horizontal="left" vertical="center" wrapText="1"/>
    </xf>
    <xf numFmtId="43" fontId="19" fillId="0" borderId="1" xfId="19" applyFont="1" applyFill="1" applyBorder="1" applyAlignment="1">
      <alignment horizontal="center" vertical="center"/>
    </xf>
    <xf numFmtId="200" fontId="19" fillId="0" borderId="1" xfId="19" applyNumberFormat="1" applyFont="1" applyFill="1" applyBorder="1" applyAlignment="1">
      <alignment horizontal="center" vertical="center"/>
    </xf>
    <xf numFmtId="43" fontId="19" fillId="0" borderId="1" xfId="19" applyFont="1" applyFill="1" applyBorder="1" applyAlignment="1">
      <alignment horizontal="center" vertical="center" wrapText="1"/>
    </xf>
    <xf numFmtId="14" fontId="19" fillId="7" borderId="1" xfId="1" applyNumberFormat="1" applyFont="1" applyFill="1" applyBorder="1" applyAlignment="1">
      <alignment horizontal="center" vertical="center" wrapText="1"/>
    </xf>
    <xf numFmtId="195" fontId="19" fillId="5" borderId="1" xfId="1" applyNumberFormat="1" applyFont="1" applyFill="1" applyBorder="1" applyAlignment="1">
      <alignment horizontal="center" vertical="center"/>
    </xf>
    <xf numFmtId="198" fontId="19" fillId="5" borderId="13" xfId="1" applyNumberFormat="1" applyFont="1" applyFill="1" applyBorder="1" applyAlignment="1">
      <alignment horizontal="left" vertical="center"/>
    </xf>
    <xf numFmtId="0" fontId="54" fillId="5" borderId="1" xfId="0" applyFont="1" applyFill="1" applyBorder="1" applyAlignment="1">
      <alignment horizontal="center" vertical="center"/>
    </xf>
    <xf numFmtId="198" fontId="19" fillId="5" borderId="1" xfId="1" applyNumberFormat="1" applyFont="1" applyFill="1" applyBorder="1" applyAlignment="1">
      <alignment horizontal="left" vertical="center"/>
    </xf>
    <xf numFmtId="198" fontId="19" fillId="5" borderId="1" xfId="1" applyNumberFormat="1" applyFont="1" applyFill="1" applyBorder="1" applyAlignment="1">
      <alignment horizontal="center" vertical="center"/>
    </xf>
    <xf numFmtId="49" fontId="19" fillId="5" borderId="1" xfId="1" applyNumberFormat="1" applyFont="1" applyFill="1" applyBorder="1" applyAlignment="1">
      <alignment horizontal="center" vertical="center"/>
    </xf>
    <xf numFmtId="14" fontId="19" fillId="5" borderId="1" xfId="1" applyNumberFormat="1" applyFont="1" applyFill="1" applyBorder="1" applyAlignment="1">
      <alignment horizontal="center" vertical="center"/>
    </xf>
    <xf numFmtId="198" fontId="19" fillId="5" borderId="1" xfId="1" applyNumberFormat="1" applyFont="1" applyFill="1" applyBorder="1" applyAlignment="1">
      <alignment horizontal="left" vertical="center" wrapText="1"/>
    </xf>
    <xf numFmtId="43" fontId="19" fillId="5" borderId="1" xfId="19" applyFont="1" applyFill="1" applyBorder="1" applyAlignment="1">
      <alignment horizontal="left" vertical="center" wrapText="1"/>
    </xf>
    <xf numFmtId="200" fontId="19" fillId="5" borderId="1" xfId="19" applyNumberFormat="1" applyFont="1" applyFill="1" applyBorder="1" applyAlignment="1">
      <alignment horizontal="center" vertical="center"/>
    </xf>
    <xf numFmtId="43" fontId="19" fillId="5" borderId="1" xfId="19" applyFont="1" applyFill="1" applyBorder="1" applyAlignment="1">
      <alignment horizontal="center" vertical="center" wrapText="1"/>
    </xf>
    <xf numFmtId="14" fontId="19" fillId="5" borderId="1" xfId="1" applyNumberFormat="1" applyFont="1" applyFill="1" applyBorder="1" applyAlignment="1">
      <alignment horizontal="center" vertical="center" wrapText="1"/>
    </xf>
    <xf numFmtId="43" fontId="19" fillId="5" borderId="1" xfId="19" applyFont="1" applyFill="1" applyBorder="1" applyAlignment="1">
      <alignment horizontal="center" vertical="center"/>
    </xf>
    <xf numFmtId="43" fontId="258" fillId="5" borderId="1" xfId="19" applyFont="1" applyFill="1" applyBorder="1" applyAlignment="1">
      <alignment horizontal="center" vertical="center"/>
    </xf>
    <xf numFmtId="43" fontId="84" fillId="5" borderId="1" xfId="19" applyFont="1" applyFill="1" applyBorder="1" applyAlignment="1">
      <alignment horizontal="center" vertical="center"/>
    </xf>
    <xf numFmtId="43" fontId="259" fillId="5" borderId="1" xfId="19" applyFont="1" applyFill="1" applyBorder="1" applyAlignment="1">
      <alignment horizontal="center" vertical="center"/>
    </xf>
    <xf numFmtId="0" fontId="258" fillId="5" borderId="1" xfId="0" applyFont="1" applyFill="1" applyBorder="1" applyAlignment="1">
      <alignment horizontal="center" vertical="center"/>
    </xf>
    <xf numFmtId="0" fontId="259" fillId="5" borderId="1" xfId="0" applyFont="1" applyFill="1" applyBorder="1" applyAlignment="1">
      <alignment horizontal="center" vertical="center"/>
    </xf>
    <xf numFmtId="0" fontId="0" fillId="0" borderId="1" xfId="0" applyBorder="1" applyAlignment="1">
      <alignment horizontal="left" vertical="center"/>
    </xf>
    <xf numFmtId="0" fontId="0" fillId="0" borderId="1" xfId="0" applyBorder="1">
      <alignment vertical="center"/>
    </xf>
    <xf numFmtId="0" fontId="113" fillId="0" borderId="1" xfId="0" applyFont="1" applyBorder="1">
      <alignment vertical="center"/>
    </xf>
    <xf numFmtId="43" fontId="0" fillId="0" borderId="1" xfId="19" applyFont="1" applyBorder="1">
      <alignment vertical="center"/>
    </xf>
    <xf numFmtId="0" fontId="100" fillId="0" borderId="1" xfId="0" applyFont="1" applyBorder="1">
      <alignment vertical="center"/>
    </xf>
    <xf numFmtId="0" fontId="0" fillId="0" borderId="1" xfId="0" applyFill="1" applyBorder="1">
      <alignment vertical="center"/>
    </xf>
    <xf numFmtId="0" fontId="0" fillId="0" borderId="0" xfId="0" applyAlignment="1">
      <alignment horizontal="left" vertical="center"/>
    </xf>
    <xf numFmtId="200" fontId="0" fillId="0" borderId="0" xfId="19" applyNumberFormat="1" applyFont="1">
      <alignment vertical="center"/>
    </xf>
    <xf numFmtId="43" fontId="0" fillId="0" borderId="0" xfId="19" applyFont="1">
      <alignment vertical="center"/>
    </xf>
    <xf numFmtId="0" fontId="113" fillId="0" borderId="0" xfId="0" applyFont="1">
      <alignment vertical="center"/>
    </xf>
    <xf numFmtId="43" fontId="100" fillId="0" borderId="0" xfId="19" applyFont="1">
      <alignment vertical="center"/>
    </xf>
    <xf numFmtId="0" fontId="100" fillId="0" borderId="0" xfId="0" applyFont="1">
      <alignment vertical="center"/>
    </xf>
    <xf numFmtId="0" fontId="99" fillId="0" borderId="0" xfId="0" applyFont="1" applyAlignment="1">
      <alignment horizontal="left" vertical="center"/>
    </xf>
    <xf numFmtId="198" fontId="0" fillId="0" borderId="0" xfId="0" applyNumberFormat="1">
      <alignment vertical="center"/>
    </xf>
    <xf numFmtId="14" fontId="0" fillId="0" borderId="0" xfId="0" applyNumberFormat="1">
      <alignment vertical="center"/>
    </xf>
    <xf numFmtId="0" fontId="99" fillId="0" borderId="0" xfId="0" applyFont="1">
      <alignment vertical="center"/>
    </xf>
    <xf numFmtId="0" fontId="118" fillId="6" borderId="26" xfId="0" applyFont="1" applyFill="1" applyBorder="1" applyAlignment="1"/>
    <xf numFmtId="184" fontId="262" fillId="0" borderId="67" xfId="0" applyNumberFormat="1" applyFont="1" applyFill="1" applyBorder="1" applyAlignment="1" applyProtection="1">
      <alignment horizontal="center" vertical="center"/>
      <protection locked="0"/>
    </xf>
    <xf numFmtId="0" fontId="118" fillId="0" borderId="0" xfId="0" applyFont="1" applyAlignment="1"/>
    <xf numFmtId="180"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79"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7" fontId="262" fillId="5" borderId="25" xfId="1" applyNumberFormat="1" applyFont="1" applyFill="1" applyBorder="1" applyAlignment="1" applyProtection="1">
      <alignment horizontal="center" vertical="center"/>
      <protection locked="0"/>
    </xf>
    <xf numFmtId="184" fontId="262" fillId="0" borderId="32" xfId="0" applyNumberFormat="1" applyFont="1" applyFill="1" applyBorder="1" applyAlignment="1" applyProtection="1">
      <alignment horizontal="center" vertical="center"/>
      <protection locked="0"/>
    </xf>
    <xf numFmtId="179" fontId="263" fillId="6" borderId="32" xfId="1" applyNumberFormat="1" applyFont="1" applyFill="1" applyBorder="1" applyAlignment="1" applyProtection="1">
      <alignment horizontal="center" vertical="center"/>
    </xf>
    <xf numFmtId="180" fontId="263"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8" fillId="6" borderId="31" xfId="0" applyFont="1" applyFill="1" applyBorder="1" applyAlignment="1"/>
    <xf numFmtId="0" fontId="263" fillId="6" borderId="6" xfId="0" applyFont="1" applyFill="1" applyBorder="1" applyAlignment="1">
      <alignment horizontal="center"/>
    </xf>
    <xf numFmtId="0" fontId="118" fillId="0" borderId="9" xfId="0" applyFont="1" applyBorder="1" applyAlignment="1">
      <alignment horizontal="center"/>
    </xf>
    <xf numFmtId="0" fontId="263" fillId="6" borderId="9" xfId="0" applyFont="1" applyFill="1" applyBorder="1" applyAlignment="1">
      <alignment horizontal="center"/>
    </xf>
    <xf numFmtId="9" fontId="118"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8" fillId="0" borderId="32" xfId="0" applyFont="1" applyBorder="1" applyAlignment="1">
      <alignment horizontal="center"/>
    </xf>
    <xf numFmtId="0" fontId="263" fillId="6" borderId="32" xfId="0" applyFont="1" applyFill="1" applyBorder="1" applyAlignment="1">
      <alignment horizontal="center"/>
    </xf>
    <xf numFmtId="9" fontId="118" fillId="0" borderId="32" xfId="0" applyNumberFormat="1" applyFont="1" applyBorder="1" applyAlignment="1">
      <alignment horizontal="center"/>
    </xf>
    <xf numFmtId="0" fontId="263" fillId="6" borderId="49" xfId="0" applyFont="1" applyFill="1" applyBorder="1" applyAlignment="1"/>
    <xf numFmtId="0" fontId="118" fillId="0" borderId="9" xfId="0" applyFont="1" applyFill="1" applyBorder="1" applyAlignment="1">
      <alignment horizontal="center"/>
    </xf>
    <xf numFmtId="0" fontId="118" fillId="0" borderId="10" xfId="0" applyFont="1" applyFill="1" applyBorder="1" applyAlignment="1">
      <alignment horizontal="center"/>
    </xf>
    <xf numFmtId="0" fontId="118" fillId="6" borderId="32" xfId="0" applyFont="1" applyFill="1" applyBorder="1" applyAlignment="1">
      <alignment horizontal="center"/>
    </xf>
    <xf numFmtId="0" fontId="118" fillId="6" borderId="49" xfId="0" applyFont="1" applyFill="1" applyBorder="1" applyAlignment="1">
      <alignment horizontal="center"/>
    </xf>
    <xf numFmtId="43" fontId="113" fillId="5" borderId="1" xfId="19" applyFont="1" applyFill="1" applyBorder="1" applyAlignment="1">
      <alignment horizontal="center" vertical="center"/>
    </xf>
    <xf numFmtId="43" fontId="119" fillId="5" borderId="1" xfId="19" applyFont="1" applyFill="1" applyBorder="1" applyAlignment="1">
      <alignment horizontal="center" vertical="center"/>
    </xf>
    <xf numFmtId="0" fontId="113" fillId="5" borderId="1" xfId="0" applyFont="1" applyFill="1" applyBorder="1" applyAlignment="1">
      <alignment horizontal="center" vertical="center"/>
    </xf>
    <xf numFmtId="0" fontId="119" fillId="5" borderId="1" xfId="0" applyFont="1" applyFill="1" applyBorder="1" applyAlignment="1">
      <alignment horizontal="center" vertical="center"/>
    </xf>
    <xf numFmtId="0" fontId="113" fillId="5" borderId="0" xfId="0" applyFont="1" applyFill="1" applyAlignment="1">
      <alignment horizontal="center" vertical="center"/>
    </xf>
    <xf numFmtId="0" fontId="258" fillId="5" borderId="0" xfId="0" applyFont="1" applyFill="1" applyAlignment="1">
      <alignment horizontal="center" vertical="center"/>
    </xf>
    <xf numFmtId="195" fontId="19" fillId="19" borderId="1" xfId="1" applyNumberFormat="1" applyFont="1" applyFill="1" applyBorder="1" applyAlignment="1">
      <alignment horizontal="center" vertical="center"/>
    </xf>
    <xf numFmtId="198" fontId="19" fillId="19" borderId="1" xfId="1" applyNumberFormat="1" applyFont="1" applyFill="1" applyBorder="1" applyAlignment="1">
      <alignment horizontal="left" vertical="center"/>
    </xf>
    <xf numFmtId="0" fontId="54" fillId="19" borderId="1" xfId="0" applyFont="1" applyFill="1" applyBorder="1" applyAlignment="1">
      <alignment horizontal="center" vertical="center"/>
    </xf>
    <xf numFmtId="198" fontId="19" fillId="19" borderId="1" xfId="1" applyNumberFormat="1" applyFont="1" applyFill="1" applyBorder="1" applyAlignment="1">
      <alignment horizontal="center" vertical="center"/>
    </xf>
    <xf numFmtId="49" fontId="19" fillId="19" borderId="1" xfId="1" applyNumberFormat="1" applyFont="1" applyFill="1" applyBorder="1" applyAlignment="1">
      <alignment horizontal="center" vertical="center"/>
    </xf>
    <xf numFmtId="14" fontId="19" fillId="19" borderId="1" xfId="1" applyNumberFormat="1" applyFont="1" applyFill="1" applyBorder="1" applyAlignment="1">
      <alignment horizontal="center" vertical="center"/>
    </xf>
    <xf numFmtId="43" fontId="19" fillId="19" borderId="1" xfId="19" applyFont="1" applyFill="1" applyBorder="1" applyAlignment="1">
      <alignment horizontal="center" vertical="center"/>
    </xf>
    <xf numFmtId="200" fontId="19" fillId="19" borderId="1" xfId="19" applyNumberFormat="1" applyFont="1" applyFill="1" applyBorder="1" applyAlignment="1">
      <alignment horizontal="center" vertical="center"/>
    </xf>
    <xf numFmtId="43" fontId="19" fillId="19" borderId="1" xfId="19" applyFont="1" applyFill="1" applyBorder="1" applyAlignment="1">
      <alignment horizontal="center" vertical="center" wrapText="1"/>
    </xf>
    <xf numFmtId="43" fontId="113" fillId="19" borderId="1" xfId="19" applyFont="1" applyFill="1" applyBorder="1" applyAlignment="1">
      <alignment horizontal="center" vertical="center"/>
    </xf>
    <xf numFmtId="43" fontId="84" fillId="19" borderId="1" xfId="19" applyFont="1" applyFill="1" applyBorder="1" applyAlignment="1">
      <alignment horizontal="center" vertical="center"/>
    </xf>
    <xf numFmtId="43" fontId="119" fillId="19" borderId="1" xfId="19" applyFont="1" applyFill="1" applyBorder="1" applyAlignment="1">
      <alignment horizontal="center" vertical="center"/>
    </xf>
    <xf numFmtId="0" fontId="113" fillId="19" borderId="1" xfId="0" applyFont="1" applyFill="1" applyBorder="1" applyAlignment="1">
      <alignment horizontal="center" vertical="center"/>
    </xf>
    <xf numFmtId="0" fontId="119" fillId="19" borderId="1" xfId="0" applyFont="1" applyFill="1" applyBorder="1" applyAlignment="1">
      <alignment horizontal="center" vertical="center"/>
    </xf>
    <xf numFmtId="0" fontId="113" fillId="19" borderId="0" xfId="0" applyFont="1" applyFill="1" applyAlignment="1">
      <alignment horizontal="center" vertical="center"/>
    </xf>
    <xf numFmtId="199" fontId="113" fillId="19" borderId="1" xfId="0" applyNumberFormat="1" applyFont="1" applyFill="1" applyBorder="1" applyAlignment="1">
      <alignment horizontal="center" vertical="center"/>
    </xf>
    <xf numFmtId="199" fontId="113" fillId="19" borderId="0" xfId="0" applyNumberFormat="1" applyFont="1" applyFill="1" applyAlignment="1">
      <alignment horizontal="center" vertical="center"/>
    </xf>
    <xf numFmtId="0" fontId="0" fillId="19" borderId="0" xfId="0" applyFill="1">
      <alignment vertical="center"/>
    </xf>
    <xf numFmtId="0" fontId="0" fillId="19" borderId="1" xfId="0" applyFill="1" applyBorder="1" applyAlignment="1">
      <alignment horizontal="left" vertical="center"/>
    </xf>
    <xf numFmtId="0" fontId="0" fillId="19" borderId="1" xfId="0" applyFill="1" applyBorder="1">
      <alignment vertical="center"/>
    </xf>
    <xf numFmtId="0" fontId="113" fillId="19" borderId="1" xfId="0" applyFont="1" applyFill="1" applyBorder="1">
      <alignment vertical="center"/>
    </xf>
    <xf numFmtId="43" fontId="0" fillId="19" borderId="1" xfId="19" applyFont="1" applyFill="1" applyBorder="1">
      <alignment vertical="center"/>
    </xf>
    <xf numFmtId="0" fontId="100" fillId="19" borderId="1" xfId="0" applyFont="1" applyFill="1" applyBorder="1">
      <alignment vertical="center"/>
    </xf>
    <xf numFmtId="195" fontId="19" fillId="20" borderId="1" xfId="1" applyNumberFormat="1" applyFont="1" applyFill="1" applyBorder="1" applyAlignment="1">
      <alignment horizontal="center" vertical="center"/>
    </xf>
    <xf numFmtId="198" fontId="19" fillId="20" borderId="13" xfId="1" applyNumberFormat="1" applyFont="1" applyFill="1" applyBorder="1" applyAlignment="1">
      <alignment vertical="center"/>
    </xf>
    <xf numFmtId="0" fontId="54" fillId="20" borderId="1" xfId="0" applyFont="1" applyFill="1" applyBorder="1" applyAlignment="1">
      <alignment horizontal="center" vertical="center"/>
    </xf>
    <xf numFmtId="198" fontId="19" fillId="20" borderId="1" xfId="1" applyNumberFormat="1" applyFont="1" applyFill="1" applyBorder="1" applyAlignment="1">
      <alignment horizontal="center" vertical="center"/>
    </xf>
    <xf numFmtId="43" fontId="84" fillId="20" borderId="1" xfId="19" applyFont="1" applyFill="1" applyBorder="1" applyAlignment="1">
      <alignment horizontal="center" vertical="center"/>
    </xf>
    <xf numFmtId="43" fontId="19" fillId="20" borderId="1" xfId="19" applyFont="1" applyFill="1" applyBorder="1" applyAlignment="1">
      <alignment horizontal="center" vertical="center"/>
    </xf>
    <xf numFmtId="0" fontId="113" fillId="20" borderId="0" xfId="0" applyFont="1" applyFill="1" applyAlignment="1">
      <alignment horizontal="center" vertical="center"/>
    </xf>
    <xf numFmtId="0" fontId="0" fillId="20" borderId="0" xfId="0" applyFill="1">
      <alignment vertical="center"/>
    </xf>
    <xf numFmtId="9" fontId="0" fillId="0" borderId="0" xfId="0" applyNumberFormat="1">
      <alignment vertical="center"/>
    </xf>
    <xf numFmtId="0" fontId="254" fillId="0" borderId="15" xfId="0" applyFont="1" applyFill="1" applyBorder="1" applyAlignment="1">
      <alignment horizontal="left" vertical="center"/>
    </xf>
    <xf numFmtId="0" fontId="254" fillId="0" borderId="1" xfId="0" applyFont="1" applyFill="1" applyBorder="1" applyAlignment="1">
      <alignment horizontal="left" vertical="center"/>
    </xf>
    <xf numFmtId="0" fontId="104" fillId="0" borderId="1" xfId="0" applyFont="1" applyBorder="1">
      <alignment vertical="center"/>
    </xf>
    <xf numFmtId="10" fontId="104" fillId="0" borderId="0" xfId="0" applyNumberFormat="1" applyFont="1">
      <alignment vertical="center"/>
    </xf>
    <xf numFmtId="198" fontId="19" fillId="7" borderId="0" xfId="1" applyNumberFormat="1" applyFont="1" applyFill="1" applyBorder="1" applyAlignment="1">
      <alignment horizontal="center" vertical="center"/>
    </xf>
    <xf numFmtId="0" fontId="105" fillId="0" borderId="15" xfId="0" applyFont="1" applyFill="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Border="1" applyAlignment="1">
      <alignment horizontal="left" vertical="center"/>
    </xf>
    <xf numFmtId="0" fontId="105" fillId="0" borderId="54" xfId="0" applyFont="1" applyBorder="1" applyAlignment="1">
      <alignment horizontal="left" vertical="center"/>
    </xf>
    <xf numFmtId="0" fontId="105" fillId="0" borderId="3" xfId="0" applyFont="1" applyBorder="1" applyAlignment="1">
      <alignment horizontal="left" vertical="center"/>
    </xf>
    <xf numFmtId="0" fontId="108" fillId="0" borderId="5" xfId="0" applyFont="1" applyBorder="1" applyAlignment="1">
      <alignment horizontal="left" vertical="center"/>
    </xf>
    <xf numFmtId="0" fontId="108" fillId="0" borderId="3" xfId="0" applyFont="1" applyBorder="1" applyAlignment="1">
      <alignment horizontal="left" vertical="center"/>
    </xf>
    <xf numFmtId="0" fontId="105" fillId="0" borderId="13" xfId="0" applyFont="1" applyBorder="1" applyAlignment="1">
      <alignment horizontal="left" vertical="center"/>
    </xf>
    <xf numFmtId="0" fontId="105" fillId="0" borderId="15" xfId="0" applyFont="1" applyBorder="1" applyAlignment="1">
      <alignment horizontal="left" vertical="center"/>
    </xf>
    <xf numFmtId="0" fontId="105" fillId="0" borderId="2" xfId="0" applyFont="1"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109" fillId="6" borderId="0" xfId="0" applyFont="1" applyFill="1" applyProtection="1">
      <alignmen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3" fillId="6" borderId="63" xfId="0" applyFont="1" applyFill="1" applyBorder="1" applyAlignment="1">
      <alignment horizontal="center"/>
    </xf>
    <xf numFmtId="0" fontId="263" fillId="6" borderId="64" xfId="0" applyFont="1" applyFill="1" applyBorder="1" applyAlignment="1">
      <alignment horizontal="center"/>
    </xf>
    <xf numFmtId="198" fontId="19" fillId="20" borderId="13" xfId="1" applyNumberFormat="1" applyFont="1" applyFill="1" applyBorder="1" applyAlignment="1">
      <alignment horizontal="center" vertical="center"/>
    </xf>
    <xf numFmtId="198" fontId="19" fillId="20" borderId="2" xfId="1" applyNumberFormat="1" applyFont="1" applyFill="1" applyBorder="1" applyAlignment="1">
      <alignment horizontal="center" vertical="center"/>
    </xf>
    <xf numFmtId="198" fontId="84" fillId="20" borderId="13" xfId="1" applyNumberFormat="1" applyFont="1" applyFill="1" applyBorder="1" applyAlignment="1">
      <alignment horizontal="center" vertical="center"/>
    </xf>
    <xf numFmtId="198" fontId="84" fillId="20" borderId="2" xfId="1" applyNumberFormat="1" applyFont="1" applyFill="1" applyBorder="1" applyAlignment="1">
      <alignment horizontal="center" vertical="center"/>
    </xf>
    <xf numFmtId="43" fontId="19" fillId="20" borderId="1" xfId="19" applyFont="1" applyFill="1" applyBorder="1" applyAlignment="1">
      <alignment horizontal="center" vertical="center"/>
    </xf>
    <xf numFmtId="43" fontId="84" fillId="20" borderId="13" xfId="19" applyFont="1" applyFill="1" applyBorder="1" applyAlignment="1">
      <alignment horizontal="center" vertical="center"/>
    </xf>
    <xf numFmtId="43" fontId="84" fillId="20" borderId="2" xfId="19" applyFont="1" applyFill="1" applyBorder="1" applyAlignment="1">
      <alignment horizontal="center" vertical="center"/>
    </xf>
    <xf numFmtId="43" fontId="84" fillId="20" borderId="1" xfId="19" applyFont="1" applyFill="1" applyBorder="1" applyAlignment="1">
      <alignment horizontal="center" vertical="center"/>
    </xf>
    <xf numFmtId="198" fontId="19" fillId="20" borderId="1" xfId="1" applyNumberFormat="1" applyFont="1" applyFill="1" applyBorder="1" applyAlignment="1">
      <alignment horizontal="center" vertical="center"/>
    </xf>
    <xf numFmtId="14" fontId="19" fillId="20" borderId="1" xfId="1" applyNumberFormat="1" applyFont="1" applyFill="1" applyBorder="1" applyAlignment="1">
      <alignment horizontal="center" vertical="center"/>
    </xf>
    <xf numFmtId="43" fontId="19" fillId="20" borderId="13" xfId="19" applyFont="1" applyFill="1" applyBorder="1" applyAlignment="1">
      <alignment horizontal="center" vertical="center"/>
    </xf>
    <xf numFmtId="43" fontId="19" fillId="20" borderId="2" xfId="19" applyFont="1" applyFill="1" applyBorder="1" applyAlignment="1">
      <alignment horizontal="center" vertical="center"/>
    </xf>
    <xf numFmtId="14" fontId="19" fillId="20" borderId="13" xfId="1" applyNumberFormat="1" applyFont="1" applyFill="1" applyBorder="1" applyAlignment="1">
      <alignment horizontal="center" vertical="center"/>
    </xf>
    <xf numFmtId="14" fontId="19" fillId="20" borderId="2" xfId="1" applyNumberFormat="1" applyFont="1" applyFill="1" applyBorder="1" applyAlignment="1">
      <alignment horizontal="center" vertical="center"/>
    </xf>
    <xf numFmtId="43" fontId="19" fillId="20" borderId="13" xfId="19" applyFont="1" applyFill="1" applyBorder="1" applyAlignment="1">
      <alignment horizontal="center" vertical="center" wrapText="1"/>
    </xf>
    <xf numFmtId="43" fontId="19" fillId="20" borderId="2" xfId="19" applyFont="1" applyFill="1" applyBorder="1" applyAlignment="1">
      <alignment horizontal="center" vertical="center" wrapText="1"/>
    </xf>
    <xf numFmtId="200" fontId="19" fillId="20" borderId="1" xfId="1" applyNumberFormat="1" applyFont="1" applyFill="1" applyBorder="1" applyAlignment="1">
      <alignment horizontal="center" vertical="center"/>
    </xf>
    <xf numFmtId="43" fontId="19" fillId="19" borderId="13" xfId="19" applyFont="1" applyFill="1" applyBorder="1" applyAlignment="1">
      <alignment horizontal="center" vertical="center"/>
    </xf>
    <xf numFmtId="43" fontId="19" fillId="19" borderId="2" xfId="19" applyFont="1" applyFill="1" applyBorder="1" applyAlignment="1">
      <alignment horizontal="center" vertical="center"/>
    </xf>
    <xf numFmtId="43" fontId="19" fillId="19" borderId="1" xfId="19" applyFont="1" applyFill="1" applyBorder="1" applyAlignment="1">
      <alignment horizontal="center" vertical="center"/>
    </xf>
    <xf numFmtId="198" fontId="19" fillId="19" borderId="1" xfId="1" applyNumberFormat="1" applyFont="1" applyFill="1" applyBorder="1" applyAlignment="1">
      <alignment horizontal="center" vertical="center"/>
    </xf>
    <xf numFmtId="43" fontId="84" fillId="19" borderId="1" xfId="19" applyFont="1" applyFill="1" applyBorder="1" applyAlignment="1">
      <alignment horizontal="center" vertical="center"/>
    </xf>
    <xf numFmtId="43" fontId="19" fillId="19" borderId="13" xfId="19" applyFont="1" applyFill="1" applyBorder="1" applyAlignment="1">
      <alignment horizontal="center" vertical="center" wrapText="1"/>
    </xf>
    <xf numFmtId="43" fontId="19" fillId="19" borderId="2" xfId="19" applyFont="1" applyFill="1" applyBorder="1" applyAlignment="1">
      <alignment horizontal="center" vertical="center" wrapText="1"/>
    </xf>
    <xf numFmtId="43" fontId="84" fillId="19" borderId="13" xfId="19" applyFont="1" applyFill="1" applyBorder="1" applyAlignment="1">
      <alignment horizontal="center" vertical="center"/>
    </xf>
    <xf numFmtId="43" fontId="84" fillId="19" borderId="2" xfId="19" applyFont="1" applyFill="1" applyBorder="1" applyAlignment="1">
      <alignment horizontal="center" vertical="center"/>
    </xf>
    <xf numFmtId="43" fontId="0" fillId="0" borderId="13" xfId="19" applyFont="1" applyBorder="1" applyAlignment="1">
      <alignment horizontal="center" vertical="center"/>
    </xf>
    <xf numFmtId="43" fontId="0" fillId="0" borderId="15" xfId="19" applyFont="1" applyBorder="1" applyAlignment="1">
      <alignment horizontal="center" vertical="center"/>
    </xf>
    <xf numFmtId="43" fontId="0" fillId="0" borderId="2" xfId="19" applyFont="1" applyBorder="1" applyAlignment="1">
      <alignment horizontal="center" vertical="center"/>
    </xf>
    <xf numFmtId="198" fontId="19" fillId="20" borderId="1" xfId="1" applyNumberFormat="1" applyFont="1" applyFill="1" applyBorder="1" applyAlignment="1">
      <alignment horizontal="left" vertical="center"/>
    </xf>
    <xf numFmtId="14" fontId="19" fillId="19" borderId="1" xfId="1" applyNumberFormat="1" applyFont="1" applyFill="1" applyBorder="1" applyAlignment="1">
      <alignment horizontal="center" vertical="center"/>
    </xf>
    <xf numFmtId="14" fontId="19" fillId="19" borderId="13" xfId="1" applyNumberFormat="1" applyFont="1" applyFill="1" applyBorder="1" applyAlignment="1">
      <alignment horizontal="center" vertical="center"/>
    </xf>
    <xf numFmtId="14" fontId="19" fillId="19" borderId="2" xfId="1" applyNumberFormat="1" applyFont="1" applyFill="1" applyBorder="1" applyAlignment="1">
      <alignment horizontal="center" vertical="center"/>
    </xf>
    <xf numFmtId="198" fontId="19" fillId="19" borderId="1" xfId="1" applyNumberFormat="1" applyFont="1" applyFill="1" applyBorder="1" applyAlignment="1">
      <alignment horizontal="left" vertical="center"/>
    </xf>
    <xf numFmtId="200" fontId="19" fillId="19" borderId="1" xfId="19" applyNumberFormat="1" applyFont="1" applyFill="1" applyBorder="1" applyAlignment="1">
      <alignment horizontal="center" vertical="center"/>
    </xf>
    <xf numFmtId="43" fontId="19" fillId="7" borderId="13" xfId="19" applyFont="1" applyFill="1" applyBorder="1" applyAlignment="1">
      <alignment horizontal="center" vertical="center"/>
    </xf>
    <xf numFmtId="43" fontId="19" fillId="7" borderId="2" xfId="19" applyFont="1" applyFill="1" applyBorder="1" applyAlignment="1">
      <alignment horizontal="center" vertical="center"/>
    </xf>
    <xf numFmtId="43" fontId="19" fillId="7" borderId="1" xfId="19" applyFont="1" applyFill="1" applyBorder="1" applyAlignment="1">
      <alignment horizontal="center" vertical="center"/>
    </xf>
    <xf numFmtId="49" fontId="19" fillId="7" borderId="1" xfId="1" applyNumberFormat="1" applyFont="1" applyFill="1" applyBorder="1" applyAlignment="1">
      <alignment horizontal="center" vertical="center"/>
    </xf>
    <xf numFmtId="43" fontId="84" fillId="7" borderId="1" xfId="19" applyFont="1" applyFill="1" applyBorder="1" applyAlignment="1">
      <alignment horizontal="center" vertical="center"/>
    </xf>
    <xf numFmtId="43" fontId="84" fillId="7" borderId="13" xfId="19" applyFont="1" applyFill="1" applyBorder="1" applyAlignment="1">
      <alignment horizontal="center" vertical="center"/>
    </xf>
    <xf numFmtId="43" fontId="84" fillId="7" borderId="2" xfId="19" applyFont="1" applyFill="1" applyBorder="1" applyAlignment="1">
      <alignment horizontal="center" vertical="center"/>
    </xf>
    <xf numFmtId="43" fontId="19" fillId="7" borderId="13" xfId="19" applyFont="1" applyFill="1" applyBorder="1" applyAlignment="1">
      <alignment horizontal="center" vertical="center" wrapText="1"/>
    </xf>
    <xf numFmtId="43" fontId="19" fillId="7" borderId="2" xfId="19" applyFont="1" applyFill="1" applyBorder="1" applyAlignment="1">
      <alignment horizontal="center" vertical="center" wrapText="1"/>
    </xf>
    <xf numFmtId="49" fontId="19" fillId="19" borderId="1" xfId="1" applyNumberFormat="1" applyFont="1" applyFill="1" applyBorder="1" applyAlignment="1">
      <alignment horizontal="center" vertical="center"/>
    </xf>
    <xf numFmtId="14" fontId="19" fillId="7" borderId="13" xfId="1" applyNumberFormat="1" applyFont="1" applyFill="1" applyBorder="1" applyAlignment="1">
      <alignment horizontal="center" vertical="center"/>
    </xf>
    <xf numFmtId="14" fontId="19" fillId="7" borderId="2" xfId="1" applyNumberFormat="1" applyFont="1" applyFill="1" applyBorder="1" applyAlignment="1">
      <alignment horizontal="center" vertical="center"/>
    </xf>
    <xf numFmtId="49" fontId="19" fillId="0" borderId="1" xfId="1" applyNumberFormat="1" applyFont="1" applyFill="1" applyBorder="1" applyAlignment="1">
      <alignment horizontal="center" vertical="center"/>
    </xf>
    <xf numFmtId="200" fontId="19" fillId="7" borderId="13" xfId="19" applyNumberFormat="1" applyFont="1" applyFill="1" applyBorder="1" applyAlignment="1">
      <alignment horizontal="center" vertical="center"/>
    </xf>
    <xf numFmtId="200" fontId="19" fillId="7" borderId="2" xfId="19" applyNumberFormat="1" applyFont="1" applyFill="1" applyBorder="1" applyAlignment="1">
      <alignment horizontal="center" vertical="center"/>
    </xf>
    <xf numFmtId="43" fontId="19" fillId="0" borderId="13" xfId="19" applyFont="1" applyFill="1" applyBorder="1" applyAlignment="1">
      <alignment horizontal="right" vertical="center"/>
    </xf>
    <xf numFmtId="43" fontId="19" fillId="0" borderId="2" xfId="19" applyFont="1" applyFill="1" applyBorder="1" applyAlignment="1">
      <alignment horizontal="right" vertical="center"/>
    </xf>
    <xf numFmtId="198" fontId="19" fillId="7" borderId="1" xfId="1" applyNumberFormat="1" applyFont="1" applyFill="1" applyBorder="1" applyAlignment="1">
      <alignment horizontal="left" vertical="center"/>
    </xf>
    <xf numFmtId="14" fontId="19" fillId="7" borderId="1" xfId="1" applyNumberFormat="1" applyFont="1" applyFill="1" applyBorder="1" applyAlignment="1">
      <alignment horizontal="center" vertical="center"/>
    </xf>
    <xf numFmtId="49" fontId="19" fillId="7" borderId="1" xfId="1" applyNumberFormat="1" applyFont="1" applyFill="1" applyBorder="1" applyAlignment="1">
      <alignment horizontal="left" vertical="center"/>
    </xf>
    <xf numFmtId="198" fontId="84" fillId="17" borderId="5" xfId="1" applyNumberFormat="1" applyFont="1" applyFill="1" applyBorder="1" applyAlignment="1">
      <alignment horizontal="center" vertical="center"/>
    </xf>
    <xf numFmtId="198" fontId="84" fillId="17" borderId="54" xfId="1" applyNumberFormat="1" applyFont="1" applyFill="1" applyBorder="1" applyAlignment="1">
      <alignment horizontal="center" vertical="center"/>
    </xf>
    <xf numFmtId="198" fontId="84" fillId="17" borderId="3" xfId="1" applyNumberFormat="1" applyFont="1" applyFill="1" applyBorder="1" applyAlignment="1">
      <alignment horizontal="center" vertical="center"/>
    </xf>
    <xf numFmtId="43" fontId="84" fillId="17" borderId="13" xfId="19" applyFont="1" applyFill="1" applyBorder="1" applyAlignment="1">
      <alignment horizontal="center" vertical="center"/>
    </xf>
    <xf numFmtId="43" fontId="84" fillId="17" borderId="2" xfId="19" applyFont="1" applyFill="1" applyBorder="1" applyAlignment="1">
      <alignment horizontal="center" vertical="center"/>
    </xf>
    <xf numFmtId="49" fontId="84" fillId="17" borderId="5" xfId="1" applyNumberFormat="1" applyFont="1" applyFill="1" applyBorder="1" applyAlignment="1">
      <alignment horizontal="center" vertical="center"/>
    </xf>
    <xf numFmtId="49" fontId="84" fillId="17" borderId="54" xfId="1" applyNumberFormat="1" applyFont="1" applyFill="1" applyBorder="1" applyAlignment="1">
      <alignment horizontal="center" vertical="center"/>
    </xf>
    <xf numFmtId="49" fontId="84" fillId="17" borderId="3" xfId="1" applyNumberFormat="1" applyFont="1" applyFill="1" applyBorder="1" applyAlignment="1">
      <alignment horizontal="center" vertical="center"/>
    </xf>
    <xf numFmtId="0" fontId="0" fillId="17" borderId="36" xfId="0" applyFill="1" applyBorder="1" applyAlignment="1">
      <alignment horizontal="center" vertical="center"/>
    </xf>
    <xf numFmtId="0" fontId="0" fillId="17" borderId="60" xfId="0" applyFill="1" applyBorder="1" applyAlignment="1">
      <alignment horizontal="center" vertical="center"/>
    </xf>
    <xf numFmtId="198" fontId="98" fillId="17" borderId="1" xfId="1" applyNumberFormat="1" applyFont="1" applyFill="1" applyBorder="1" applyAlignment="1">
      <alignment horizontal="center" vertical="center" wrapText="1"/>
    </xf>
    <xf numFmtId="198" fontId="98" fillId="17" borderId="13" xfId="1" applyNumberFormat="1" applyFont="1" applyFill="1" applyBorder="1" applyAlignment="1">
      <alignment horizontal="center" vertical="center" wrapText="1"/>
    </xf>
    <xf numFmtId="198" fontId="98" fillId="17" borderId="2" xfId="1" applyNumberFormat="1" applyFont="1" applyFill="1" applyBorder="1" applyAlignment="1">
      <alignment horizontal="center" vertical="center" wrapText="1"/>
    </xf>
    <xf numFmtId="198" fontId="98" fillId="18" borderId="1" xfId="1" applyNumberFormat="1" applyFont="1" applyFill="1" applyBorder="1" applyAlignment="1">
      <alignment horizontal="center" vertical="center" wrapText="1"/>
    </xf>
    <xf numFmtId="198" fontId="98" fillId="17" borderId="1" xfId="1" applyNumberFormat="1" applyFont="1" applyFill="1" applyBorder="1" applyAlignment="1">
      <alignment horizontal="center" vertical="center"/>
    </xf>
    <xf numFmtId="43" fontId="19" fillId="17" borderId="1" xfId="19" applyFont="1" applyFill="1" applyBorder="1" applyAlignment="1">
      <alignment horizontal="center" vertical="center" wrapText="1"/>
    </xf>
    <xf numFmtId="200" fontId="98" fillId="17" borderId="1" xfId="19" applyNumberFormat="1" applyFont="1" applyFill="1" applyBorder="1" applyAlignment="1">
      <alignment horizontal="center" vertical="center" wrapText="1"/>
    </xf>
    <xf numFmtId="49" fontId="98" fillId="17" borderId="1" xfId="1" applyNumberFormat="1" applyFont="1" applyFill="1" applyBorder="1" applyAlignment="1">
      <alignment horizontal="center" vertical="center"/>
    </xf>
    <xf numFmtId="198" fontId="98" fillId="17" borderId="1" xfId="1" applyNumberFormat="1" applyFont="1" applyFill="1" applyBorder="1" applyAlignment="1">
      <alignment horizontal="left" vertical="center"/>
    </xf>
    <xf numFmtId="49" fontId="98" fillId="17" borderId="1" xfId="1" applyNumberFormat="1" applyFont="1" applyFill="1" applyBorder="1" applyAlignment="1">
      <alignment horizontal="center" vertical="center" wrapText="1" shrinkToFit="1"/>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 name="千位分隔 2" xfId="18"/>
    <cellStyle name="千位分隔 3" xfId="17"/>
  </cellStyles>
  <dxfs count="274">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北京市经济技术开发区荣华南路1号院1号楼房地产抵押价值预评估</v>
      </c>
    </row>
    <row r="3" spans="1:2" s="1592" customFormat="1">
      <c r="A3" s="1590" t="s">
        <v>1217</v>
      </c>
      <c r="B3" s="1591" t="str">
        <f>'预评函-封皮'!B40</f>
        <v>北京国锐房地产开发有限公司</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受贵公司委托，我公司对北京市经济技术开发区荣华南路1号院1号楼房地产抵押价值进行了预评估。</v>
      </c>
    </row>
    <row r="7" spans="1:2" s="1592" customFormat="1">
      <c r="A7" s="1590" t="s">
        <v>1260</v>
      </c>
      <c r="B7" s="1591" t="str">
        <f>'预评函-1'!A7</f>
        <v>估价对象为北京市经济技术开发区荣华南路1号院1号楼房地产，为北京国锐房地产开发有限公司所有。根据《国有土地使用证》[]，估价对象（分摊）出让国有建设用地使用权面积为0平方米，建筑面积为16929.98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经济技术开发区荣华南路1号院1号楼房地产,属北京国锐房地产开发有限公司开发建设的，该项目尚在开发建设中。根据《国有土地使用证》[]，估价对象（分摊）出让国有建设用地使用权面积为0平方米，规划建筑面积为16929.98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为估价委托人在向工行办理贷款手续过程中，确定房地产抵押贷款额度提供参考依据而评估房地产抵押价值。</v>
      </c>
    </row>
    <row r="12" spans="1:2" s="1592" customFormat="1">
      <c r="A12" s="1590" t="s">
        <v>1222</v>
      </c>
      <c r="B12" s="1591" t="str">
        <f>'预评函-1'!A15</f>
        <v>2019年3月29日（评估专业人员实地查勘之日）</v>
      </c>
    </row>
    <row r="13" spans="1:2" s="1592" customFormat="1">
      <c r="A13" s="1590" t="s">
        <v>1223</v>
      </c>
      <c r="B13" s="1591" t="str">
        <f>'预评函-1'!A18</f>
        <v>本次估价的“房地产价值”是指在正常市场情况下，在价值时点2019年3月29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本次评估采用的主估价方法为基准地价系数修正法和收益法。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63143</v>
      </c>
    </row>
    <row r="21" spans="1:2" s="1592" customFormat="1">
      <c r="A21" s="1590" t="s">
        <v>1231</v>
      </c>
      <c r="B21" s="1591">
        <f ca="1">'预评函-2'!D7</f>
        <v>37297</v>
      </c>
    </row>
    <row r="22" spans="1:2" s="1592" customFormat="1">
      <c r="A22" s="1590" t="s">
        <v>1232</v>
      </c>
      <c r="B22" s="1591" t="str">
        <f ca="1">'预评函-2'!D6</f>
        <v>陆亿叁仟壹佰肆拾叁万元整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63143</v>
      </c>
    </row>
    <row r="31" spans="1:2" s="1592" customFormat="1">
      <c r="A31" s="1590" t="s">
        <v>1270</v>
      </c>
      <c r="B31" s="1591">
        <f ca="1">'预评函-2'!D15</f>
        <v>37297</v>
      </c>
    </row>
    <row r="32" spans="1:2" s="1592" customFormat="1">
      <c r="A32" s="1590" t="s">
        <v>1237</v>
      </c>
      <c r="B32" s="1591" t="str">
        <f ca="1">'预评函-2'!D14</f>
        <v>陆亿叁仟壹佰肆拾叁万元整</v>
      </c>
    </row>
    <row r="33" spans="1:2" s="1592" customFormat="1">
      <c r="A33" s="1590" t="s">
        <v>1272</v>
      </c>
      <c r="B33" s="1591" t="str">
        <f>'预评函-2'!B16</f>
        <v>4.抵押担保权已注销时的房地产抵押价值</v>
      </c>
    </row>
    <row r="34" spans="1:2" s="1592" customFormat="1">
      <c r="A34" s="1590" t="s">
        <v>1290</v>
      </c>
      <c r="B34" s="1591">
        <f ca="1">'预评函-2'!D16</f>
        <v>63143</v>
      </c>
    </row>
    <row r="35" spans="1:2" s="1592" customFormat="1">
      <c r="A35" s="1590" t="s">
        <v>1271</v>
      </c>
      <c r="B35" s="1591">
        <f ca="1">'预评函-2'!D18</f>
        <v>37297</v>
      </c>
    </row>
    <row r="36" spans="1:2" s="1592" customFormat="1">
      <c r="A36" s="1590" t="s">
        <v>1238</v>
      </c>
      <c r="B36" s="1591" t="str">
        <f ca="1">'预评函-2'!D17</f>
        <v>陆亿叁仟壹佰肆拾叁万元整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北京市经济技术开发区荣华南路1号院1号楼房地产</v>
      </c>
    </row>
    <row r="42" spans="1:2" s="1592" customFormat="1">
      <c r="A42" s="1590" t="s">
        <v>1284</v>
      </c>
      <c r="B42" s="1591" t="str">
        <f>'预评函-3'!B2</f>
        <v>建筑面积</v>
      </c>
    </row>
    <row r="43" spans="1:2" s="1592" customFormat="1">
      <c r="A43" s="1590" t="s">
        <v>1285</v>
      </c>
      <c r="B43" s="1591">
        <f>'预评函-3'!B4</f>
        <v>16929.979999999996</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G2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3063</v>
      </c>
      <c r="C17" s="2014"/>
    </row>
    <row r="18" spans="1:3">
      <c r="A18" s="2013" t="s">
        <v>1763</v>
      </c>
      <c r="B18" s="2013" t="s">
        <v>3064</v>
      </c>
      <c r="C18" s="2014"/>
    </row>
    <row r="19" spans="1:3">
      <c r="A19" s="2013" t="s">
        <v>1764</v>
      </c>
      <c r="B19" s="2013" t="s">
        <v>3065</v>
      </c>
      <c r="C19" s="2014"/>
    </row>
    <row r="20" spans="1:3">
      <c r="A20" s="2013" t="s">
        <v>1765</v>
      </c>
      <c r="B20" s="2013" t="s">
        <v>3066</v>
      </c>
      <c r="C20" s="2014"/>
    </row>
    <row r="21" spans="1:3">
      <c r="A21" s="2013" t="s">
        <v>1766</v>
      </c>
      <c r="B21" s="2013" t="s">
        <v>3188</v>
      </c>
      <c r="C21" s="2014"/>
    </row>
    <row r="22" spans="1:3">
      <c r="A22" s="2013" t="s">
        <v>1767</v>
      </c>
      <c r="B22" s="2013" t="s">
        <v>3419</v>
      </c>
      <c r="C22" s="2014"/>
    </row>
    <row r="23" spans="1:3">
      <c r="A23" s="2013" t="s">
        <v>1768</v>
      </c>
      <c r="B23" s="2013" t="s">
        <v>3421</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荣华南路1号院1号楼房地产作为抵押担保物，向工行办理贷款手续。工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27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2021" t="s">
        <v>861</v>
      </c>
      <c r="C54" s="2018" t="s">
        <v>1277</v>
      </c>
    </row>
    <row r="55" spans="1:4">
      <c r="A55" s="3279"/>
      <c r="B55" s="2021" t="s">
        <v>862</v>
      </c>
      <c r="C55" s="2018" t="s">
        <v>1278</v>
      </c>
    </row>
    <row r="56" spans="1:4">
      <c r="A56" s="3279"/>
      <c r="B56" s="2021" t="s">
        <v>863</v>
      </c>
      <c r="C56" s="2018" t="s">
        <v>1282</v>
      </c>
    </row>
    <row r="57" spans="1:4">
      <c r="A57" s="327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1772</v>
      </c>
      <c r="B1" s="3288" t="str">
        <f>IF(B10="北京市","北京市",C10)&amp;F10&amp;IF('结果表（办公）'!G1="在建","出让国有建设用地使用权及在建建筑物",IF('结果表（办公）'!G1="土地","出让国有建设用地使用权",))&amp;B9&amp;"预评估"</f>
        <v>北京市经济技术开发区荣华南路1号院1号楼房地产抵押价值预评估</v>
      </c>
      <c r="C1" s="3289"/>
      <c r="D1" s="3289"/>
      <c r="E1" s="3289"/>
      <c r="F1" s="3289"/>
      <c r="G1" s="3289"/>
      <c r="H1" s="3289"/>
      <c r="I1" s="3290"/>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北京市经济技术开发区荣华南路1号院1号楼房地产抵押价值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北京市经济技术开发区荣华南路1号院1号楼房地产</v>
      </c>
    </row>
    <row r="3" spans="1:19" ht="18" customHeight="1">
      <c r="A3" s="2034" t="s">
        <v>1774</v>
      </c>
      <c r="B3" s="2035">
        <v>43553</v>
      </c>
      <c r="C3" s="2036" t="s">
        <v>1775</v>
      </c>
      <c r="D3" s="2035">
        <f>B3</f>
        <v>43553</v>
      </c>
      <c r="E3" s="2025"/>
      <c r="F3" s="2025"/>
      <c r="G3" s="2025"/>
      <c r="H3" s="2025"/>
      <c r="I3" s="2025"/>
      <c r="J3" s="2025"/>
      <c r="K3" s="2026"/>
      <c r="L3" s="2027"/>
      <c r="M3" s="2027"/>
      <c r="N3" s="2028"/>
      <c r="O3" s="2029"/>
      <c r="P3" s="2028"/>
      <c r="Q3" s="2028"/>
      <c r="R3" s="2028"/>
      <c r="S3" s="2030"/>
    </row>
    <row r="4" spans="1:19" ht="18" customHeight="1" thickBot="1">
      <c r="A4" s="2037" t="s">
        <v>1776</v>
      </c>
      <c r="B4" s="2038" t="s">
        <v>3455</v>
      </c>
      <c r="C4" s="1037">
        <f ca="1">SUMIF(注册房地产估价师,B4,估价师及机构信息!B3:B24)</f>
        <v>1120050019</v>
      </c>
      <c r="D4" s="2038" t="s">
        <v>3052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1777</v>
      </c>
      <c r="B5" s="2972" t="s">
        <v>3054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73" t="s">
        <v>3053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73" t="s">
        <v>3054</v>
      </c>
      <c r="C7" s="2047"/>
      <c r="D7" s="2048"/>
      <c r="E7" s="2033"/>
      <c r="F7" s="2041"/>
      <c r="G7" s="2041"/>
      <c r="H7" s="2041"/>
      <c r="I7" s="2041"/>
      <c r="J7" s="2041"/>
      <c r="K7" s="2050"/>
      <c r="L7" s="2027"/>
      <c r="M7" s="2027"/>
      <c r="N7" s="2028"/>
      <c r="O7" s="2029"/>
      <c r="P7" s="2028"/>
      <c r="Q7" s="2028"/>
      <c r="R7" s="2028"/>
    </row>
    <row r="8" spans="1:19" ht="18" customHeight="1">
      <c r="A8" s="2046" t="s">
        <v>1780</v>
      </c>
      <c r="B8" s="2051" t="s">
        <v>3056</v>
      </c>
      <c r="C8" s="2052"/>
      <c r="D8" s="3291" t="s">
        <v>1781</v>
      </c>
      <c r="E8" s="2053" t="s">
        <v>3057</v>
      </c>
      <c r="F8" s="2054"/>
      <c r="G8" s="2025"/>
      <c r="H8" s="2025"/>
      <c r="I8" s="2025"/>
      <c r="J8" s="2041"/>
      <c r="K8" s="2042"/>
      <c r="L8" s="2027"/>
      <c r="M8" s="2027"/>
      <c r="N8" s="2028"/>
      <c r="O8" s="2029"/>
      <c r="P8" s="2028"/>
      <c r="Q8" s="2028"/>
      <c r="R8" s="2028"/>
    </row>
    <row r="9" spans="1:19" ht="18" customHeight="1" thickBot="1">
      <c r="A9" s="2039" t="s">
        <v>1782</v>
      </c>
      <c r="B9" s="2055" t="s">
        <v>3058</v>
      </c>
      <c r="C9" s="2056"/>
      <c r="D9" s="3292"/>
      <c r="E9" s="2055" t="s">
        <v>70</v>
      </c>
      <c r="F9" s="2057"/>
      <c r="G9" s="2058"/>
      <c r="H9" s="2058"/>
      <c r="I9" s="2058"/>
      <c r="J9" s="2041"/>
      <c r="K9" s="2050"/>
      <c r="L9" s="2027"/>
      <c r="M9" s="2027"/>
      <c r="N9" s="2028"/>
      <c r="O9" s="2029"/>
      <c r="P9" s="2028"/>
      <c r="Q9" s="2028"/>
      <c r="R9" s="2028"/>
    </row>
    <row r="10" spans="1:19" ht="18" customHeight="1" thickTop="1">
      <c r="A10" s="2059" t="s">
        <v>1783</v>
      </c>
      <c r="B10" s="2060" t="s">
        <v>3059</v>
      </c>
      <c r="C10" s="2061"/>
      <c r="D10" s="2045"/>
      <c r="E10" s="2062" t="s">
        <v>1784</v>
      </c>
      <c r="F10" s="2063" t="s">
        <v>3060</v>
      </c>
      <c r="G10" s="2064"/>
      <c r="H10" s="2065"/>
      <c r="I10" s="2045"/>
      <c r="J10" s="2041"/>
      <c r="K10" s="2050"/>
      <c r="L10" s="2027"/>
      <c r="M10" s="2027"/>
      <c r="N10" s="2028"/>
      <c r="O10" s="2029"/>
      <c r="P10" s="2028"/>
      <c r="Q10" s="2028"/>
      <c r="R10" s="2028"/>
    </row>
    <row r="11" spans="1:19" ht="18" customHeight="1">
      <c r="A11" s="2066" t="s">
        <v>1785</v>
      </c>
      <c r="B11" s="2067" t="s">
        <v>3061</v>
      </c>
      <c r="C11" s="2974" t="s">
        <v>3055</v>
      </c>
      <c r="D11" s="2068"/>
      <c r="E11" s="2041"/>
      <c r="F11" s="2041"/>
      <c r="G11" s="2041"/>
      <c r="H11" s="2041"/>
      <c r="I11" s="2041"/>
      <c r="J11" s="2041"/>
      <c r="K11" s="2050"/>
      <c r="L11" s="2027"/>
      <c r="M11" s="2027"/>
      <c r="N11" s="2028"/>
      <c r="O11" s="2029"/>
      <c r="P11" s="2028"/>
      <c r="Q11" s="2028"/>
      <c r="R11" s="2028"/>
    </row>
    <row r="12" spans="1:19" ht="18" customHeight="1">
      <c r="A12" s="2069" t="s">
        <v>1786</v>
      </c>
      <c r="B12" s="2067" t="s">
        <v>3062</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54595</v>
      </c>
      <c r="F13" s="2075">
        <v>58247</v>
      </c>
      <c r="G13" s="2075">
        <v>58247</v>
      </c>
      <c r="H13" s="2075">
        <v>58247</v>
      </c>
      <c r="I13" s="1047"/>
      <c r="J13" s="2041"/>
      <c r="K13" s="2050"/>
      <c r="L13" s="2027"/>
      <c r="M13" s="2027"/>
      <c r="N13" s="2028"/>
      <c r="O13" s="2029"/>
      <c r="P13" s="2028"/>
      <c r="Q13" s="2028"/>
      <c r="R13" s="2028"/>
    </row>
    <row r="14" spans="1:19" ht="18" customHeight="1">
      <c r="A14" s="2072"/>
      <c r="B14" s="2073"/>
      <c r="C14" s="2074" t="s">
        <v>1795</v>
      </c>
      <c r="D14" s="1050"/>
      <c r="E14" s="1050">
        <v>40</v>
      </c>
      <c r="F14" s="1050">
        <v>50</v>
      </c>
      <c r="G14" s="1050">
        <v>50</v>
      </c>
      <c r="H14" s="1050">
        <v>50</v>
      </c>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30.25</v>
      </c>
      <c r="F15" s="1049">
        <f>IF(B12="出让",IF(F13="","",ROUNDDOWN(MIN((F13-$D$3)/365,F14),2)),F14)</f>
        <v>40.25</v>
      </c>
      <c r="G15" s="1049">
        <f>IF(B12="出让",IF(G13="","",ROUNDDOWN(MIN((G13-$D$3)/365,G14),2)),G14)</f>
        <v>40.25</v>
      </c>
      <c r="H15" s="1049">
        <f>IF(B12="出让",IF(H13="","",ROUNDDOWN(MIN((H13-$D$3)/365,H14),2)),H14)</f>
        <v>40.25</v>
      </c>
      <c r="I15" s="1049" t="str">
        <f>IF(B12="出让",IF(I13="","",ROUNDDOWN(MIN((I13-$D$3)/365,I14),2)),I14)</f>
        <v/>
      </c>
      <c r="J15" s="2041"/>
      <c r="K15" s="2078"/>
      <c r="L15" s="2079"/>
      <c r="M15" s="2079"/>
      <c r="N15" s="2080"/>
      <c r="O15" s="2079"/>
      <c r="P15" s="2080"/>
      <c r="Q15" s="2028"/>
      <c r="R15" s="2028"/>
    </row>
    <row r="16" spans="1:19" ht="30.75" customHeight="1">
      <c r="A16" s="2062" t="s">
        <v>1797</v>
      </c>
      <c r="B16" s="3298"/>
      <c r="C16" s="3299"/>
      <c r="D16" s="3300"/>
      <c r="E16" s="2081" t="s">
        <v>1798</v>
      </c>
      <c r="F16" s="3301"/>
      <c r="G16" s="3302"/>
      <c r="H16" s="3302"/>
      <c r="I16" s="3303"/>
      <c r="J16" s="2028"/>
      <c r="K16" s="2078"/>
      <c r="L16" s="2079"/>
      <c r="M16" s="2079"/>
      <c r="N16" s="2080"/>
      <c r="O16" s="2079"/>
      <c r="P16" s="2080"/>
      <c r="Q16" s="2028"/>
      <c r="R16" s="2028"/>
    </row>
    <row r="17" spans="1:22" ht="18" customHeight="1">
      <c r="A17" s="2082" t="s">
        <v>1799</v>
      </c>
      <c r="B17" s="2034" t="s">
        <v>1800</v>
      </c>
      <c r="C17" s="1054">
        <f>'数据-汇总表'!E3</f>
        <v>16929.979999999996</v>
      </c>
      <c r="D17" s="2083" t="s">
        <v>1801</v>
      </c>
      <c r="E17" s="3304" t="s">
        <v>1802</v>
      </c>
      <c r="F17" s="3305"/>
      <c r="G17" s="3305"/>
      <c r="H17" s="3305"/>
      <c r="I17" s="3306"/>
      <c r="J17" s="2028"/>
      <c r="K17" s="2084"/>
      <c r="L17" s="2079"/>
      <c r="M17" s="2079"/>
      <c r="N17" s="2080"/>
      <c r="O17" s="2079"/>
      <c r="P17" s="2080"/>
      <c r="Q17" s="2028"/>
      <c r="R17" s="2028"/>
      <c r="S17" s="2028"/>
      <c r="T17" s="2028"/>
      <c r="U17" s="2028"/>
      <c r="V17" s="2028"/>
    </row>
    <row r="18" spans="1:22" ht="36" customHeight="1" thickBot="1">
      <c r="A18" s="2085" t="s">
        <v>1803</v>
      </c>
      <c r="B18" s="2037" t="s">
        <v>1804</v>
      </c>
      <c r="C18" s="1443">
        <f>'数据-汇总表'!D3</f>
        <v>0</v>
      </c>
      <c r="D18" s="2086" t="s">
        <v>1801</v>
      </c>
      <c r="E18" s="3307" t="s">
        <v>1805</v>
      </c>
      <c r="F18" s="3308"/>
      <c r="G18" s="3308"/>
      <c r="H18" s="3308"/>
      <c r="I18" s="3309"/>
      <c r="J18" s="2028"/>
      <c r="K18" s="2084"/>
      <c r="L18" s="2079"/>
      <c r="M18" s="2079"/>
      <c r="N18" s="2080"/>
      <c r="O18" s="2079"/>
      <c r="P18" s="2080"/>
      <c r="Q18" s="2028"/>
      <c r="R18" s="2028"/>
      <c r="S18" s="2028"/>
      <c r="T18" s="2028"/>
      <c r="U18" s="2028"/>
      <c r="V18" s="2028"/>
    </row>
    <row r="19" spans="1:22" ht="37.5" customHeight="1" thickTop="1" thickBot="1">
      <c r="A19" s="372" t="s">
        <v>1806</v>
      </c>
      <c r="B19" s="351" t="s">
        <v>1807</v>
      </c>
      <c r="C19" s="2087"/>
      <c r="D19" s="2088" t="s">
        <v>1808</v>
      </c>
      <c r="E19" s="2089"/>
      <c r="F19" s="2090" t="str">
        <f>IF(AND(C19="是",E19="否"),"是否提供他项权证或相关说明","")</f>
        <v/>
      </c>
      <c r="G19" s="2091"/>
      <c r="H19" s="2041"/>
      <c r="I19" s="2041"/>
      <c r="J19" s="2041"/>
      <c r="K19" s="2050"/>
      <c r="L19" s="2027"/>
      <c r="M19" s="2027"/>
      <c r="N19" s="2080"/>
      <c r="O19" s="2079"/>
      <c r="P19" s="2080"/>
      <c r="Q19" s="2028"/>
      <c r="R19" s="2028"/>
      <c r="S19" s="2028"/>
      <c r="T19" s="2028"/>
      <c r="U19" s="2028"/>
      <c r="V19" s="2028"/>
    </row>
    <row r="20" spans="1:22" ht="18" customHeight="1">
      <c r="A20" s="2092" t="s">
        <v>1809</v>
      </c>
      <c r="B20" s="3294" t="s">
        <v>1810</v>
      </c>
      <c r="C20" s="3295"/>
      <c r="D20" s="3296" t="s">
        <v>1811</v>
      </c>
      <c r="E20" s="3297"/>
      <c r="F20" s="2093" t="s">
        <v>1812</v>
      </c>
      <c r="G20" s="2041"/>
      <c r="H20" s="2041"/>
      <c r="I20" s="2041"/>
      <c r="J20" s="2041"/>
      <c r="K20" s="3293"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0"/>
      <c r="O20" s="2079"/>
      <c r="P20" s="2080"/>
      <c r="Q20" s="2028"/>
      <c r="R20" s="2028"/>
      <c r="S20" s="2028"/>
      <c r="T20" s="2028"/>
      <c r="U20" s="2028"/>
      <c r="V20" s="2028"/>
    </row>
    <row r="21" spans="1:22" ht="24.75" customHeight="1">
      <c r="A21" s="2092"/>
      <c r="B21" s="2094" t="s">
        <v>1814</v>
      </c>
      <c r="C21" s="2095" t="s">
        <v>1815</v>
      </c>
      <c r="D21" s="2096" t="s">
        <v>1816</v>
      </c>
      <c r="E21" s="2097" t="s">
        <v>1815</v>
      </c>
      <c r="F21" s="2098"/>
      <c r="G21" s="2041"/>
      <c r="H21" s="2041"/>
      <c r="I21" s="2041"/>
      <c r="J21" s="2041"/>
      <c r="K21" s="329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1817</v>
      </c>
      <c r="C22" s="2095" t="s">
        <v>1818</v>
      </c>
      <c r="D22" s="2025"/>
      <c r="E22" s="2025"/>
      <c r="F22" s="2100"/>
      <c r="G22" s="2041"/>
      <c r="H22" s="2041"/>
      <c r="I22" s="2041"/>
      <c r="J22" s="2041"/>
      <c r="K22" s="3293"/>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2" t="s">
        <v>1820</v>
      </c>
      <c r="C23" s="2102"/>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2" t="s">
        <v>1821</v>
      </c>
      <c r="C24" s="2107"/>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2"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281" t="s">
        <v>1825</v>
      </c>
      <c r="B27" s="2059" t="s">
        <v>1826</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281"/>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281"/>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282"/>
      <c r="B30" s="2034" t="s">
        <v>1829</v>
      </c>
      <c r="C30" s="3283"/>
      <c r="D30" s="3284"/>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285" t="s">
        <v>1830</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286"/>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286"/>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c r="C34" s="2129"/>
      <c r="D34" s="2129"/>
      <c r="E34" s="2129"/>
      <c r="F34" s="2129"/>
      <c r="G34" s="2129"/>
      <c r="H34" s="2129"/>
      <c r="I34" s="2041"/>
      <c r="J34" s="2041"/>
      <c r="K34" s="1794">
        <f>COUNTIF(B34:H34,"——")</f>
        <v>0</v>
      </c>
      <c r="L34" s="2070" t="s">
        <v>1832</v>
      </c>
      <c r="M34" s="2070" t="s">
        <v>1833</v>
      </c>
      <c r="N34" s="2070" t="s">
        <v>1834</v>
      </c>
      <c r="O34" s="2070" t="s">
        <v>1835</v>
      </c>
      <c r="P34" s="2070" t="s">
        <v>1836</v>
      </c>
      <c r="Q34" s="2070" t="s">
        <v>1837</v>
      </c>
      <c r="R34" s="2070" t="s">
        <v>1838</v>
      </c>
      <c r="S34" s="3280" t="s">
        <v>1839</v>
      </c>
      <c r="T34" s="2130" t="str">
        <f>NUMBERSTRING(7-K34,1)&amp;"通"</f>
        <v>七通</v>
      </c>
      <c r="U34" s="2028"/>
      <c r="V34" s="2028"/>
    </row>
    <row r="35" spans="1:22" ht="18" customHeight="1">
      <c r="A35" s="2131"/>
      <c r="B35" s="3287" t="s">
        <v>1840</v>
      </c>
      <c r="C35" s="3287"/>
      <c r="D35" s="3287"/>
      <c r="E35" s="3287"/>
      <c r="F35" s="2132">
        <f>C10</f>
        <v>0</v>
      </c>
      <c r="G35" s="2041"/>
      <c r="H35" s="2041"/>
      <c r="I35" s="2041"/>
      <c r="J35" s="2041"/>
      <c r="K35" s="2070"/>
      <c r="L35" s="2070">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280"/>
      <c r="T35" s="47" t="str">
        <f>IF(T34="一通",L35,IF(T34="二通",M35,IF(T34="三通",N35,IF(T34="四通",O35,IF(T34="五通",P35,IF(T34="六通",Q35,R35))))))</f>
        <v>、、、、、、</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t="s">
        <v>56</v>
      </c>
      <c r="C37" s="2136"/>
      <c r="D37" s="2136"/>
      <c r="E37" s="2136"/>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t="s">
        <v>3189</v>
      </c>
      <c r="C38" s="2138"/>
      <c r="D38" s="2138"/>
      <c r="E38" s="2138"/>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3058"/>
      <c r="B3" s="13">
        <f>IF(C3="否",G5-AT5,G5)</f>
        <v>16929.979999999996</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2"/>
      <c r="C5" s="1802"/>
      <c r="D5" s="1805"/>
      <c r="E5" s="15" t="s">
        <v>1</v>
      </c>
      <c r="F5" s="15">
        <f>SUM(F13:F587)</f>
        <v>0</v>
      </c>
      <c r="G5" s="15">
        <f>SUM(G13:G587)</f>
        <v>16929.979999999996</v>
      </c>
      <c r="H5" s="15">
        <f t="shared" ref="H5:AT5" si="0">SUM(H13:H656)</f>
        <v>16929.979999999996</v>
      </c>
      <c r="I5" s="15">
        <f t="shared" si="0"/>
        <v>16929.979999999996</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1"/>
      <c r="AV5" s="14" t="s">
        <v>1876</v>
      </c>
      <c r="AW5" s="1802"/>
      <c r="AX5" s="1802"/>
      <c r="AY5" s="16" t="s">
        <v>3</v>
      </c>
      <c r="AZ5" s="17">
        <f t="shared" ref="AZ5:BT5" si="1">SUM(AZ13:AZ656)</f>
        <v>16929.979999999996</v>
      </c>
      <c r="BA5" s="17">
        <f t="shared" si="1"/>
        <v>16929.979999999996</v>
      </c>
      <c r="BB5" s="17">
        <f t="shared" si="1"/>
        <v>16929.979999999996</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1885</v>
      </c>
      <c r="AV7" s="22" t="s">
        <v>1886</v>
      </c>
      <c r="AW7" s="2162" t="s">
        <v>1887</v>
      </c>
      <c r="AX7" s="22" t="s">
        <v>1880</v>
      </c>
      <c r="AY7" s="1802"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7"/>
      <c r="K8" s="1817"/>
      <c r="L8" s="1817"/>
      <c r="M8" s="1817"/>
      <c r="N8" s="1817"/>
      <c r="O8" s="1817"/>
      <c r="P8" s="1817"/>
      <c r="Q8" s="1817"/>
      <c r="R8" s="1817"/>
      <c r="S8" s="1817"/>
      <c r="T8" s="1817"/>
      <c r="U8" s="1817"/>
      <c r="V8" s="2182"/>
      <c r="W8" s="1817"/>
      <c r="X8" s="1817"/>
      <c r="Y8" s="1817"/>
      <c r="Z8" s="1817"/>
      <c r="AA8" s="2182"/>
      <c r="AB8" s="2183"/>
      <c r="AC8" s="981" t="s">
        <v>1891</v>
      </c>
      <c r="AD8" s="2184"/>
      <c r="AE8" s="2176"/>
      <c r="AF8" s="1817"/>
      <c r="AG8" s="1817"/>
      <c r="AH8" s="1817"/>
      <c r="AI8" s="1817"/>
      <c r="AJ8" s="1817"/>
      <c r="AK8" s="1817"/>
      <c r="AL8" s="1817"/>
      <c r="AM8" s="1817"/>
      <c r="AN8" s="1817"/>
      <c r="AO8" s="1817"/>
      <c r="AP8" s="1817"/>
      <c r="AQ8" s="1817"/>
      <c r="AR8" s="1817"/>
      <c r="AS8" s="1817"/>
      <c r="AT8" s="1291" t="s">
        <v>1892</v>
      </c>
      <c r="AU8" s="2178" t="s">
        <v>1893</v>
      </c>
      <c r="AV8" s="1291"/>
      <c r="AW8" s="2161"/>
      <c r="AX8" s="1291"/>
      <c r="AY8" s="2162"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2.75">
      <c r="A9" s="2178"/>
      <c r="B9" s="2178"/>
      <c r="C9" s="2178"/>
      <c r="D9" s="2178"/>
      <c r="E9" s="2178"/>
      <c r="F9" s="2178"/>
      <c r="G9" s="1291"/>
      <c r="H9" s="2186" t="s">
        <v>1896</v>
      </c>
      <c r="I9" s="2187" t="s">
        <v>3070</v>
      </c>
      <c r="J9" s="981"/>
      <c r="K9" s="2187" t="s">
        <v>3070</v>
      </c>
      <c r="L9" s="981"/>
      <c r="M9" s="2187" t="s">
        <v>3071</v>
      </c>
      <c r="N9" s="981"/>
      <c r="O9" s="2187" t="s">
        <v>3071</v>
      </c>
      <c r="P9" s="981"/>
      <c r="Q9" s="2187"/>
      <c r="R9" s="981"/>
      <c r="S9" s="2187"/>
      <c r="T9" s="981"/>
      <c r="U9" s="2187"/>
      <c r="V9" s="981"/>
      <c r="W9" s="2187"/>
      <c r="X9" s="2188"/>
      <c r="Y9" s="2187"/>
      <c r="Z9" s="981"/>
      <c r="AA9" s="2187"/>
      <c r="AB9" s="981"/>
      <c r="AC9" s="2179" t="s">
        <v>1896</v>
      </c>
      <c r="AD9" s="14" t="s">
        <v>1897</v>
      </c>
      <c r="AE9" s="1297"/>
      <c r="AF9" s="14" t="s">
        <v>1898</v>
      </c>
      <c r="AG9" s="1297"/>
      <c r="AH9" s="14" t="s">
        <v>1897</v>
      </c>
      <c r="AI9" s="1297"/>
      <c r="AJ9" s="14" t="s">
        <v>1898</v>
      </c>
      <c r="AK9" s="1297"/>
      <c r="AL9" s="14" t="s">
        <v>1897</v>
      </c>
      <c r="AM9" s="1297"/>
      <c r="AN9" s="14" t="s">
        <v>1898</v>
      </c>
      <c r="AO9" s="1297"/>
      <c r="AP9" s="14" t="s">
        <v>1897</v>
      </c>
      <c r="AQ9" s="1297"/>
      <c r="AR9" s="14" t="s">
        <v>1898</v>
      </c>
      <c r="AS9" s="2189"/>
      <c r="AT9" s="2178"/>
      <c r="AU9" s="2178" t="s">
        <v>1899</v>
      </c>
      <c r="AV9" s="1291"/>
      <c r="AW9" s="2161"/>
      <c r="AX9" s="1291"/>
      <c r="AY9" s="27"/>
      <c r="AZ9" s="27" t="s">
        <v>1889</v>
      </c>
      <c r="BA9" s="2190" t="s">
        <v>1900</v>
      </c>
      <c r="BB9" s="2191"/>
      <c r="BC9" s="1337"/>
      <c r="BD9" s="1337"/>
      <c r="BE9" s="1337"/>
      <c r="BF9" s="1337"/>
      <c r="BG9" s="1337"/>
      <c r="BH9" s="1337"/>
      <c r="BI9" s="1337"/>
      <c r="BJ9" s="1337"/>
      <c r="BK9" s="2192"/>
      <c r="BL9" s="14" t="s">
        <v>1901</v>
      </c>
      <c r="BM9" s="1817"/>
      <c r="BN9" s="2181"/>
      <c r="BO9" s="1817"/>
      <c r="BP9" s="1817"/>
      <c r="BQ9" s="1817"/>
      <c r="BR9" s="1817"/>
      <c r="BS9" s="1817"/>
      <c r="BT9" s="25"/>
    </row>
    <row r="10" spans="1:72" s="2185" customFormat="1" ht="12.75">
      <c r="A10" s="2178"/>
      <c r="B10" s="2178"/>
      <c r="C10" s="2178"/>
      <c r="D10" s="2178"/>
      <c r="E10" s="2178"/>
      <c r="F10" s="2178"/>
      <c r="G10" s="1291"/>
      <c r="H10" s="27"/>
      <c r="I10" s="2187" t="s">
        <v>27</v>
      </c>
      <c r="J10" s="981"/>
      <c r="K10" s="2193" t="s">
        <v>1373</v>
      </c>
      <c r="L10" s="981"/>
      <c r="M10" s="2193" t="s">
        <v>1373</v>
      </c>
      <c r="N10" s="981"/>
      <c r="O10" s="2193" t="s">
        <v>3072</v>
      </c>
      <c r="P10" s="981"/>
      <c r="Q10" s="2193"/>
      <c r="R10" s="981"/>
      <c r="S10" s="2193"/>
      <c r="T10" s="981"/>
      <c r="U10" s="2193"/>
      <c r="V10" s="981"/>
      <c r="W10" s="2193"/>
      <c r="X10" s="981"/>
      <c r="Y10" s="2193"/>
      <c r="Z10" s="981"/>
      <c r="AA10" s="2193"/>
      <c r="AB10" s="981"/>
      <c r="AC10" s="1291"/>
      <c r="AD10" s="14" t="s">
        <v>1902</v>
      </c>
      <c r="AE10" s="2194"/>
      <c r="AF10" s="14" t="s">
        <v>1902</v>
      </c>
      <c r="AG10" s="2194"/>
      <c r="AH10" s="14" t="s">
        <v>1903</v>
      </c>
      <c r="AI10" s="2194"/>
      <c r="AJ10" s="14" t="s">
        <v>1903</v>
      </c>
      <c r="AK10" s="2194"/>
      <c r="AL10" s="14" t="s">
        <v>1904</v>
      </c>
      <c r="AM10" s="1297"/>
      <c r="AN10" s="14" t="s">
        <v>1904</v>
      </c>
      <c r="AO10" s="1297"/>
      <c r="AP10" s="14" t="s">
        <v>1905</v>
      </c>
      <c r="AQ10" s="1297"/>
      <c r="AR10" s="14" t="s">
        <v>1905</v>
      </c>
      <c r="AS10" s="1297"/>
      <c r="AT10" s="2178"/>
      <c r="AU10" s="2178"/>
      <c r="AV10" s="1291"/>
      <c r="AW10" s="2161"/>
      <c r="AX10" s="1291"/>
      <c r="AY10" s="27"/>
      <c r="AZ10" s="27"/>
      <c r="BA10" s="2195" t="s">
        <v>1896</v>
      </c>
      <c r="BB10" s="2196" t="str">
        <f>I9</f>
        <v>地上</v>
      </c>
      <c r="BC10" s="28" t="str">
        <f>K9</f>
        <v>地上</v>
      </c>
      <c r="BD10" s="28" t="str">
        <f>M9</f>
        <v>地下</v>
      </c>
      <c r="BE10" s="28" t="str">
        <f>O9</f>
        <v>地下</v>
      </c>
      <c r="BF10" s="28">
        <f>Q9</f>
        <v>0</v>
      </c>
      <c r="BG10" s="28">
        <f>S9</f>
        <v>0</v>
      </c>
      <c r="BH10" s="28">
        <f>U9</f>
        <v>0</v>
      </c>
      <c r="BI10" s="28">
        <f>W9</f>
        <v>0</v>
      </c>
      <c r="BJ10" s="28">
        <f>Y9</f>
        <v>0</v>
      </c>
      <c r="BK10" s="28">
        <f>AA9</f>
        <v>0</v>
      </c>
      <c r="BL10" s="24" t="s">
        <v>1896</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2.75">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1906</v>
      </c>
      <c r="AE11" s="1818"/>
      <c r="AF11" s="2200" t="s">
        <v>1906</v>
      </c>
      <c r="AG11" s="1818"/>
      <c r="AH11" s="2200" t="s">
        <v>1907</v>
      </c>
      <c r="AI11" s="2201"/>
      <c r="AJ11" s="2200" t="s">
        <v>1907</v>
      </c>
      <c r="AK11" s="1818"/>
      <c r="AL11" s="1816"/>
      <c r="AM11" s="1818"/>
      <c r="AN11" s="1816"/>
      <c r="AO11" s="1818"/>
      <c r="AP11" s="1816"/>
      <c r="AQ11" s="1818"/>
      <c r="AR11" s="1816"/>
      <c r="AS11" s="1818"/>
      <c r="AT11" s="2161"/>
      <c r="AU11" s="2178"/>
      <c r="AV11" s="1291"/>
      <c r="AW11" s="2161"/>
      <c r="AX11" s="1291"/>
      <c r="AY11" s="27"/>
      <c r="AZ11" s="27"/>
      <c r="BA11" s="27"/>
      <c r="BB11" s="2183" t="str">
        <f>I10</f>
        <v>办公</v>
      </c>
      <c r="BC11" s="2183" t="str">
        <f>K10</f>
        <v>商业</v>
      </c>
      <c r="BD11" s="2183" t="str">
        <f>M10</f>
        <v>商业</v>
      </c>
      <c r="BE11" s="2183" t="str">
        <f>O10</f>
        <v>仓储</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5"/>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f>I11</f>
        <v>0</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ht="12.75">
      <c r="A13" s="1271"/>
      <c r="B13" s="1271"/>
      <c r="C13" s="1271"/>
      <c r="D13" s="2209" t="s">
        <v>3069</v>
      </c>
      <c r="E13" s="15">
        <f>IF($C$3="是",ROUND($A$3*G13/$B$3,2),ROUND($A$3*(G13-AT13)/$B$3,2))</f>
        <v>0</v>
      </c>
      <c r="F13" s="31"/>
      <c r="G13" s="32">
        <f>H13+AC13+AT13</f>
        <v>16929.979999999996</v>
      </c>
      <c r="H13" s="19">
        <f>SUMIF(I$12:AB$12,"总值",I13:AB13)</f>
        <v>16929.979999999996</v>
      </c>
      <c r="I13" s="2210">
        <f>抵押物清单!C63</f>
        <v>16929.979999999996</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0</v>
      </c>
      <c r="AZ13" s="15">
        <f>BA13+BL13</f>
        <v>16929.979999999996</v>
      </c>
      <c r="BA13" s="15">
        <f>SUM(BB13:BK13)</f>
        <v>16929.979999999996</v>
      </c>
      <c r="BB13" s="15">
        <f>IF($D13="是",I13-J13,0)</f>
        <v>16929.979999999996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1"/>
      <c r="B14" s="1271"/>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1"/>
      <c r="B15" s="1271"/>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1"/>
      <c r="B16" s="1271"/>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1"/>
      <c r="B17" s="1271"/>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4">
        <f t="shared" ref="AV18:AV112" si="11">A18</f>
        <v>0</v>
      </c>
      <c r="AW18" s="1794">
        <f t="shared" ref="AW18:AW112" si="12">B18</f>
        <v>0</v>
      </c>
      <c r="AX18" s="179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4">
        <f t="shared" si="11"/>
        <v>0</v>
      </c>
      <c r="AW19" s="1794">
        <f t="shared" si="12"/>
        <v>0</v>
      </c>
      <c r="AX19" s="179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4">
        <f t="shared" si="11"/>
        <v>0</v>
      </c>
      <c r="AW20" s="1794">
        <f t="shared" si="12"/>
        <v>0</v>
      </c>
      <c r="AX20" s="179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G35" sqref="G3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321" t="s">
        <v>1936</v>
      </c>
      <c r="B2" s="3321"/>
      <c r="C2" s="3321"/>
      <c r="D2" s="967" t="s">
        <v>1912</v>
      </c>
      <c r="E2" s="2223" t="s">
        <v>1913</v>
      </c>
      <c r="F2" s="1391"/>
      <c r="G2" s="2224"/>
      <c r="H2" s="2225"/>
      <c r="I2" s="2226" t="s">
        <v>1937</v>
      </c>
      <c r="J2" s="1391"/>
      <c r="K2" s="1391"/>
      <c r="L2" s="1391"/>
      <c r="M2" s="1391"/>
      <c r="N2" s="1426"/>
      <c r="O2" s="1391"/>
      <c r="P2" s="1391"/>
    </row>
    <row r="3" spans="1:16" ht="15.75" thickBot="1">
      <c r="A3" s="3322" t="s">
        <v>1910</v>
      </c>
      <c r="B3" s="3322"/>
      <c r="C3" s="3322"/>
      <c r="D3" s="45">
        <f>'数据-基础表'!AY6</f>
        <v>0</v>
      </c>
      <c r="E3" s="45">
        <f>'数据-基础表'!AZ5</f>
        <v>16929.979999999996</v>
      </c>
      <c r="F3" s="1391"/>
      <c r="G3" s="1398"/>
      <c r="H3" s="1246" t="s">
        <v>1911</v>
      </c>
      <c r="I3" s="54" t="e">
        <f>ROUND('数据-基础表'!B3/'数据-基础表'!A3,2)</f>
        <v>#DIV/0!</v>
      </c>
      <c r="J3" s="1391"/>
      <c r="K3" s="1391"/>
      <c r="L3" s="1391"/>
      <c r="M3" s="1391"/>
      <c r="N3" s="1426"/>
      <c r="O3" s="1391"/>
      <c r="P3" s="1391"/>
    </row>
    <row r="4" spans="1:16" ht="15">
      <c r="A4" s="3323"/>
      <c r="B4" s="3324"/>
      <c r="C4" s="3325"/>
      <c r="D4" s="2227" t="s">
        <v>1912</v>
      </c>
      <c r="E4" s="2228" t="s">
        <v>1913</v>
      </c>
      <c r="F4" s="1391"/>
      <c r="G4" s="2229" t="s">
        <v>1938</v>
      </c>
      <c r="H4" s="1246" t="s">
        <v>1918</v>
      </c>
      <c r="I4" s="54" t="e">
        <f>ROUND(SUMIF('数据-基础表'!I9:AS9,"地上",'数据-基础表'!I5:AS5)/'数据-基础表'!A3,2)</f>
        <v>#DIV/0!</v>
      </c>
      <c r="J4" s="1391"/>
      <c r="K4" s="1391"/>
      <c r="L4" s="1391"/>
      <c r="M4" s="1391"/>
      <c r="N4" s="1426"/>
      <c r="O4" s="1391"/>
      <c r="P4" s="1391"/>
    </row>
    <row r="5" spans="1:16">
      <c r="A5" s="46" t="s">
        <v>1914</v>
      </c>
      <c r="B5" s="3326" t="s">
        <v>1915</v>
      </c>
      <c r="C5" s="3326"/>
      <c r="D5" s="47">
        <f>ROUND($D$3*E5/$E$3,2)</f>
        <v>0</v>
      </c>
      <c r="E5" s="48">
        <f>SUMIF('数据-基础表'!$11:$11,"住宅",'数据-基础表'!$5:$5)</f>
        <v>0</v>
      </c>
      <c r="F5" s="1391"/>
      <c r="G5" s="1398"/>
      <c r="H5" s="1246" t="s">
        <v>1911</v>
      </c>
      <c r="I5" s="54" t="e">
        <f>ROUND(E31/D31,2)</f>
        <v>#DIV/0!</v>
      </c>
      <c r="J5" s="1391"/>
      <c r="K5" s="1391"/>
      <c r="L5" s="1391"/>
      <c r="M5" s="1391"/>
      <c r="N5" s="1391"/>
      <c r="O5" s="1391"/>
      <c r="P5" s="1391"/>
    </row>
    <row r="6" spans="1:16" ht="15" thickBot="1">
      <c r="A6" s="2230"/>
      <c r="B6" s="3326" t="s">
        <v>1916</v>
      </c>
      <c r="C6" s="3326"/>
      <c r="D6" s="47">
        <f>ROUND($D$3*E6/$E$3,2)</f>
        <v>0</v>
      </c>
      <c r="E6" s="48">
        <f>E3-E5</f>
        <v>16929.979999999996</v>
      </c>
      <c r="F6" s="1391"/>
      <c r="G6" s="2231" t="s">
        <v>1917</v>
      </c>
      <c r="H6" s="1398" t="s">
        <v>1918</v>
      </c>
      <c r="I6" s="939" t="e">
        <f>ROUND(F31/D31,2)</f>
        <v>#DIV/0!</v>
      </c>
      <c r="J6" s="1391"/>
      <c r="K6" s="1391"/>
      <c r="L6" s="1391"/>
      <c r="M6" s="1391"/>
      <c r="N6" s="1391"/>
      <c r="O6" s="1391"/>
      <c r="P6" s="1391"/>
    </row>
    <row r="7" spans="1:16" ht="15">
      <c r="A7" s="3318"/>
      <c r="B7" s="3319"/>
      <c r="C7" s="3320"/>
      <c r="D7" s="2227" t="s">
        <v>1912</v>
      </c>
      <c r="E7" s="2232" t="s">
        <v>1919</v>
      </c>
      <c r="F7" s="1391"/>
      <c r="G7" s="2224" t="s">
        <v>1920</v>
      </c>
      <c r="H7" s="63"/>
      <c r="I7" s="419">
        <v>5</v>
      </c>
      <c r="J7" s="1391"/>
      <c r="K7" s="1391"/>
      <c r="L7" s="1391"/>
      <c r="M7" s="1391"/>
      <c r="N7" s="1391"/>
      <c r="O7" s="1391"/>
      <c r="P7" s="1391"/>
    </row>
    <row r="8" spans="1:16">
      <c r="A8" s="46" t="s">
        <v>1921</v>
      </c>
      <c r="B8" s="49" t="s">
        <v>1922</v>
      </c>
      <c r="C8" s="47" t="s">
        <v>1923</v>
      </c>
      <c r="D8" s="47">
        <f t="shared" ref="D8:D15" si="0">ROUND($D$3*E8/$E$3,2)</f>
        <v>0</v>
      </c>
      <c r="E8" s="50">
        <f>SUMIF('数据-基础表'!BB10:BK10,"地上",'数据-基础表'!BB5:BK5)</f>
        <v>16929.979999999996</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0</v>
      </c>
      <c r="E16" s="52">
        <f>SUM(E8:E15)</f>
        <v>16929.979999999996</v>
      </c>
      <c r="F16" s="1391"/>
      <c r="G16" s="2233"/>
      <c r="H16" s="2236" t="s">
        <v>1940</v>
      </c>
      <c r="I16" s="2237"/>
      <c r="J16" s="1391"/>
      <c r="K16" s="3315" t="s">
        <v>1940</v>
      </c>
      <c r="L16" s="3316"/>
      <c r="M16" s="3316"/>
      <c r="N16" s="3316"/>
      <c r="O16" s="3316"/>
      <c r="P16" s="3317"/>
    </row>
    <row r="17" spans="1:19" ht="15">
      <c r="A17" s="2238" t="s">
        <v>1941</v>
      </c>
      <c r="B17" s="2239" t="s">
        <v>1942</v>
      </c>
      <c r="C17" s="2240" t="s">
        <v>1943</v>
      </c>
      <c r="D17" s="2241" t="s">
        <v>1931</v>
      </c>
      <c r="E17" s="2242" t="s">
        <v>1932</v>
      </c>
      <c r="F17" s="2243"/>
      <c r="G17" s="2244"/>
      <c r="H17" s="2245" t="s">
        <v>1944</v>
      </c>
      <c r="I17" s="2246" t="s">
        <v>1929</v>
      </c>
      <c r="J17" s="1391"/>
      <c r="K17" s="3312" t="s">
        <v>1945</v>
      </c>
      <c r="L17" s="3313"/>
      <c r="M17" s="3314"/>
      <c r="N17" s="3312" t="s">
        <v>1946</v>
      </c>
      <c r="O17" s="3313"/>
      <c r="P17" s="3314"/>
      <c r="R17" s="2224" t="s">
        <v>1947</v>
      </c>
      <c r="S17" s="63"/>
    </row>
    <row r="18" spans="1:19" ht="15">
      <c r="A18" s="2234"/>
      <c r="B18" s="2247"/>
      <c r="C18" s="2248"/>
      <c r="D18" s="2249"/>
      <c r="E18" s="2250" t="s">
        <v>1948</v>
      </c>
      <c r="F18" s="2251" t="s">
        <v>1949</v>
      </c>
      <c r="G18" s="2252" t="s">
        <v>1950</v>
      </c>
      <c r="H18" s="1261" t="s">
        <v>1951</v>
      </c>
      <c r="I18" s="2253" t="s">
        <v>1952</v>
      </c>
      <c r="J18" s="1391"/>
      <c r="K18" s="1261" t="s">
        <v>1953</v>
      </c>
      <c r="L18" s="2254" t="s">
        <v>1954</v>
      </c>
      <c r="M18" s="1046" t="s">
        <v>1955</v>
      </c>
      <c r="N18" s="1261" t="s">
        <v>1953</v>
      </c>
      <c r="O18" s="2254" t="s">
        <v>1954</v>
      </c>
      <c r="P18" s="1046" t="s">
        <v>1955</v>
      </c>
      <c r="R18" s="1246" t="s">
        <v>1956</v>
      </c>
      <c r="S18" s="1246" t="s">
        <v>1957</v>
      </c>
    </row>
    <row r="19" spans="1:19">
      <c r="A19" s="2255"/>
      <c r="B19" s="49" t="s">
        <v>1930</v>
      </c>
      <c r="C19" s="2991" t="s">
        <v>3415</v>
      </c>
      <c r="D19" s="47">
        <f>ROUND($D$3*E19/$E$3,2)</f>
        <v>0</v>
      </c>
      <c r="E19" s="55">
        <f t="shared" ref="E19:E26" si="1">SUM(F19:G19)</f>
        <v>2679.1499999999996</v>
      </c>
      <c r="F19" s="56">
        <f>租约!C31</f>
        <v>2679.1499999999996</v>
      </c>
      <c r="G19" s="57"/>
      <c r="H19" s="720">
        <f>ROUND($D$3*I19/$E$3,2)</f>
        <v>0</v>
      </c>
      <c r="I19" s="50">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0</v>
      </c>
      <c r="S19" s="1247">
        <f t="shared" si="5"/>
        <v>2679.1499999999996</v>
      </c>
    </row>
    <row r="20" spans="1:19">
      <c r="A20" s="2258"/>
      <c r="B20" s="49" t="s">
        <v>1958</v>
      </c>
      <c r="C20" s="2991" t="s">
        <v>3417</v>
      </c>
      <c r="D20" s="47">
        <f t="shared" ref="D20:D26" si="6">ROUND($D$3*E20/$E$3,2)</f>
        <v>0</v>
      </c>
      <c r="E20" s="55">
        <f t="shared" si="1"/>
        <v>14250.829999999996</v>
      </c>
      <c r="F20" s="56">
        <f>'数据-基础表'!I13-'数据-汇总表'!F19</f>
        <v>14250.829999999996</v>
      </c>
      <c r="G20" s="57"/>
      <c r="H20" s="720">
        <f t="shared" ref="H20:H26" si="7">ROUND($D$3*I20/$E$3,2)</f>
        <v>0</v>
      </c>
      <c r="I20" s="50">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14250.829999999996</v>
      </c>
    </row>
    <row r="21" spans="1:19">
      <c r="A21" s="2258"/>
      <c r="B21" s="49" t="s">
        <v>1958</v>
      </c>
      <c r="C21" s="2991"/>
      <c r="D21" s="47">
        <f t="shared" si="6"/>
        <v>0</v>
      </c>
      <c r="E21" s="55">
        <f t="shared" si="1"/>
        <v>0</v>
      </c>
      <c r="F21" s="56"/>
      <c r="G21" s="57"/>
      <c r="H21" s="720">
        <f t="shared" si="7"/>
        <v>0</v>
      </c>
      <c r="I21" s="50">
        <f t="shared" si="2"/>
        <v>0</v>
      </c>
      <c r="J21" s="1391"/>
      <c r="K21" s="1390">
        <f t="shared" si="3"/>
        <v>0</v>
      </c>
      <c r="L21" s="1246">
        <f t="shared" si="4"/>
        <v>0</v>
      </c>
      <c r="M21" s="1402">
        <f t="shared" si="8"/>
        <v>0</v>
      </c>
      <c r="N21" s="2256"/>
      <c r="O21" s="2257"/>
      <c r="P21" s="1402">
        <f t="shared" si="9"/>
        <v>0</v>
      </c>
      <c r="R21" s="1246">
        <f t="shared" si="5"/>
        <v>0</v>
      </c>
      <c r="S21" s="1247">
        <f t="shared" si="5"/>
        <v>0</v>
      </c>
    </row>
    <row r="22" spans="1:19">
      <c r="A22" s="2258"/>
      <c r="B22" s="49" t="s">
        <v>1958</v>
      </c>
      <c r="C22" s="2992"/>
      <c r="D22" s="47">
        <f t="shared" si="6"/>
        <v>0</v>
      </c>
      <c r="E22" s="55">
        <f t="shared" si="1"/>
        <v>0</v>
      </c>
      <c r="F22" s="60"/>
      <c r="G22" s="61"/>
      <c r="H22" s="720">
        <f t="shared" si="7"/>
        <v>0</v>
      </c>
      <c r="I22" s="50">
        <f t="shared" si="2"/>
        <v>0</v>
      </c>
      <c r="J22" s="1391"/>
      <c r="K22" s="1390">
        <f t="shared" si="3"/>
        <v>0</v>
      </c>
      <c r="L22" s="1246">
        <f t="shared" si="4"/>
        <v>0</v>
      </c>
      <c r="M22" s="1402">
        <f t="shared" si="8"/>
        <v>0</v>
      </c>
      <c r="N22" s="2256"/>
      <c r="O22" s="2257"/>
      <c r="P22" s="1402">
        <f t="shared" si="9"/>
        <v>0</v>
      </c>
      <c r="R22" s="1246">
        <f t="shared" si="5"/>
        <v>0</v>
      </c>
      <c r="S22" s="1247">
        <f t="shared" si="5"/>
        <v>0</v>
      </c>
    </row>
    <row r="23" spans="1:19">
      <c r="A23" s="2258"/>
      <c r="B23" s="49" t="s">
        <v>1958</v>
      </c>
      <c r="C23" s="59"/>
      <c r="D23" s="47">
        <f>ROUND($D$3*E23/$E$3,2)</f>
        <v>0</v>
      </c>
      <c r="E23" s="55">
        <f>SUM(F23:G23)</f>
        <v>0</v>
      </c>
      <c r="F23" s="60"/>
      <c r="G23" s="61"/>
      <c r="H23" s="720">
        <f>ROUND($D$3*I23/$E$3,2)</f>
        <v>0</v>
      </c>
      <c r="I23" s="50">
        <f t="shared" si="2"/>
        <v>0</v>
      </c>
      <c r="J23" s="1391"/>
      <c r="K23" s="1390">
        <f t="shared" si="3"/>
        <v>0</v>
      </c>
      <c r="L23" s="1246">
        <f t="shared" si="4"/>
        <v>0</v>
      </c>
      <c r="M23" s="1402">
        <f t="shared" si="8"/>
        <v>0</v>
      </c>
      <c r="N23" s="2256"/>
      <c r="O23" s="2257"/>
      <c r="P23" s="1402">
        <f t="shared" si="9"/>
        <v>0</v>
      </c>
      <c r="R23" s="1246">
        <f t="shared" si="5"/>
        <v>0</v>
      </c>
      <c r="S23" s="1247">
        <f t="shared" si="5"/>
        <v>0</v>
      </c>
    </row>
    <row r="24" spans="1:19">
      <c r="A24" s="2258"/>
      <c r="B24" s="49" t="s">
        <v>1958</v>
      </c>
      <c r="C24" s="59"/>
      <c r="D24" s="47">
        <f>ROUND($D$3*E24/$E$3,2)</f>
        <v>0</v>
      </c>
      <c r="E24" s="55">
        <f>SUM(F24:G24)</f>
        <v>0</v>
      </c>
      <c r="F24" s="60"/>
      <c r="G24" s="61"/>
      <c r="H24" s="720">
        <f>ROUND($D$3*I24/$E$3,2)</f>
        <v>0</v>
      </c>
      <c r="I24" s="50">
        <f t="shared" si="2"/>
        <v>0</v>
      </c>
      <c r="J24" s="1391"/>
      <c r="K24" s="1390">
        <f t="shared" si="3"/>
        <v>0</v>
      </c>
      <c r="L24" s="1246">
        <f t="shared" si="4"/>
        <v>0</v>
      </c>
      <c r="M24" s="1402">
        <f t="shared" si="8"/>
        <v>0</v>
      </c>
      <c r="N24" s="2256"/>
      <c r="O24" s="2257"/>
      <c r="P24" s="1402">
        <f t="shared" si="9"/>
        <v>0</v>
      </c>
      <c r="R24" s="1246">
        <f t="shared" si="5"/>
        <v>0</v>
      </c>
      <c r="S24" s="1247">
        <f t="shared" si="5"/>
        <v>0</v>
      </c>
    </row>
    <row r="25" spans="1:19">
      <c r="A25" s="2258"/>
      <c r="B25" s="49" t="s">
        <v>1958</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6"/>
      <c r="O25" s="2257"/>
      <c r="P25" s="1402">
        <f t="shared" si="9"/>
        <v>0</v>
      </c>
      <c r="R25" s="1246">
        <f t="shared" si="5"/>
        <v>0</v>
      </c>
      <c r="S25" s="1247">
        <f t="shared" si="5"/>
        <v>0</v>
      </c>
    </row>
    <row r="26" spans="1:19">
      <c r="A26" s="2258"/>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9"/>
      <c r="O26" s="2260"/>
      <c r="P26" s="66">
        <f t="shared" si="9"/>
        <v>0</v>
      </c>
      <c r="R26" s="1246">
        <f t="shared" si="5"/>
        <v>0</v>
      </c>
      <c r="S26" s="1247">
        <f t="shared" si="5"/>
        <v>0</v>
      </c>
    </row>
    <row r="27" spans="1:19" ht="15.75" thickBot="1">
      <c r="A27" s="2258"/>
      <c r="B27" s="47"/>
      <c r="C27" s="2261" t="s">
        <v>1959</v>
      </c>
      <c r="D27" s="1392">
        <f>SUM(D19:D26)</f>
        <v>0</v>
      </c>
      <c r="E27" s="1393">
        <f>IF(SUM(E19:E26)='数据-基础表'!BA5,SUM(E19:E26),IF(F27="地上面积有误","面积有误","地下面积有误"))</f>
        <v>16929.979999999996</v>
      </c>
      <c r="F27" s="1392">
        <f>IF(SUM(F19:F26)=E8,SUM(F19:F26),"地上面积有误")</f>
        <v>16929.979999999996</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16929.979999999996</v>
      </c>
    </row>
    <row r="28" spans="1:19">
      <c r="A28" s="2258"/>
      <c r="B28" s="49" t="s">
        <v>1960</v>
      </c>
      <c r="C28" s="1258"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8"/>
      <c r="B29" s="49" t="s">
        <v>1960</v>
      </c>
      <c r="C29" s="2262"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8"/>
      <c r="B30" s="49"/>
      <c r="C30" s="2263"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4"/>
      <c r="B31" s="2265"/>
      <c r="C31" s="1007" t="s">
        <v>1963</v>
      </c>
      <c r="D31" s="726">
        <f>D27+D30</f>
        <v>0</v>
      </c>
      <c r="E31" s="726">
        <f>E27+E30</f>
        <v>16929.979999999996</v>
      </c>
      <c r="F31" s="727">
        <f>F27+F30</f>
        <v>16929.979999999996</v>
      </c>
      <c r="G31" s="728">
        <f>G27+G30</f>
        <v>0</v>
      </c>
      <c r="H31" s="1391"/>
      <c r="I31" s="1391"/>
      <c r="J31" s="1391"/>
      <c r="K31" s="1391"/>
      <c r="L31" s="1391"/>
      <c r="M31" s="1391"/>
      <c r="N31" s="1391"/>
      <c r="O31" s="1391"/>
      <c r="P31" s="1391"/>
    </row>
    <row r="32" spans="1:19">
      <c r="A32" s="2229"/>
      <c r="B32" s="2229" t="s">
        <v>1964</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8"/>
  <sheetViews>
    <sheetView workbookViewId="0">
      <selection activeCell="H12" sqref="H12"/>
    </sheetView>
  </sheetViews>
  <sheetFormatPr defaultRowHeight="12.75"/>
  <cols>
    <col min="1" max="1" width="9" style="2975"/>
    <col min="2" max="2" width="17.25" style="2975" customWidth="1"/>
    <col min="3" max="3" width="9.75" style="2975" customWidth="1"/>
    <col min="4" max="4" width="14.875" style="2975" customWidth="1"/>
    <col min="5" max="7" width="9" style="2975"/>
    <col min="8" max="8" width="22" style="2975" customWidth="1"/>
    <col min="9" max="16384" width="9" style="2975"/>
  </cols>
  <sheetData>
    <row r="1" spans="1:5" ht="14.25">
      <c r="A1" s="3327" t="s">
        <v>3219</v>
      </c>
      <c r="B1" s="3328"/>
      <c r="C1" s="3328"/>
      <c r="D1" s="3328"/>
      <c r="E1" s="3329"/>
    </row>
    <row r="2" spans="1:5" ht="14.25">
      <c r="A2" s="3067" t="s">
        <v>3209</v>
      </c>
      <c r="B2" s="3067" t="s">
        <v>3210</v>
      </c>
      <c r="C2" s="3067" t="s">
        <v>3211</v>
      </c>
      <c r="D2" s="3067" t="s">
        <v>3212</v>
      </c>
      <c r="E2" s="3067" t="s">
        <v>3213</v>
      </c>
    </row>
    <row r="3" spans="1:5" ht="33" customHeight="1">
      <c r="A3" s="3067">
        <v>1</v>
      </c>
      <c r="B3" s="3065">
        <v>1304</v>
      </c>
      <c r="C3" s="3065">
        <v>169.77</v>
      </c>
      <c r="D3" s="3086" t="s">
        <v>3217</v>
      </c>
      <c r="E3" s="3332" t="s">
        <v>3214</v>
      </c>
    </row>
    <row r="4" spans="1:5" ht="28.5">
      <c r="A4" s="3067">
        <v>2</v>
      </c>
      <c r="B4" s="3067">
        <v>1305</v>
      </c>
      <c r="C4" s="3067">
        <v>244.49</v>
      </c>
      <c r="D4" s="3086" t="s">
        <v>3220</v>
      </c>
      <c r="E4" s="3333"/>
    </row>
    <row r="5" spans="1:5" ht="28.5">
      <c r="A5" s="3067">
        <v>3</v>
      </c>
      <c r="B5" s="3067">
        <v>1306</v>
      </c>
      <c r="C5" s="3067">
        <v>321.55</v>
      </c>
      <c r="D5" s="3086" t="s">
        <v>3221</v>
      </c>
      <c r="E5" s="3333"/>
    </row>
    <row r="6" spans="1:5" ht="28.5">
      <c r="A6" s="3067">
        <v>4</v>
      </c>
      <c r="B6" s="3067">
        <v>1307</v>
      </c>
      <c r="C6" s="3067">
        <v>231.56</v>
      </c>
      <c r="D6" s="3086" t="s">
        <v>3222</v>
      </c>
      <c r="E6" s="3333"/>
    </row>
    <row r="7" spans="1:5" ht="28.5">
      <c r="A7" s="3067">
        <v>5</v>
      </c>
      <c r="B7" s="3067">
        <v>1308</v>
      </c>
      <c r="C7" s="3067">
        <v>159.5</v>
      </c>
      <c r="D7" s="3086" t="s">
        <v>3223</v>
      </c>
      <c r="E7" s="3333"/>
    </row>
    <row r="8" spans="1:5" ht="28.5">
      <c r="A8" s="3067">
        <v>6</v>
      </c>
      <c r="B8" s="3067">
        <v>1401</v>
      </c>
      <c r="C8" s="3067">
        <v>392.65</v>
      </c>
      <c r="D8" s="3086" t="s">
        <v>3224</v>
      </c>
      <c r="E8" s="3333"/>
    </row>
    <row r="9" spans="1:5" ht="28.5">
      <c r="A9" s="3067">
        <v>7</v>
      </c>
      <c r="B9" s="3067">
        <v>1402</v>
      </c>
      <c r="C9" s="3067">
        <v>275.75</v>
      </c>
      <c r="D9" s="3086" t="s">
        <v>3225</v>
      </c>
      <c r="E9" s="3333"/>
    </row>
    <row r="10" spans="1:5" ht="28.5">
      <c r="A10" s="3067">
        <v>8</v>
      </c>
      <c r="B10" s="3067">
        <v>1404</v>
      </c>
      <c r="C10" s="3067">
        <v>169.77</v>
      </c>
      <c r="D10" s="3086" t="s">
        <v>3226</v>
      </c>
      <c r="E10" s="3333"/>
    </row>
    <row r="11" spans="1:5" ht="28.5">
      <c r="A11" s="3067">
        <v>9</v>
      </c>
      <c r="B11" s="3067">
        <v>1405</v>
      </c>
      <c r="C11" s="3067">
        <v>244.49</v>
      </c>
      <c r="D11" s="3086" t="s">
        <v>3228</v>
      </c>
      <c r="E11" s="3333"/>
    </row>
    <row r="12" spans="1:5" ht="28.5">
      <c r="A12" s="3067">
        <v>10</v>
      </c>
      <c r="B12" s="3067">
        <v>1406</v>
      </c>
      <c r="C12" s="3067">
        <v>321.55</v>
      </c>
      <c r="D12" s="3086" t="s">
        <v>3229</v>
      </c>
      <c r="E12" s="3333"/>
    </row>
    <row r="13" spans="1:5" ht="28.5">
      <c r="A13" s="3067">
        <v>11</v>
      </c>
      <c r="B13" s="3067">
        <v>1501</v>
      </c>
      <c r="C13" s="3067">
        <v>392.65</v>
      </c>
      <c r="D13" s="3086" t="s">
        <v>3230</v>
      </c>
      <c r="E13" s="3333"/>
    </row>
    <row r="14" spans="1:5" ht="28.5">
      <c r="A14" s="3067">
        <v>12</v>
      </c>
      <c r="B14" s="3067">
        <v>1502</v>
      </c>
      <c r="C14" s="3067">
        <v>275.75</v>
      </c>
      <c r="D14" s="3086" t="s">
        <v>3231</v>
      </c>
      <c r="E14" s="3333"/>
    </row>
    <row r="15" spans="1:5" ht="28.5">
      <c r="A15" s="3067">
        <v>13</v>
      </c>
      <c r="B15" s="3067">
        <v>1504</v>
      </c>
      <c r="C15" s="3067">
        <v>169.77</v>
      </c>
      <c r="D15" s="3086" t="s">
        <v>3232</v>
      </c>
      <c r="E15" s="3333"/>
    </row>
    <row r="16" spans="1:5" ht="28.5">
      <c r="A16" s="3067">
        <v>14</v>
      </c>
      <c r="B16" s="3067">
        <v>1505</v>
      </c>
      <c r="C16" s="3067">
        <v>244.49</v>
      </c>
      <c r="D16" s="3086" t="s">
        <v>3233</v>
      </c>
      <c r="E16" s="3333"/>
    </row>
    <row r="17" spans="1:5" ht="28.5">
      <c r="A17" s="3067">
        <v>15</v>
      </c>
      <c r="B17" s="3067">
        <v>1506</v>
      </c>
      <c r="C17" s="3067">
        <v>321.55</v>
      </c>
      <c r="D17" s="3086" t="s">
        <v>3234</v>
      </c>
      <c r="E17" s="3333"/>
    </row>
    <row r="18" spans="1:5" ht="28.5">
      <c r="A18" s="3067">
        <v>16</v>
      </c>
      <c r="B18" s="3067">
        <v>1508</v>
      </c>
      <c r="C18" s="3067">
        <v>159.5</v>
      </c>
      <c r="D18" s="3086" t="s">
        <v>3235</v>
      </c>
      <c r="E18" s="3333"/>
    </row>
    <row r="19" spans="1:5" ht="28.5">
      <c r="A19" s="3067">
        <v>17</v>
      </c>
      <c r="B19" s="3065">
        <v>1601</v>
      </c>
      <c r="C19" s="3065">
        <v>392.65</v>
      </c>
      <c r="D19" s="3086" t="s">
        <v>3236</v>
      </c>
      <c r="E19" s="3333"/>
    </row>
    <row r="20" spans="1:5" ht="28.5">
      <c r="A20" s="3067">
        <v>18</v>
      </c>
      <c r="B20" s="3067">
        <v>1602</v>
      </c>
      <c r="C20" s="3067">
        <v>275.75</v>
      </c>
      <c r="D20" s="3086" t="s">
        <v>3237</v>
      </c>
      <c r="E20" s="3333"/>
    </row>
    <row r="21" spans="1:5" ht="28.5">
      <c r="A21" s="3067">
        <v>19</v>
      </c>
      <c r="B21" s="3067">
        <v>1603</v>
      </c>
      <c r="C21" s="3067">
        <v>212.19</v>
      </c>
      <c r="D21" s="3086" t="s">
        <v>3218</v>
      </c>
      <c r="E21" s="3333"/>
    </row>
    <row r="22" spans="1:5" ht="28.5">
      <c r="A22" s="3067">
        <v>20</v>
      </c>
      <c r="B22" s="3067">
        <v>1604</v>
      </c>
      <c r="C22" s="3067">
        <v>169.77</v>
      </c>
      <c r="D22" s="3086" t="s">
        <v>3238</v>
      </c>
      <c r="E22" s="3333"/>
    </row>
    <row r="23" spans="1:5" ht="28.5">
      <c r="A23" s="3067">
        <v>21</v>
      </c>
      <c r="B23" s="3067">
        <v>1605</v>
      </c>
      <c r="C23" s="3067">
        <v>244.49</v>
      </c>
      <c r="D23" s="3086" t="s">
        <v>3239</v>
      </c>
      <c r="E23" s="3333"/>
    </row>
    <row r="24" spans="1:5" ht="28.5">
      <c r="A24" s="3067">
        <v>22</v>
      </c>
      <c r="B24" s="3067">
        <v>1606</v>
      </c>
      <c r="C24" s="3067">
        <v>321.55</v>
      </c>
      <c r="D24" s="3086" t="s">
        <v>3240</v>
      </c>
      <c r="E24" s="3333"/>
    </row>
    <row r="25" spans="1:5" ht="28.5">
      <c r="A25" s="3067">
        <v>23</v>
      </c>
      <c r="B25" s="3067">
        <v>1607</v>
      </c>
      <c r="C25" s="3067">
        <v>231.56</v>
      </c>
      <c r="D25" s="3086" t="s">
        <v>3241</v>
      </c>
      <c r="E25" s="3333"/>
    </row>
    <row r="26" spans="1:5" ht="28.5">
      <c r="A26" s="3067">
        <v>24</v>
      </c>
      <c r="B26" s="3067">
        <v>1608</v>
      </c>
      <c r="C26" s="3067">
        <v>159.5</v>
      </c>
      <c r="D26" s="3086" t="s">
        <v>3242</v>
      </c>
      <c r="E26" s="3333"/>
    </row>
    <row r="27" spans="1:5" ht="28.5">
      <c r="A27" s="3067">
        <v>25</v>
      </c>
      <c r="B27" s="3067">
        <v>1701</v>
      </c>
      <c r="C27" s="3067">
        <v>393.62</v>
      </c>
      <c r="D27" s="3086" t="s">
        <v>3243</v>
      </c>
      <c r="E27" s="3333"/>
    </row>
    <row r="28" spans="1:5" ht="28.5">
      <c r="A28" s="3067">
        <v>26</v>
      </c>
      <c r="B28" s="3067">
        <v>1702</v>
      </c>
      <c r="C28" s="3067">
        <v>276.3</v>
      </c>
      <c r="D28" s="3086" t="s">
        <v>3244</v>
      </c>
      <c r="E28" s="3333"/>
    </row>
    <row r="29" spans="1:5" ht="28.5">
      <c r="A29" s="3067">
        <v>27</v>
      </c>
      <c r="B29" s="3067">
        <v>1703</v>
      </c>
      <c r="C29" s="3067">
        <v>213.49</v>
      </c>
      <c r="D29" s="3086" t="s">
        <v>3245</v>
      </c>
      <c r="E29" s="3333"/>
    </row>
    <row r="30" spans="1:5" ht="28.5">
      <c r="A30" s="3067">
        <v>28</v>
      </c>
      <c r="B30" s="3067">
        <v>1704</v>
      </c>
      <c r="C30" s="3067">
        <v>170.98</v>
      </c>
      <c r="D30" s="3086" t="s">
        <v>3246</v>
      </c>
      <c r="E30" s="3333"/>
    </row>
    <row r="31" spans="1:5" ht="28.5">
      <c r="A31" s="3067">
        <v>29</v>
      </c>
      <c r="B31" s="3067">
        <v>1705</v>
      </c>
      <c r="C31" s="3065">
        <v>245.47</v>
      </c>
      <c r="D31" s="3086" t="s">
        <v>3247</v>
      </c>
      <c r="E31" s="3333"/>
    </row>
    <row r="32" spans="1:5" ht="28.5">
      <c r="A32" s="3067">
        <v>30</v>
      </c>
      <c r="B32" s="3067">
        <v>1706</v>
      </c>
      <c r="C32" s="3067">
        <v>322.08999999999997</v>
      </c>
      <c r="D32" s="3086" t="s">
        <v>3248</v>
      </c>
      <c r="E32" s="3333"/>
    </row>
    <row r="33" spans="1:5" ht="28.5">
      <c r="A33" s="3067">
        <v>31</v>
      </c>
      <c r="B33" s="3067">
        <v>1707</v>
      </c>
      <c r="C33" s="3067">
        <v>232.13</v>
      </c>
      <c r="D33" s="3086" t="s">
        <v>3249</v>
      </c>
      <c r="E33" s="3333"/>
    </row>
    <row r="34" spans="1:5" ht="28.5">
      <c r="A34" s="3067">
        <v>32</v>
      </c>
      <c r="B34" s="3067">
        <v>1708</v>
      </c>
      <c r="C34" s="3067">
        <v>160.58000000000001</v>
      </c>
      <c r="D34" s="3086" t="s">
        <v>3250</v>
      </c>
      <c r="E34" s="3333"/>
    </row>
    <row r="35" spans="1:5" ht="28.5">
      <c r="A35" s="3067">
        <v>33</v>
      </c>
      <c r="B35" s="3067">
        <v>1802</v>
      </c>
      <c r="C35" s="3067">
        <v>276.3</v>
      </c>
      <c r="D35" s="3086" t="s">
        <v>3251</v>
      </c>
      <c r="E35" s="3333"/>
    </row>
    <row r="36" spans="1:5" ht="28.5">
      <c r="A36" s="3067">
        <v>34</v>
      </c>
      <c r="B36" s="3067">
        <v>1804</v>
      </c>
      <c r="C36" s="3067">
        <v>170.98</v>
      </c>
      <c r="D36" s="3086" t="s">
        <v>3252</v>
      </c>
      <c r="E36" s="3333"/>
    </row>
    <row r="37" spans="1:5" ht="28.5">
      <c r="A37" s="3067">
        <v>35</v>
      </c>
      <c r="B37" s="3067">
        <v>1805</v>
      </c>
      <c r="C37" s="3067">
        <v>245.47</v>
      </c>
      <c r="D37" s="3086" t="s">
        <v>3253</v>
      </c>
      <c r="E37" s="3333"/>
    </row>
    <row r="38" spans="1:5" ht="28.5">
      <c r="A38" s="3067">
        <v>36</v>
      </c>
      <c r="B38" s="3067">
        <v>1806</v>
      </c>
      <c r="C38" s="3067">
        <v>322.08999999999997</v>
      </c>
      <c r="D38" s="3086" t="s">
        <v>3254</v>
      </c>
      <c r="E38" s="3333"/>
    </row>
    <row r="39" spans="1:5" ht="28.5">
      <c r="A39" s="3067">
        <v>37</v>
      </c>
      <c r="B39" s="3067">
        <v>1902</v>
      </c>
      <c r="C39" s="3067">
        <v>276.3</v>
      </c>
      <c r="D39" s="3086" t="s">
        <v>3227</v>
      </c>
      <c r="E39" s="3333"/>
    </row>
    <row r="40" spans="1:5" ht="28.5">
      <c r="A40" s="3067">
        <v>38</v>
      </c>
      <c r="B40" s="3065">
        <v>1904</v>
      </c>
      <c r="C40" s="3065">
        <v>170.98</v>
      </c>
      <c r="D40" s="3086" t="s">
        <v>3255</v>
      </c>
      <c r="E40" s="3333"/>
    </row>
    <row r="41" spans="1:5" ht="28.5">
      <c r="A41" s="3067">
        <v>39</v>
      </c>
      <c r="B41" s="3067">
        <v>1905</v>
      </c>
      <c r="C41" s="3067">
        <v>245.47</v>
      </c>
      <c r="D41" s="3086" t="s">
        <v>3256</v>
      </c>
      <c r="E41" s="3333"/>
    </row>
    <row r="42" spans="1:5" ht="28.5">
      <c r="A42" s="3067">
        <v>40</v>
      </c>
      <c r="B42" s="3067">
        <v>1906</v>
      </c>
      <c r="C42" s="3067">
        <v>322.08999999999997</v>
      </c>
      <c r="D42" s="3086" t="s">
        <v>3257</v>
      </c>
      <c r="E42" s="3333"/>
    </row>
    <row r="43" spans="1:5" ht="28.5">
      <c r="A43" s="3067">
        <v>41</v>
      </c>
      <c r="B43" s="3067">
        <v>2002</v>
      </c>
      <c r="C43" s="3067">
        <v>276.3</v>
      </c>
      <c r="D43" s="3086" t="s">
        <v>3258</v>
      </c>
      <c r="E43" s="3333"/>
    </row>
    <row r="44" spans="1:5" ht="28.5">
      <c r="A44" s="3067">
        <v>42</v>
      </c>
      <c r="B44" s="3067">
        <v>2004</v>
      </c>
      <c r="C44" s="3067">
        <v>170.98</v>
      </c>
      <c r="D44" s="3086" t="s">
        <v>3259</v>
      </c>
      <c r="E44" s="3333"/>
    </row>
    <row r="45" spans="1:5" ht="28.5">
      <c r="A45" s="3067">
        <v>43</v>
      </c>
      <c r="B45" s="3067">
        <v>2005</v>
      </c>
      <c r="C45" s="3067">
        <v>245.47</v>
      </c>
      <c r="D45" s="3086" t="s">
        <v>3260</v>
      </c>
      <c r="E45" s="3333"/>
    </row>
    <row r="46" spans="1:5" ht="28.5">
      <c r="A46" s="3067">
        <v>44</v>
      </c>
      <c r="B46" s="3067">
        <v>2006</v>
      </c>
      <c r="C46" s="3067">
        <v>322.08999999999997</v>
      </c>
      <c r="D46" s="3086" t="s">
        <v>3261</v>
      </c>
      <c r="E46" s="3333"/>
    </row>
    <row r="47" spans="1:5" ht="28.5">
      <c r="A47" s="3067">
        <v>45</v>
      </c>
      <c r="B47" s="3067">
        <v>2102</v>
      </c>
      <c r="C47" s="3067">
        <v>276.3</v>
      </c>
      <c r="D47" s="3086" t="s">
        <v>3262</v>
      </c>
      <c r="E47" s="3333"/>
    </row>
    <row r="48" spans="1:5" ht="28.5">
      <c r="A48" s="3067">
        <v>46</v>
      </c>
      <c r="B48" s="3067">
        <v>2104</v>
      </c>
      <c r="C48" s="3067">
        <v>170.98</v>
      </c>
      <c r="D48" s="3086" t="s">
        <v>3263</v>
      </c>
      <c r="E48" s="3333"/>
    </row>
    <row r="49" spans="1:5" ht="28.5">
      <c r="A49" s="3067">
        <v>47</v>
      </c>
      <c r="B49" s="3067">
        <v>2105</v>
      </c>
      <c r="C49" s="3067">
        <v>245.47</v>
      </c>
      <c r="D49" s="3086" t="s">
        <v>3264</v>
      </c>
      <c r="E49" s="3333"/>
    </row>
    <row r="50" spans="1:5" ht="28.5">
      <c r="A50" s="3067">
        <v>48</v>
      </c>
      <c r="B50" s="3067">
        <v>2106</v>
      </c>
      <c r="C50" s="3067">
        <v>322.08999999999997</v>
      </c>
      <c r="D50" s="3086" t="s">
        <v>3265</v>
      </c>
      <c r="E50" s="3333"/>
    </row>
    <row r="51" spans="1:5" ht="28.5">
      <c r="A51" s="3067">
        <v>49</v>
      </c>
      <c r="B51" s="3067">
        <v>2202</v>
      </c>
      <c r="C51" s="3067">
        <v>276.3</v>
      </c>
      <c r="D51" s="3086" t="s">
        <v>3266</v>
      </c>
      <c r="E51" s="3333"/>
    </row>
    <row r="52" spans="1:5" ht="28.5">
      <c r="A52" s="3067">
        <v>50</v>
      </c>
      <c r="B52" s="3067">
        <v>2204</v>
      </c>
      <c r="C52" s="3067">
        <v>170.98</v>
      </c>
      <c r="D52" s="3086" t="s">
        <v>3267</v>
      </c>
      <c r="E52" s="3333"/>
    </row>
    <row r="53" spans="1:5" ht="28.5">
      <c r="A53" s="3067">
        <v>51</v>
      </c>
      <c r="B53" s="3067">
        <v>2205</v>
      </c>
      <c r="C53" s="3067">
        <v>245.47</v>
      </c>
      <c r="D53" s="3086" t="s">
        <v>3268</v>
      </c>
      <c r="E53" s="3333"/>
    </row>
    <row r="54" spans="1:5" ht="28.5">
      <c r="A54" s="3067">
        <v>52</v>
      </c>
      <c r="B54" s="3067">
        <v>2206</v>
      </c>
      <c r="C54" s="3067">
        <v>322.08999999999997</v>
      </c>
      <c r="D54" s="3086" t="s">
        <v>3269</v>
      </c>
      <c r="E54" s="3333"/>
    </row>
    <row r="55" spans="1:5" ht="28.5">
      <c r="A55" s="3067">
        <v>53</v>
      </c>
      <c r="B55" s="3067">
        <v>2403</v>
      </c>
      <c r="C55" s="3067">
        <v>465.51</v>
      </c>
      <c r="D55" s="3086" t="s">
        <v>3270</v>
      </c>
      <c r="E55" s="3333"/>
    </row>
    <row r="56" spans="1:5" ht="28.5">
      <c r="A56" s="3067">
        <v>54</v>
      </c>
      <c r="B56" s="3067">
        <v>2503</v>
      </c>
      <c r="C56" s="3067">
        <v>465.51</v>
      </c>
      <c r="D56" s="3086" t="s">
        <v>3271</v>
      </c>
      <c r="E56" s="3333"/>
    </row>
    <row r="57" spans="1:5" ht="28.5">
      <c r="A57" s="3067">
        <v>55</v>
      </c>
      <c r="B57" s="3067">
        <v>2603</v>
      </c>
      <c r="C57" s="3067">
        <v>467.2</v>
      </c>
      <c r="D57" s="3086" t="s">
        <v>3272</v>
      </c>
      <c r="E57" s="3333"/>
    </row>
    <row r="58" spans="1:5" ht="28.5">
      <c r="A58" s="3067">
        <v>56</v>
      </c>
      <c r="B58" s="3067">
        <v>2703</v>
      </c>
      <c r="C58" s="3067">
        <v>467.2</v>
      </c>
      <c r="D58" s="3086" t="s">
        <v>3273</v>
      </c>
      <c r="E58" s="3333"/>
    </row>
    <row r="59" spans="1:5" ht="28.5">
      <c r="A59" s="3067">
        <v>57</v>
      </c>
      <c r="B59" s="3067">
        <v>2803</v>
      </c>
      <c r="C59" s="3067">
        <v>467.2</v>
      </c>
      <c r="D59" s="3086" t="s">
        <v>3274</v>
      </c>
      <c r="E59" s="3333"/>
    </row>
    <row r="60" spans="1:5" ht="28.5">
      <c r="A60" s="3067">
        <v>58</v>
      </c>
      <c r="B60" s="3067">
        <v>3103</v>
      </c>
      <c r="C60" s="3067">
        <v>468.75</v>
      </c>
      <c r="D60" s="3086" t="s">
        <v>3275</v>
      </c>
      <c r="E60" s="3333"/>
    </row>
    <row r="61" spans="1:5" ht="28.5">
      <c r="A61" s="3067">
        <v>59</v>
      </c>
      <c r="B61" s="3067">
        <v>3203</v>
      </c>
      <c r="C61" s="3067">
        <v>468.75</v>
      </c>
      <c r="D61" s="3086" t="s">
        <v>3276</v>
      </c>
      <c r="E61" s="3333"/>
    </row>
    <row r="62" spans="1:5" ht="28.5">
      <c r="A62" s="3067">
        <v>60</v>
      </c>
      <c r="B62" s="3067">
        <v>3303</v>
      </c>
      <c r="C62" s="3067">
        <v>468.75</v>
      </c>
      <c r="D62" s="3086" t="s">
        <v>3277</v>
      </c>
      <c r="E62" s="3334"/>
    </row>
    <row r="63" spans="1:5" ht="13.5" customHeight="1">
      <c r="A63" s="3330" t="s">
        <v>3215</v>
      </c>
      <c r="B63" s="3331"/>
      <c r="C63" s="3079">
        <f>SUM(C3:C62)</f>
        <v>16929.979999999996</v>
      </c>
      <c r="D63" s="3080" t="s">
        <v>3216</v>
      </c>
      <c r="E63" s="3085" t="s">
        <v>3216</v>
      </c>
    </row>
    <row r="64" spans="1:5">
      <c r="B64" s="3068"/>
      <c r="C64" s="3068"/>
      <c r="D64" s="3068"/>
      <c r="E64" s="3068"/>
    </row>
    <row r="65" spans="2:5">
      <c r="B65" s="3068"/>
      <c r="C65" s="3068"/>
      <c r="D65" s="3068"/>
      <c r="E65" s="3068"/>
    </row>
    <row r="66" spans="2:5">
      <c r="B66" s="3068"/>
      <c r="C66" s="3068"/>
      <c r="D66" s="3068"/>
      <c r="E66" s="3068"/>
    </row>
    <row r="67" spans="2:5">
      <c r="B67" s="3068"/>
      <c r="C67" s="3068"/>
      <c r="D67" s="3068"/>
      <c r="E67" s="3068"/>
    </row>
    <row r="68" spans="2:5">
      <c r="B68" s="3068"/>
      <c r="C68" s="3068"/>
      <c r="D68" s="3068"/>
      <c r="E68" s="3068"/>
    </row>
    <row r="69" spans="2:5">
      <c r="B69" s="3068"/>
      <c r="C69" s="3068"/>
      <c r="D69" s="3068"/>
      <c r="E69" s="3068"/>
    </row>
    <row r="70" spans="2:5">
      <c r="B70" s="3068"/>
      <c r="C70" s="3068"/>
      <c r="D70" s="3068"/>
      <c r="E70" s="3068"/>
    </row>
    <row r="71" spans="2:5">
      <c r="B71" s="3068"/>
      <c r="C71" s="3068"/>
      <c r="D71" s="3068"/>
      <c r="E71" s="3068"/>
    </row>
    <row r="72" spans="2:5">
      <c r="B72" s="3068"/>
      <c r="C72" s="3068"/>
      <c r="D72" s="3068"/>
      <c r="E72" s="3068"/>
    </row>
    <row r="73" spans="2:5">
      <c r="B73" s="3068"/>
      <c r="C73" s="3068"/>
      <c r="D73" s="3068"/>
      <c r="E73" s="3068"/>
    </row>
    <row r="74" spans="2:5">
      <c r="B74" s="3068"/>
      <c r="C74" s="3068"/>
      <c r="D74" s="3068"/>
      <c r="E74" s="3068"/>
    </row>
    <row r="75" spans="2:5">
      <c r="B75" s="3068"/>
      <c r="C75" s="3068"/>
      <c r="D75" s="3068"/>
      <c r="E75" s="3068"/>
    </row>
    <row r="76" spans="2:5">
      <c r="B76" s="3068"/>
      <c r="C76" s="3068"/>
      <c r="D76" s="3068"/>
      <c r="E76" s="3068"/>
    </row>
    <row r="77" spans="2:5">
      <c r="B77" s="3068"/>
      <c r="C77" s="3068"/>
      <c r="D77" s="3068"/>
      <c r="E77" s="3068"/>
    </row>
    <row r="78" spans="2:5">
      <c r="B78" s="3068"/>
      <c r="C78" s="3068"/>
      <c r="D78" s="3068"/>
      <c r="E78" s="3068"/>
    </row>
    <row r="79" spans="2:5">
      <c r="B79" s="3068"/>
      <c r="C79" s="3068"/>
      <c r="D79" s="3068"/>
      <c r="E79" s="3068"/>
    </row>
    <row r="80" spans="2:5">
      <c r="B80" s="3068"/>
      <c r="C80" s="3068"/>
      <c r="D80" s="3068"/>
      <c r="E80" s="3068"/>
    </row>
    <row r="81" spans="2:5">
      <c r="B81" s="3068"/>
      <c r="C81" s="3068"/>
      <c r="D81" s="3068"/>
      <c r="E81" s="3068"/>
    </row>
    <row r="82" spans="2:5">
      <c r="B82" s="3068"/>
      <c r="C82" s="3068"/>
      <c r="D82" s="3068"/>
      <c r="E82" s="3068"/>
    </row>
    <row r="83" spans="2:5">
      <c r="B83" s="3068"/>
      <c r="C83" s="3068"/>
      <c r="D83" s="3068"/>
      <c r="E83" s="3068"/>
    </row>
    <row r="84" spans="2:5">
      <c r="B84" s="3068"/>
      <c r="C84" s="3068"/>
      <c r="D84" s="3068"/>
      <c r="E84" s="3068"/>
    </row>
    <row r="85" spans="2:5">
      <c r="B85" s="3068"/>
      <c r="C85" s="3068"/>
      <c r="D85" s="3068"/>
      <c r="E85" s="3068"/>
    </row>
    <row r="86" spans="2:5">
      <c r="B86" s="3068"/>
      <c r="C86" s="3068"/>
      <c r="D86" s="3068"/>
      <c r="E86" s="3068"/>
    </row>
    <row r="87" spans="2:5">
      <c r="B87" s="3068"/>
      <c r="C87" s="3068"/>
      <c r="D87" s="3068"/>
      <c r="E87" s="3068"/>
    </row>
    <row r="88" spans="2:5">
      <c r="B88" s="3068"/>
      <c r="C88" s="3068"/>
      <c r="D88" s="3068"/>
      <c r="E88" s="3068"/>
    </row>
    <row r="89" spans="2:5">
      <c r="B89" s="3068"/>
      <c r="C89" s="3068"/>
      <c r="D89" s="3068"/>
      <c r="E89" s="3068"/>
    </row>
    <row r="90" spans="2:5">
      <c r="B90" s="3068"/>
      <c r="C90" s="3068"/>
      <c r="D90" s="3068"/>
      <c r="E90" s="3068"/>
    </row>
    <row r="91" spans="2:5">
      <c r="B91" s="3068"/>
      <c r="C91" s="3068"/>
      <c r="D91" s="3068"/>
      <c r="E91" s="3068"/>
    </row>
    <row r="92" spans="2:5">
      <c r="B92" s="3068"/>
      <c r="C92" s="3068"/>
      <c r="D92" s="3068"/>
      <c r="E92" s="3068"/>
    </row>
    <row r="93" spans="2:5">
      <c r="B93" s="3068"/>
      <c r="C93" s="3068"/>
      <c r="D93" s="3068"/>
      <c r="E93" s="3068"/>
    </row>
    <row r="94" spans="2:5">
      <c r="B94" s="3068"/>
      <c r="C94" s="3068"/>
      <c r="D94" s="3068"/>
      <c r="E94" s="3068"/>
    </row>
    <row r="95" spans="2:5">
      <c r="B95" s="3068"/>
      <c r="C95" s="3068"/>
      <c r="D95" s="3068"/>
      <c r="E95" s="3068"/>
    </row>
    <row r="96" spans="2:5">
      <c r="B96" s="3068"/>
      <c r="C96" s="3068"/>
      <c r="D96" s="3068"/>
      <c r="E96" s="3068"/>
    </row>
    <row r="97" spans="2:5">
      <c r="B97" s="3068"/>
      <c r="C97" s="3068"/>
      <c r="D97" s="3068"/>
      <c r="E97" s="3068"/>
    </row>
    <row r="98" spans="2:5">
      <c r="B98" s="3068"/>
      <c r="C98" s="3068"/>
      <c r="D98" s="3068"/>
      <c r="E98" s="3068"/>
    </row>
    <row r="99" spans="2:5">
      <c r="B99" s="3068"/>
      <c r="C99" s="3068"/>
      <c r="D99" s="3068"/>
      <c r="E99" s="3068"/>
    </row>
    <row r="100" spans="2:5">
      <c r="B100" s="3068"/>
      <c r="C100" s="3068"/>
      <c r="D100" s="3068"/>
      <c r="E100" s="3068"/>
    </row>
    <row r="101" spans="2:5">
      <c r="B101" s="3068"/>
      <c r="C101" s="3068"/>
      <c r="D101" s="3068"/>
      <c r="E101" s="3068"/>
    </row>
    <row r="102" spans="2:5">
      <c r="B102" s="3068"/>
      <c r="C102" s="3068"/>
      <c r="D102" s="3068"/>
      <c r="E102" s="3068"/>
    </row>
    <row r="103" spans="2:5">
      <c r="B103" s="3068"/>
      <c r="C103" s="3068"/>
      <c r="D103" s="3068"/>
      <c r="E103" s="3068"/>
    </row>
    <row r="104" spans="2:5">
      <c r="B104" s="3068"/>
      <c r="C104" s="3068"/>
      <c r="D104" s="3068"/>
      <c r="E104" s="3068"/>
    </row>
    <row r="105" spans="2:5">
      <c r="B105" s="3068"/>
      <c r="C105" s="3068"/>
      <c r="D105" s="3068"/>
      <c r="E105" s="3068"/>
    </row>
    <row r="106" spans="2:5">
      <c r="B106" s="3068"/>
      <c r="C106" s="3068"/>
      <c r="D106" s="3068"/>
      <c r="E106" s="3068"/>
    </row>
    <row r="107" spans="2:5">
      <c r="B107" s="3068"/>
      <c r="C107" s="3068"/>
      <c r="D107" s="3068"/>
      <c r="E107" s="3068"/>
    </row>
    <row r="108" spans="2:5">
      <c r="B108" s="3068"/>
      <c r="C108" s="3068"/>
      <c r="D108" s="3068"/>
      <c r="E108" s="3068"/>
    </row>
    <row r="109" spans="2:5">
      <c r="B109" s="3068"/>
      <c r="C109" s="3068"/>
      <c r="D109" s="3068"/>
      <c r="E109" s="3068"/>
    </row>
    <row r="110" spans="2:5">
      <c r="B110" s="3068"/>
      <c r="C110" s="3068"/>
      <c r="D110" s="3068"/>
      <c r="E110" s="3068"/>
    </row>
    <row r="111" spans="2:5">
      <c r="B111" s="3068"/>
      <c r="C111" s="3068"/>
      <c r="D111" s="3068"/>
      <c r="E111" s="3068"/>
    </row>
    <row r="112" spans="2:5">
      <c r="B112" s="3068"/>
      <c r="C112" s="3068"/>
      <c r="D112" s="3068"/>
      <c r="E112" s="3068"/>
    </row>
    <row r="113" spans="2:5">
      <c r="B113" s="3068"/>
      <c r="C113" s="3068"/>
      <c r="D113" s="3068"/>
      <c r="E113" s="3068"/>
    </row>
    <row r="114" spans="2:5">
      <c r="B114" s="3068"/>
      <c r="C114" s="3068"/>
      <c r="D114" s="3068"/>
      <c r="E114" s="3068"/>
    </row>
    <row r="115" spans="2:5">
      <c r="B115" s="3068"/>
      <c r="C115" s="3068"/>
      <c r="D115" s="3068"/>
      <c r="E115" s="3068"/>
    </row>
    <row r="116" spans="2:5">
      <c r="B116" s="3068"/>
      <c r="C116" s="3068"/>
      <c r="D116" s="3068"/>
      <c r="E116" s="3068"/>
    </row>
    <row r="117" spans="2:5">
      <c r="B117" s="3068"/>
      <c r="C117" s="3068"/>
      <c r="D117" s="3068"/>
      <c r="E117" s="3068"/>
    </row>
    <row r="118" spans="2:5">
      <c r="B118" s="3068"/>
      <c r="C118" s="3068"/>
      <c r="D118" s="3068"/>
      <c r="E118" s="3068"/>
    </row>
    <row r="119" spans="2:5">
      <c r="B119" s="3068"/>
      <c r="C119" s="3068"/>
      <c r="D119" s="3068"/>
      <c r="E119" s="3068"/>
    </row>
    <row r="120" spans="2:5">
      <c r="B120" s="3068"/>
      <c r="C120" s="3068"/>
      <c r="D120" s="3068"/>
      <c r="E120" s="3068"/>
    </row>
    <row r="121" spans="2:5">
      <c r="B121" s="3068"/>
      <c r="C121" s="3068"/>
      <c r="D121" s="3068"/>
      <c r="E121" s="3068"/>
    </row>
    <row r="122" spans="2:5">
      <c r="B122" s="3068"/>
      <c r="C122" s="3068"/>
      <c r="D122" s="3068"/>
      <c r="E122" s="3068"/>
    </row>
    <row r="123" spans="2:5">
      <c r="B123" s="3068"/>
      <c r="C123" s="3068"/>
      <c r="D123" s="3068"/>
      <c r="E123" s="3068"/>
    </row>
    <row r="124" spans="2:5">
      <c r="B124" s="3068"/>
      <c r="C124" s="3068"/>
      <c r="D124" s="3068"/>
      <c r="E124" s="3068"/>
    </row>
    <row r="125" spans="2:5">
      <c r="B125" s="3068"/>
      <c r="C125" s="3068"/>
      <c r="D125" s="3068"/>
      <c r="E125" s="3068"/>
    </row>
    <row r="126" spans="2:5">
      <c r="B126" s="3068"/>
      <c r="C126" s="3068"/>
      <c r="D126" s="3068"/>
      <c r="E126" s="3068"/>
    </row>
    <row r="127" spans="2:5">
      <c r="B127" s="3068"/>
      <c r="C127" s="3068"/>
      <c r="D127" s="3068"/>
      <c r="E127" s="3068"/>
    </row>
    <row r="128" spans="2:5">
      <c r="B128" s="3068"/>
      <c r="C128" s="3068"/>
      <c r="D128" s="3068"/>
      <c r="E128" s="3068"/>
    </row>
    <row r="129" spans="2:5">
      <c r="B129" s="3068"/>
      <c r="C129" s="3068"/>
      <c r="D129" s="3068"/>
      <c r="E129" s="3068"/>
    </row>
    <row r="130" spans="2:5">
      <c r="B130" s="3068"/>
      <c r="C130" s="3068"/>
      <c r="D130" s="3068"/>
      <c r="E130" s="3068"/>
    </row>
    <row r="131" spans="2:5">
      <c r="B131" s="3068"/>
      <c r="C131" s="3068"/>
      <c r="D131" s="3068"/>
      <c r="E131" s="3068"/>
    </row>
    <row r="132" spans="2:5">
      <c r="B132" s="3068"/>
      <c r="C132" s="3068"/>
      <c r="D132" s="3068"/>
      <c r="E132" s="3068"/>
    </row>
    <row r="133" spans="2:5">
      <c r="B133" s="3068"/>
      <c r="C133" s="3068"/>
      <c r="D133" s="3068"/>
      <c r="E133" s="3068"/>
    </row>
    <row r="134" spans="2:5">
      <c r="B134" s="3068"/>
      <c r="C134" s="3068"/>
      <c r="D134" s="3068"/>
      <c r="E134" s="3068"/>
    </row>
    <row r="135" spans="2:5">
      <c r="B135" s="3068"/>
      <c r="C135" s="3068"/>
      <c r="D135" s="3068"/>
      <c r="E135" s="3068"/>
    </row>
    <row r="136" spans="2:5">
      <c r="B136" s="3068"/>
      <c r="C136" s="3068"/>
      <c r="D136" s="3068"/>
      <c r="E136" s="3068"/>
    </row>
    <row r="137" spans="2:5">
      <c r="B137" s="3068"/>
      <c r="C137" s="3068"/>
      <c r="D137" s="3068"/>
      <c r="E137" s="3068"/>
    </row>
    <row r="138" spans="2:5">
      <c r="B138" s="3068"/>
      <c r="C138" s="3068"/>
      <c r="D138" s="3068"/>
      <c r="E138" s="3068"/>
    </row>
    <row r="139" spans="2:5">
      <c r="B139" s="3068"/>
      <c r="C139" s="3068"/>
      <c r="D139" s="3068"/>
      <c r="E139" s="3068"/>
    </row>
    <row r="140" spans="2:5">
      <c r="B140" s="3068"/>
      <c r="C140" s="3068"/>
      <c r="D140" s="3068"/>
      <c r="E140" s="3068"/>
    </row>
    <row r="141" spans="2:5">
      <c r="B141" s="3068"/>
      <c r="C141" s="3068"/>
      <c r="D141" s="3068"/>
      <c r="E141" s="3068"/>
    </row>
    <row r="142" spans="2:5">
      <c r="B142" s="3068"/>
      <c r="C142" s="3068"/>
      <c r="D142" s="3068"/>
      <c r="E142" s="3068"/>
    </row>
    <row r="143" spans="2:5">
      <c r="B143" s="3068"/>
      <c r="C143" s="3068"/>
      <c r="D143" s="3068"/>
      <c r="E143" s="3068"/>
    </row>
    <row r="144" spans="2:5">
      <c r="B144" s="3068"/>
      <c r="C144" s="3068"/>
      <c r="D144" s="3068"/>
      <c r="E144" s="3068"/>
    </row>
    <row r="145" spans="2:5">
      <c r="B145" s="3068"/>
      <c r="C145" s="3068"/>
      <c r="D145" s="3068"/>
      <c r="E145" s="3068"/>
    </row>
    <row r="146" spans="2:5">
      <c r="B146" s="3068"/>
      <c r="C146" s="3068"/>
      <c r="D146" s="3068"/>
      <c r="E146" s="3068"/>
    </row>
    <row r="147" spans="2:5">
      <c r="B147" s="3068"/>
      <c r="C147" s="3068"/>
      <c r="D147" s="3068"/>
      <c r="E147" s="3068"/>
    </row>
    <row r="148" spans="2:5">
      <c r="B148" s="3068"/>
      <c r="C148" s="3068"/>
      <c r="D148" s="3068"/>
      <c r="E148" s="3068"/>
    </row>
    <row r="149" spans="2:5">
      <c r="B149" s="3068"/>
      <c r="C149" s="3068"/>
      <c r="D149" s="3068"/>
      <c r="E149" s="3068"/>
    </row>
    <row r="150" spans="2:5">
      <c r="B150" s="3068"/>
      <c r="C150" s="3068"/>
      <c r="D150" s="3068"/>
      <c r="E150" s="3068"/>
    </row>
    <row r="151" spans="2:5">
      <c r="B151" s="3068"/>
      <c r="C151" s="3068"/>
      <c r="D151" s="3068"/>
      <c r="E151" s="3068"/>
    </row>
    <row r="152" spans="2:5">
      <c r="B152" s="3068"/>
      <c r="C152" s="3068"/>
      <c r="D152" s="3068"/>
      <c r="E152" s="3068"/>
    </row>
    <row r="153" spans="2:5">
      <c r="B153" s="3068"/>
      <c r="C153" s="3068"/>
      <c r="D153" s="3068"/>
      <c r="E153" s="3068"/>
    </row>
    <row r="154" spans="2:5">
      <c r="B154" s="3068"/>
      <c r="C154" s="3068"/>
      <c r="D154" s="3068"/>
      <c r="E154" s="3068"/>
    </row>
    <row r="155" spans="2:5">
      <c r="B155" s="3068"/>
      <c r="C155" s="3068"/>
      <c r="D155" s="3068"/>
      <c r="E155" s="3068"/>
    </row>
    <row r="156" spans="2:5">
      <c r="B156" s="3068"/>
      <c r="C156" s="3068"/>
      <c r="D156" s="3068"/>
      <c r="E156" s="3068"/>
    </row>
    <row r="157" spans="2:5">
      <c r="B157" s="3068"/>
      <c r="C157" s="3068"/>
      <c r="D157" s="3068"/>
      <c r="E157" s="3068"/>
    </row>
    <row r="158" spans="2:5">
      <c r="B158" s="3068"/>
      <c r="C158" s="3068"/>
      <c r="D158" s="3068"/>
      <c r="E158" s="3068"/>
    </row>
    <row r="159" spans="2:5">
      <c r="B159" s="3068"/>
      <c r="C159" s="3068"/>
      <c r="D159" s="3068"/>
      <c r="E159" s="3068"/>
    </row>
    <row r="160" spans="2:5">
      <c r="B160" s="3068"/>
      <c r="C160" s="3068"/>
      <c r="D160" s="3068"/>
      <c r="E160" s="3068"/>
    </row>
    <row r="161" spans="2:5">
      <c r="B161" s="3068"/>
      <c r="C161" s="3068"/>
      <c r="D161" s="3068"/>
      <c r="E161" s="3068"/>
    </row>
    <row r="162" spans="2:5">
      <c r="B162" s="3068"/>
      <c r="C162" s="3068"/>
      <c r="D162" s="3068"/>
      <c r="E162" s="3068"/>
    </row>
    <row r="163" spans="2:5">
      <c r="B163" s="3068"/>
      <c r="C163" s="3068"/>
      <c r="D163" s="3068"/>
      <c r="E163" s="3068"/>
    </row>
    <row r="164" spans="2:5">
      <c r="B164" s="3068"/>
      <c r="C164" s="3068"/>
      <c r="D164" s="3068"/>
      <c r="E164" s="3068"/>
    </row>
    <row r="165" spans="2:5">
      <c r="B165" s="3068"/>
      <c r="C165" s="3068"/>
      <c r="D165" s="3068"/>
      <c r="E165" s="3068"/>
    </row>
    <row r="166" spans="2:5">
      <c r="B166" s="3068"/>
      <c r="C166" s="3068"/>
      <c r="D166" s="3068"/>
      <c r="E166" s="3068"/>
    </row>
    <row r="167" spans="2:5">
      <c r="B167" s="3068"/>
      <c r="C167" s="3068"/>
      <c r="D167" s="3068"/>
      <c r="E167" s="3068"/>
    </row>
    <row r="168" spans="2:5">
      <c r="B168" s="3068"/>
      <c r="C168" s="3068"/>
      <c r="D168" s="3068"/>
      <c r="E168" s="3068"/>
    </row>
    <row r="169" spans="2:5">
      <c r="B169" s="3068"/>
      <c r="C169" s="3068"/>
      <c r="D169" s="3068"/>
      <c r="E169" s="3068"/>
    </row>
    <row r="170" spans="2:5">
      <c r="B170" s="3068"/>
      <c r="C170" s="3068"/>
      <c r="D170" s="3068"/>
      <c r="E170" s="3068"/>
    </row>
    <row r="171" spans="2:5">
      <c r="B171" s="3068"/>
      <c r="C171" s="3068"/>
      <c r="D171" s="3068"/>
      <c r="E171" s="3068"/>
    </row>
    <row r="172" spans="2:5">
      <c r="B172" s="3068"/>
      <c r="C172" s="3068"/>
      <c r="D172" s="3068"/>
      <c r="E172" s="3068"/>
    </row>
    <row r="173" spans="2:5">
      <c r="B173" s="3068"/>
      <c r="C173" s="3068"/>
      <c r="D173" s="3068"/>
      <c r="E173" s="3068"/>
    </row>
    <row r="174" spans="2:5">
      <c r="B174" s="3069"/>
      <c r="C174" s="3069"/>
      <c r="D174" s="3069"/>
      <c r="E174" s="3068"/>
    </row>
    <row r="175" spans="2:5">
      <c r="B175" s="3068"/>
      <c r="C175" s="3068"/>
      <c r="D175" s="3068"/>
      <c r="E175" s="3068"/>
    </row>
    <row r="176" spans="2:5">
      <c r="B176" s="3068"/>
      <c r="C176" s="3068"/>
      <c r="D176" s="3068"/>
      <c r="E176" s="3068"/>
    </row>
    <row r="177" spans="2:5">
      <c r="B177" s="3068"/>
      <c r="C177" s="3068"/>
      <c r="D177" s="3068"/>
      <c r="E177" s="3068"/>
    </row>
    <row r="178" spans="2:5">
      <c r="B178" s="3068"/>
      <c r="C178" s="3068"/>
      <c r="D178" s="3068"/>
      <c r="E178" s="3068"/>
    </row>
    <row r="179" spans="2:5">
      <c r="B179" s="3068"/>
      <c r="C179" s="3068"/>
      <c r="D179" s="3068"/>
      <c r="E179" s="3068"/>
    </row>
    <row r="180" spans="2:5">
      <c r="B180" s="3068"/>
      <c r="C180" s="3068"/>
      <c r="D180" s="3068"/>
      <c r="E180" s="3068"/>
    </row>
    <row r="181" spans="2:5">
      <c r="B181" s="3068"/>
      <c r="C181" s="3068"/>
      <c r="D181" s="3068"/>
      <c r="E181" s="3068"/>
    </row>
    <row r="182" spans="2:5">
      <c r="B182" s="3068"/>
      <c r="C182" s="3068"/>
      <c r="D182" s="3068"/>
      <c r="E182" s="3068"/>
    </row>
    <row r="183" spans="2:5">
      <c r="B183" s="3068"/>
      <c r="C183" s="3068"/>
      <c r="D183" s="3068"/>
      <c r="E183" s="3068"/>
    </row>
    <row r="184" spans="2:5">
      <c r="B184" s="3068"/>
      <c r="C184" s="3068"/>
      <c r="D184" s="3068"/>
      <c r="E184" s="3068"/>
    </row>
    <row r="185" spans="2:5">
      <c r="B185" s="3068"/>
      <c r="C185" s="3068"/>
      <c r="D185" s="3068"/>
      <c r="E185" s="3068"/>
    </row>
    <row r="186" spans="2:5">
      <c r="B186" s="3068"/>
      <c r="C186" s="3068"/>
      <c r="D186" s="3068"/>
      <c r="E186" s="3068"/>
    </row>
    <row r="187" spans="2:5">
      <c r="B187" s="3068"/>
      <c r="C187" s="3068"/>
      <c r="D187" s="3068"/>
      <c r="E187" s="3068"/>
    </row>
    <row r="188" spans="2:5">
      <c r="B188" s="3068"/>
      <c r="C188" s="3068"/>
      <c r="D188" s="3068"/>
      <c r="E188" s="3068"/>
    </row>
    <row r="189" spans="2:5">
      <c r="B189" s="3068"/>
      <c r="C189" s="3068"/>
      <c r="D189" s="3068"/>
      <c r="E189" s="3068"/>
    </row>
    <row r="190" spans="2:5">
      <c r="B190" s="3068"/>
      <c r="C190" s="3068"/>
      <c r="D190" s="3068"/>
      <c r="E190" s="3068"/>
    </row>
    <row r="191" spans="2:5">
      <c r="B191" s="3068"/>
      <c r="C191" s="3068"/>
      <c r="D191" s="3068"/>
      <c r="E191" s="3068"/>
    </row>
    <row r="192" spans="2:5">
      <c r="B192" s="3068"/>
      <c r="C192" s="3068"/>
      <c r="D192" s="3068"/>
      <c r="E192" s="3068"/>
    </row>
    <row r="193" spans="2:5">
      <c r="B193" s="3068"/>
      <c r="C193" s="3068"/>
      <c r="D193" s="3068"/>
      <c r="E193" s="3068"/>
    </row>
    <row r="194" spans="2:5">
      <c r="B194" s="3068"/>
      <c r="C194" s="3068"/>
      <c r="D194" s="3068"/>
      <c r="E194" s="3068"/>
    </row>
    <row r="195" spans="2:5">
      <c r="B195" s="3068"/>
      <c r="C195" s="3068"/>
      <c r="D195" s="3068"/>
      <c r="E195" s="3068"/>
    </row>
    <row r="196" spans="2:5">
      <c r="B196" s="3068"/>
      <c r="C196" s="3068"/>
      <c r="D196" s="3068"/>
      <c r="E196" s="3068"/>
    </row>
    <row r="197" spans="2:5">
      <c r="B197" s="3068"/>
      <c r="C197" s="3068"/>
      <c r="D197" s="3068"/>
      <c r="E197" s="3068"/>
    </row>
    <row r="198" spans="2:5">
      <c r="B198" s="3068"/>
      <c r="C198" s="3068"/>
      <c r="D198" s="3068"/>
      <c r="E198" s="3068"/>
    </row>
    <row r="199" spans="2:5">
      <c r="B199" s="3068"/>
      <c r="C199" s="3068"/>
      <c r="D199" s="3068"/>
      <c r="E199" s="3068"/>
    </row>
    <row r="200" spans="2:5">
      <c r="B200" s="3068"/>
      <c r="C200" s="3068"/>
      <c r="D200" s="3068"/>
      <c r="E200" s="3068"/>
    </row>
    <row r="201" spans="2:5">
      <c r="B201" s="3068"/>
      <c r="C201" s="3068"/>
      <c r="D201" s="3068"/>
      <c r="E201" s="3068"/>
    </row>
    <row r="202" spans="2:5">
      <c r="B202" s="3068"/>
      <c r="C202" s="3068"/>
      <c r="D202" s="3068"/>
      <c r="E202" s="3068"/>
    </row>
    <row r="203" spans="2:5">
      <c r="B203" s="3068"/>
      <c r="C203" s="3068"/>
      <c r="D203" s="3068"/>
      <c r="E203" s="3068"/>
    </row>
    <row r="204" spans="2:5">
      <c r="B204" s="3068"/>
      <c r="C204" s="3068"/>
      <c r="D204" s="3068"/>
      <c r="E204" s="3068"/>
    </row>
    <row r="205" spans="2:5">
      <c r="B205" s="3068"/>
      <c r="C205" s="3068"/>
      <c r="D205" s="3068"/>
      <c r="E205" s="3068"/>
    </row>
    <row r="206" spans="2:5">
      <c r="B206" s="3068"/>
      <c r="C206" s="3068"/>
      <c r="D206" s="3068"/>
      <c r="E206" s="3068"/>
    </row>
    <row r="207" spans="2:5">
      <c r="B207" s="3068"/>
      <c r="C207" s="3068"/>
      <c r="D207" s="3068"/>
      <c r="E207" s="3068"/>
    </row>
    <row r="208" spans="2:5">
      <c r="B208" s="3068"/>
      <c r="C208" s="3068"/>
      <c r="D208" s="3068"/>
      <c r="E208" s="3068"/>
    </row>
    <row r="209" spans="2:5">
      <c r="B209" s="3068"/>
      <c r="C209" s="3068"/>
      <c r="D209" s="3068"/>
      <c r="E209" s="3068"/>
    </row>
    <row r="210" spans="2:5">
      <c r="B210" s="3068"/>
      <c r="C210" s="3068"/>
      <c r="D210" s="3068"/>
      <c r="E210" s="3068"/>
    </row>
    <row r="211" spans="2:5">
      <c r="B211" s="3068"/>
      <c r="C211" s="3068"/>
      <c r="D211" s="3068"/>
      <c r="E211" s="3068"/>
    </row>
    <row r="212" spans="2:5">
      <c r="B212" s="3068"/>
      <c r="C212" s="3068"/>
      <c r="D212" s="3068"/>
      <c r="E212" s="3068"/>
    </row>
    <row r="213" spans="2:5">
      <c r="B213" s="3068"/>
      <c r="C213" s="3068"/>
      <c r="D213" s="3068"/>
      <c r="E213" s="3068"/>
    </row>
    <row r="214" spans="2:5">
      <c r="B214" s="3068"/>
      <c r="C214" s="3068"/>
      <c r="D214" s="3068"/>
      <c r="E214" s="3068"/>
    </row>
    <row r="215" spans="2:5">
      <c r="B215" s="3068"/>
      <c r="C215" s="3068"/>
      <c r="D215" s="3068"/>
      <c r="E215" s="3068"/>
    </row>
    <row r="216" spans="2:5">
      <c r="B216" s="3068"/>
      <c r="C216" s="3068"/>
      <c r="D216" s="3068"/>
      <c r="E216" s="3068"/>
    </row>
    <row r="217" spans="2:5">
      <c r="B217" s="3068"/>
      <c r="C217" s="3068"/>
      <c r="D217" s="3068"/>
      <c r="E217" s="3068"/>
    </row>
    <row r="218" spans="2:5">
      <c r="B218" s="3068"/>
      <c r="C218" s="3068"/>
      <c r="D218" s="3068"/>
      <c r="E218" s="3068"/>
    </row>
    <row r="219" spans="2:5">
      <c r="B219" s="3068"/>
      <c r="C219" s="3068"/>
      <c r="D219" s="3068"/>
      <c r="E219" s="3068"/>
    </row>
    <row r="220" spans="2:5">
      <c r="B220" s="3068"/>
      <c r="C220" s="3068"/>
      <c r="D220" s="3068"/>
      <c r="E220" s="3068"/>
    </row>
    <row r="221" spans="2:5">
      <c r="B221" s="3068"/>
      <c r="C221" s="3068"/>
      <c r="D221" s="3068"/>
      <c r="E221" s="3068"/>
    </row>
    <row r="222" spans="2:5">
      <c r="B222" s="3068"/>
      <c r="C222" s="3068"/>
      <c r="D222" s="3068"/>
      <c r="E222" s="3068"/>
    </row>
    <row r="223" spans="2:5">
      <c r="B223" s="3068"/>
      <c r="C223" s="3068"/>
      <c r="D223" s="3068"/>
      <c r="E223" s="3068"/>
    </row>
    <row r="224" spans="2:5">
      <c r="B224" s="3068"/>
      <c r="C224" s="3068"/>
      <c r="D224" s="3068"/>
      <c r="E224" s="3068"/>
    </row>
    <row r="225" spans="2:5">
      <c r="B225" s="3068"/>
      <c r="C225" s="3068"/>
      <c r="D225" s="3068"/>
      <c r="E225" s="3068"/>
    </row>
    <row r="226" spans="2:5">
      <c r="B226" s="3068"/>
      <c r="C226" s="3068"/>
      <c r="D226" s="3068"/>
      <c r="E226" s="3068"/>
    </row>
    <row r="227" spans="2:5">
      <c r="B227" s="3068"/>
      <c r="C227" s="3068"/>
      <c r="D227" s="3068"/>
      <c r="E227" s="3068"/>
    </row>
    <row r="228" spans="2:5">
      <c r="B228" s="3068"/>
      <c r="C228" s="3068"/>
      <c r="D228" s="3068"/>
      <c r="E228" s="3068"/>
    </row>
    <row r="229" spans="2:5">
      <c r="B229" s="3068"/>
      <c r="C229" s="3068"/>
      <c r="D229" s="3068"/>
      <c r="E229" s="3068"/>
    </row>
    <row r="230" spans="2:5">
      <c r="B230" s="3068"/>
      <c r="C230" s="3068"/>
      <c r="D230" s="3068"/>
      <c r="E230" s="3068"/>
    </row>
    <row r="231" spans="2:5">
      <c r="B231" s="3068"/>
      <c r="C231" s="3068"/>
      <c r="D231" s="3068"/>
      <c r="E231" s="3068"/>
    </row>
    <row r="232" spans="2:5">
      <c r="B232" s="3068"/>
      <c r="C232" s="3068"/>
      <c r="D232" s="3068"/>
      <c r="E232" s="3068"/>
    </row>
    <row r="233" spans="2:5">
      <c r="B233" s="3068"/>
      <c r="C233" s="3068"/>
      <c r="D233" s="3068"/>
      <c r="E233" s="3068"/>
    </row>
    <row r="234" spans="2:5">
      <c r="B234" s="3068"/>
      <c r="C234" s="3068"/>
      <c r="D234" s="3068"/>
      <c r="E234" s="3068"/>
    </row>
    <row r="235" spans="2:5">
      <c r="B235" s="3068"/>
      <c r="C235" s="3068"/>
      <c r="D235" s="3068"/>
      <c r="E235" s="3068"/>
    </row>
    <row r="236" spans="2:5">
      <c r="B236" s="3068"/>
      <c r="C236" s="3068"/>
      <c r="D236" s="3068"/>
      <c r="E236" s="3068"/>
    </row>
    <row r="237" spans="2:5">
      <c r="B237" s="3068"/>
      <c r="C237" s="3068"/>
      <c r="D237" s="3068"/>
      <c r="E237" s="3068"/>
    </row>
    <row r="238" spans="2:5">
      <c r="B238" s="3068"/>
      <c r="C238" s="3068"/>
      <c r="D238" s="3068"/>
      <c r="E238" s="3068"/>
    </row>
  </sheetData>
  <mergeCells count="3">
    <mergeCell ref="A1:E1"/>
    <mergeCell ref="A63:B63"/>
    <mergeCell ref="E3:E62"/>
  </mergeCells>
  <phoneticPr fontId="143"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29"/>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1966</v>
      </c>
      <c r="B2" s="1265">
        <f>项目基本情况!D3</f>
        <v>43553</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7"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40" t="s">
        <v>1971</v>
      </c>
      <c r="AA4" s="2240"/>
      <c r="AB4" s="2240"/>
      <c r="AC4" s="2240"/>
      <c r="AD4" s="2240"/>
      <c r="AE4" s="2238" t="s">
        <v>1972</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1973</v>
      </c>
      <c r="B5" s="2285" t="s">
        <v>1974</v>
      </c>
      <c r="C5" s="2286" t="s">
        <v>1975</v>
      </c>
      <c r="D5" s="2287" t="s">
        <v>1976</v>
      </c>
      <c r="E5" s="1267" t="s">
        <v>1977</v>
      </c>
      <c r="F5" s="2288" t="s">
        <v>1978</v>
      </c>
      <c r="G5" s="1267" t="s">
        <v>1979</v>
      </c>
      <c r="H5" s="1267" t="s">
        <v>1980</v>
      </c>
      <c r="I5" s="1267" t="s">
        <v>1981</v>
      </c>
      <c r="J5" s="2289" t="s">
        <v>1982</v>
      </c>
      <c r="K5" s="2290" t="s">
        <v>1983</v>
      </c>
      <c r="L5" s="2291" t="s">
        <v>1984</v>
      </c>
      <c r="M5" s="2292" t="s">
        <v>1985</v>
      </c>
      <c r="N5" s="2293" t="s">
        <v>3073</v>
      </c>
      <c r="O5" s="2291" t="s">
        <v>1986</v>
      </c>
      <c r="P5" s="2294" t="s">
        <v>1987</v>
      </c>
      <c r="Q5" s="68" t="s">
        <v>1988</v>
      </c>
      <c r="R5" s="2295" t="s">
        <v>1989</v>
      </c>
      <c r="S5" s="2296" t="s">
        <v>1990</v>
      </c>
      <c r="T5" s="2297" t="s">
        <v>1991</v>
      </c>
      <c r="U5" s="1266" t="s">
        <v>1992</v>
      </c>
      <c r="V5" s="1267" t="s">
        <v>1993</v>
      </c>
      <c r="W5" s="1267" t="s">
        <v>1994</v>
      </c>
      <c r="X5" s="70"/>
      <c r="Y5" s="69" t="s">
        <v>1995</v>
      </c>
      <c r="Z5" s="2298" t="s">
        <v>1992</v>
      </c>
      <c r="AA5" s="1267" t="s">
        <v>1993</v>
      </c>
      <c r="AB5" s="1267" t="s">
        <v>1994</v>
      </c>
      <c r="AC5" s="70"/>
      <c r="AD5" s="70" t="s">
        <v>1995</v>
      </c>
      <c r="AE5" s="1266" t="s">
        <v>1996</v>
      </c>
      <c r="AF5" s="1267" t="s">
        <v>1997</v>
      </c>
      <c r="AG5" s="69" t="s">
        <v>1998</v>
      </c>
      <c r="AH5" s="1266" t="s">
        <v>1999</v>
      </c>
      <c r="AI5" s="2298" t="s">
        <v>2000</v>
      </c>
      <c r="AJ5" s="2298" t="s">
        <v>2001</v>
      </c>
      <c r="AK5" s="1267" t="s">
        <v>2002</v>
      </c>
      <c r="AL5" s="1267" t="s">
        <v>2003</v>
      </c>
      <c r="AM5" s="69" t="s">
        <v>2004</v>
      </c>
      <c r="AN5" s="2299" t="s">
        <v>2005</v>
      </c>
      <c r="AO5" s="2070" t="s">
        <v>2006</v>
      </c>
      <c r="AP5" s="1248"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1" t="str">
        <f>'数据-汇总表'!C19</f>
        <v>办公已出租</v>
      </c>
      <c r="B6" s="2302" t="str">
        <f>IF(A6=0,"","经营性")</f>
        <v>经营性</v>
      </c>
      <c r="C6" s="2303" t="s">
        <v>27</v>
      </c>
      <c r="D6" s="1051">
        <f>SUMIF(项目基本情况!D$12:I$12,C6,项目基本情况!D$14:I$14)</f>
        <v>50</v>
      </c>
      <c r="E6" s="1048">
        <f>IF(B6="","",SUMIF(项目基本情况!D$12:I$12,C6,项目基本情况!D$13:I$13))</f>
        <v>58247</v>
      </c>
      <c r="F6" s="71">
        <f>SUMIF(项目基本情况!D$12:I$12,C6,项目基本情况!D$15:I$15)</f>
        <v>40.25</v>
      </c>
      <c r="G6" s="72">
        <f>IF(ISERROR(ROUND(POWER(1+H6,D6-F6)*(POWER(1+H6,F6)-1)/(POWER(1+H6,D6)-1),3)),0,ROUND(POWER(1+H6,D6-F6)*(POWER(1+H6,F6)-1)/(POWER(1+H6,D6)-1),3))</f>
        <v>0.94199999999999995</v>
      </c>
      <c r="H6" s="799">
        <v>0.05</v>
      </c>
      <c r="I6" s="799">
        <v>5.5E-2</v>
      </c>
      <c r="J6" s="73">
        <v>8.5000000000000006E-2</v>
      </c>
      <c r="K6" s="1250">
        <f>SUMIF('数据-汇总表'!C$19:C$33,A6,'数据-汇总表'!E$19:E$33)</f>
        <v>2679.1499999999996</v>
      </c>
      <c r="L6" s="800">
        <v>4500</v>
      </c>
      <c r="M6" s="74">
        <f t="shared" ref="M6:M14" si="0">ROUND(K6*L6/10000,0)</f>
        <v>1206</v>
      </c>
      <c r="N6" s="798">
        <v>0.98</v>
      </c>
      <c r="O6" s="74" t="str">
        <f>IF($N$5="成新度","——",ROUND(M6*N6,0))</f>
        <v>——</v>
      </c>
      <c r="P6" s="75" t="str">
        <f>IF($N$5="成新度","——",M6-O6)</f>
        <v>——</v>
      </c>
      <c r="Q6" s="801">
        <v>0.25</v>
      </c>
      <c r="R6" s="76">
        <f ca="1">SUMIF('数据-汇总表'!C$19:C$33,A6,'数据-汇总表'!R$19:R$27)</f>
        <v>0</v>
      </c>
      <c r="S6" s="53">
        <f>IF('数据-汇总表'!$I$17="按面积比例",SUMIF('数据-汇总表'!C$19:C$33,A6,'数据-汇总表'!K$19:K$33),SUMIF('数据-汇总表'!C$19:C$33,A6,'数据-汇总表'!N$19:N$33))</f>
        <v>0</v>
      </c>
      <c r="T6" s="1442">
        <f>ROUND($L$14*S6/10000,0)</f>
        <v>0</v>
      </c>
      <c r="U6" s="77">
        <f>租约!C36</f>
        <v>5.08</v>
      </c>
      <c r="V6" s="78">
        <v>0</v>
      </c>
      <c r="W6" s="78">
        <v>0</v>
      </c>
      <c r="X6" s="1260"/>
      <c r="Y6" s="79">
        <f>N6</f>
        <v>0.98</v>
      </c>
      <c r="Z6" s="80">
        <f>租约!C40</f>
        <v>6.06</v>
      </c>
      <c r="AA6" s="73">
        <f>租约!C39</f>
        <v>0.03</v>
      </c>
      <c r="AB6" s="73">
        <v>0.1</v>
      </c>
      <c r="AC6" s="1260"/>
      <c r="AD6" s="81">
        <f>ROUND(1-(2021-2018)/60,2)</f>
        <v>0.95</v>
      </c>
      <c r="AE6" s="1261">
        <f ca="1">IF(AN6="",0,SUMIF(INDIRECT("'"&amp;AN6&amp;"'"&amp;"!E:E"),$AE$5,INDIRECT("'"&amp;AN6&amp;"'"&amp;"!F:F")))</f>
        <v>40.25</v>
      </c>
      <c r="AF6" s="1803">
        <f>租约!C34</f>
        <v>2.67</v>
      </c>
      <c r="AG6" s="146">
        <f ca="1">IF(AF6="",0,AE6-AF6)</f>
        <v>37.58</v>
      </c>
      <c r="AH6" s="82"/>
      <c r="AI6" s="84">
        <v>365</v>
      </c>
      <c r="AJ6" s="85"/>
      <c r="AK6" s="86">
        <v>0.02</v>
      </c>
      <c r="AL6" s="87">
        <v>2E-3</v>
      </c>
      <c r="AM6" s="88">
        <v>0.02</v>
      </c>
      <c r="AN6" s="2304" t="s">
        <v>3418</v>
      </c>
      <c r="AO6" s="54">
        <f ca="1">SUMIF(INDIRECT("'"&amp;AN6&amp;"'"&amp;"!A:A"),"总价",INDIRECT("'"&amp;AN6&amp;"'"&amp;"!B:B"))</f>
        <v>8909</v>
      </c>
      <c r="AP6" s="2305">
        <f>IF(C6="住宅",K6*L6,0)</f>
        <v>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办公未出租</v>
      </c>
      <c r="B7" s="2302" t="str">
        <f t="shared" ref="B7:B13" si="1">IF(A7=0,"","经营性")</f>
        <v>经营性</v>
      </c>
      <c r="C7" s="2303" t="s">
        <v>27</v>
      </c>
      <c r="D7" s="1051">
        <f>SUMIF(项目基本情况!D$12:I$12,C7,项目基本情况!D$14:I$14)</f>
        <v>50</v>
      </c>
      <c r="E7" s="1048">
        <f>IF(B7="","",SUMIF(项目基本情况!D$12:I$12,C7,项目基本情况!D$13:I$13))</f>
        <v>58247</v>
      </c>
      <c r="F7" s="71">
        <f>SUMIF(项目基本情况!D$12:I$12,C7,项目基本情况!D$15:I$15)</f>
        <v>40.25</v>
      </c>
      <c r="G7" s="72">
        <f t="shared" ref="G7:G11" si="2">IF(ISERROR(ROUND(POWER(1+H7,D7-F7)*(POWER(1+H7,F7)-1)/(POWER(1+H7,D7)-1),3)),0,ROUND(POWER(1+H7,D7-F7)*(POWER(1+H7,F7)-1)/(POWER(1+H7,D7)-1),3))</f>
        <v>0.94199999999999995</v>
      </c>
      <c r="H7" s="3062">
        <f>H6</f>
        <v>0.05</v>
      </c>
      <c r="I7" s="799">
        <f>I6</f>
        <v>5.5E-2</v>
      </c>
      <c r="J7" s="73">
        <v>8.5000000000000006E-2</v>
      </c>
      <c r="K7" s="1250">
        <f>SUMIF('数据-汇总表'!C$19:C$33,A7,'数据-汇总表'!E$19:E$33)</f>
        <v>14250.829999999996</v>
      </c>
      <c r="L7" s="800">
        <f>L6</f>
        <v>4500</v>
      </c>
      <c r="M7" s="74">
        <f t="shared" si="0"/>
        <v>6413</v>
      </c>
      <c r="N7" s="798">
        <f>N6</f>
        <v>0.98</v>
      </c>
      <c r="O7" s="74" t="str">
        <f t="shared" ref="O7:O14" si="3">IF($N$5="成新度","——",ROUND(M7*N7,0))</f>
        <v>——</v>
      </c>
      <c r="P7" s="75" t="str">
        <f t="shared" ref="P7:P14" si="4">IF($N$5="成新度","——",M7-O7)</f>
        <v>——</v>
      </c>
      <c r="Q7" s="801">
        <f>Q6</f>
        <v>0.25</v>
      </c>
      <c r="R7" s="76">
        <f ca="1">SUMIF('数据-汇总表'!C$19:C$33,A7,'数据-汇总表'!R$19:R$27)</f>
        <v>0</v>
      </c>
      <c r="S7" s="53">
        <f>IF('数据-汇总表'!$I$17="按面积比例",SUMIF('数据-汇总表'!C$19:C$33,A7,'数据-汇总表'!K$19:K$33),SUMIF('数据-汇总表'!C$19:C$33,A7,'数据-汇总表'!N$19:N$33))</f>
        <v>0</v>
      </c>
      <c r="T7" s="1442">
        <f t="shared" ref="T7:T13" si="5">ROUND($L$14*S7/10000,0)</f>
        <v>0</v>
      </c>
      <c r="U7" s="77">
        <f>'比较法-办公租金'!C50</f>
        <v>5.6</v>
      </c>
      <c r="V7" s="78">
        <f>AA6</f>
        <v>0.03</v>
      </c>
      <c r="W7" s="78">
        <f>AB6</f>
        <v>0.1</v>
      </c>
      <c r="X7" s="1260"/>
      <c r="Y7" s="79">
        <f>Y6</f>
        <v>0.98</v>
      </c>
      <c r="Z7" s="80"/>
      <c r="AA7" s="73"/>
      <c r="AB7" s="73"/>
      <c r="AC7" s="1260"/>
      <c r="AD7" s="81"/>
      <c r="AE7" s="1261">
        <f t="shared" ref="AE7:AE13" ca="1" si="6">IF(AN7="",0,SUMIF(INDIRECT("'"&amp;AN7&amp;"'"&amp;"!E:E"),$AE$5,INDIRECT("'"&amp;AN7&amp;"'"&amp;"!F:F")))</f>
        <v>40.25</v>
      </c>
      <c r="AF7" s="1803"/>
      <c r="AG7" s="146">
        <f t="shared" ref="AG7:AG13" si="7">IF(AF7="",0,AE7-AF7)</f>
        <v>0</v>
      </c>
      <c r="AH7" s="82"/>
      <c r="AI7" s="84">
        <v>365</v>
      </c>
      <c r="AJ7" s="85"/>
      <c r="AK7" s="86">
        <f>AK6</f>
        <v>0.02</v>
      </c>
      <c r="AL7" s="87">
        <f>AL6</f>
        <v>2E-3</v>
      </c>
      <c r="AM7" s="88">
        <f>AM6</f>
        <v>0.02</v>
      </c>
      <c r="AN7" s="2304" t="s">
        <v>3420</v>
      </c>
      <c r="AO7" s="54">
        <f t="shared" ref="AO7:AO13" ca="1" si="8">SUMIF(INDIRECT("'"&amp;AN7&amp;"'"&amp;"!A:A"),"总价",INDIRECT("'"&amp;AN7&amp;"'"&amp;"!B:B"))</f>
        <v>47180</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1"/>
        <v/>
      </c>
      <c r="C8" s="2303"/>
      <c r="D8" s="1051">
        <f>SUMIF(项目基本情况!D$12:I$12,C8,项目基本情况!D$14:I$14)</f>
        <v>0</v>
      </c>
      <c r="E8" s="1048" t="str">
        <f>IF(B8="","",SUMIF(项目基本情况!D$12:I$12,C8,项目基本情况!D$13:I$13))</f>
        <v/>
      </c>
      <c r="F8" s="71">
        <f>SUMIF(项目基本情况!D$12:I$12,C8,项目基本情况!D$15:I$15)</f>
        <v>0</v>
      </c>
      <c r="G8" s="72">
        <f t="shared" si="2"/>
        <v>0</v>
      </c>
      <c r="H8" s="799"/>
      <c r="I8" s="799"/>
      <c r="J8" s="73"/>
      <c r="K8" s="1250">
        <f>SUMIF('数据-汇总表'!C$19:C$33,A8,'数据-汇总表'!E$19:E$33)</f>
        <v>0</v>
      </c>
      <c r="L8" s="800"/>
      <c r="M8" s="74">
        <f>ROUND(K8*L8/10000,0)</f>
        <v>0</v>
      </c>
      <c r="N8" s="798"/>
      <c r="O8" s="74" t="str">
        <f t="shared" si="3"/>
        <v>——</v>
      </c>
      <c r="P8" s="75" t="str">
        <f t="shared" si="4"/>
        <v>——</v>
      </c>
      <c r="Q8" s="801"/>
      <c r="R8" s="76">
        <f ca="1">SUMIF('数据-汇总表'!C$19:C$33,A8,'数据-汇总表'!R$19:R$27)</f>
        <v>0</v>
      </c>
      <c r="S8" s="53">
        <f>IF('数据-汇总表'!$I$17="按面积比例",SUMIF('数据-汇总表'!C$19:C$33,A8,'数据-汇总表'!K$19:K$33),SUMIF('数据-汇总表'!C$19:C$33,A8,'数据-汇总表'!N$19:N$33))</f>
        <v>0</v>
      </c>
      <c r="T8" s="1442">
        <f t="shared" si="5"/>
        <v>0</v>
      </c>
      <c r="U8" s="802"/>
      <c r="V8" s="803"/>
      <c r="W8" s="803"/>
      <c r="X8" s="1260"/>
      <c r="Y8" s="804"/>
      <c r="Z8" s="80"/>
      <c r="AA8" s="73"/>
      <c r="AB8" s="73"/>
      <c r="AC8" s="1260"/>
      <c r="AD8" s="81"/>
      <c r="AE8" s="1261">
        <f t="shared" ca="1" si="6"/>
        <v>0</v>
      </c>
      <c r="AF8" s="1803"/>
      <c r="AG8" s="146">
        <f t="shared" si="7"/>
        <v>0</v>
      </c>
      <c r="AH8" s="805"/>
      <c r="AI8" s="84"/>
      <c r="AJ8" s="85"/>
      <c r="AK8" s="806"/>
      <c r="AL8" s="807"/>
      <c r="AM8" s="808"/>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1"/>
        <v/>
      </c>
      <c r="C9" s="2303"/>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800"/>
      <c r="M9" s="74">
        <f t="shared" si="0"/>
        <v>0</v>
      </c>
      <c r="N9" s="798"/>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2">
        <f t="shared" si="5"/>
        <v>0</v>
      </c>
      <c r="U9" s="77"/>
      <c r="V9" s="78"/>
      <c r="W9" s="78"/>
      <c r="X9" s="1260"/>
      <c r="Y9" s="79"/>
      <c r="Z9" s="80"/>
      <c r="AA9" s="73"/>
      <c r="AB9" s="73"/>
      <c r="AC9" s="1260"/>
      <c r="AD9" s="81"/>
      <c r="AE9" s="1261">
        <f t="shared" ca="1" si="6"/>
        <v>0</v>
      </c>
      <c r="AF9" s="1803"/>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800"/>
      <c r="M10" s="74">
        <f t="shared" si="0"/>
        <v>0</v>
      </c>
      <c r="N10" s="798"/>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2">
        <f t="shared" si="5"/>
        <v>0</v>
      </c>
      <c r="U10" s="77"/>
      <c r="V10" s="78"/>
      <c r="W10" s="78"/>
      <c r="X10" s="1260"/>
      <c r="Y10" s="79"/>
      <c r="Z10" s="80"/>
      <c r="AA10" s="73"/>
      <c r="AB10" s="73"/>
      <c r="AC10" s="1260"/>
      <c r="AD10" s="81"/>
      <c r="AE10" s="1261">
        <f t="shared" ca="1" si="6"/>
        <v>0</v>
      </c>
      <c r="AF10" s="1803"/>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2">
        <f t="shared" si="5"/>
        <v>0</v>
      </c>
      <c r="U11" s="82"/>
      <c r="V11" s="73"/>
      <c r="W11" s="73"/>
      <c r="X11" s="1260"/>
      <c r="Y11" s="79"/>
      <c r="Z11" s="92"/>
      <c r="AA11" s="73"/>
      <c r="AB11" s="73"/>
      <c r="AC11" s="1260"/>
      <c r="AD11" s="81"/>
      <c r="AE11" s="1261">
        <f t="shared" ca="1" si="6"/>
        <v>0</v>
      </c>
      <c r="AF11" s="1803"/>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2">
        <f t="shared" si="5"/>
        <v>0</v>
      </c>
      <c r="U12" s="82"/>
      <c r="V12" s="73"/>
      <c r="W12" s="73"/>
      <c r="X12" s="1260"/>
      <c r="Y12" s="79"/>
      <c r="Z12" s="92"/>
      <c r="AA12" s="73"/>
      <c r="AB12" s="73"/>
      <c r="AC12" s="1260"/>
      <c r="AD12" s="81"/>
      <c r="AE12" s="1261">
        <f t="shared" ca="1" si="6"/>
        <v>0</v>
      </c>
      <c r="AF12" s="1803"/>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2">
        <f t="shared" si="5"/>
        <v>0</v>
      </c>
      <c r="U13" s="77"/>
      <c r="V13" s="78"/>
      <c r="W13" s="78"/>
      <c r="X13" s="1260"/>
      <c r="Y13" s="79"/>
      <c r="Z13" s="80"/>
      <c r="AA13" s="73"/>
      <c r="AB13" s="73"/>
      <c r="AC13" s="1260"/>
      <c r="AD13" s="81"/>
      <c r="AE13" s="1261">
        <f t="shared" ca="1" si="6"/>
        <v>0</v>
      </c>
      <c r="AF13" s="1803"/>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2010</v>
      </c>
      <c r="B14" s="2302" t="s">
        <v>2011</v>
      </c>
      <c r="C14" s="2307" t="s">
        <v>2010</v>
      </c>
      <c r="D14" s="1051"/>
      <c r="E14" s="1048"/>
      <c r="F14" s="71"/>
      <c r="G14" s="72"/>
      <c r="H14" s="1249"/>
      <c r="I14" s="1249"/>
      <c r="J14" s="1249"/>
      <c r="K14" s="1250">
        <f>SUMIF('数据-汇总表'!C$19:C$33,A14,'数据-汇总表'!E$19:E$33)</f>
        <v>0</v>
      </c>
      <c r="L14" s="90"/>
      <c r="M14" s="74">
        <f t="shared" si="0"/>
        <v>0</v>
      </c>
      <c r="N14" s="91"/>
      <c r="O14" s="74" t="str">
        <f t="shared" si="3"/>
        <v>——</v>
      </c>
      <c r="P14" s="75" t="str">
        <f t="shared" si="4"/>
        <v>——</v>
      </c>
      <c r="Q14" s="1253"/>
      <c r="R14" s="76"/>
      <c r="S14" s="53"/>
      <c r="T14" s="1442"/>
      <c r="U14" s="720"/>
      <c r="V14" s="1255"/>
      <c r="W14" s="1255"/>
      <c r="X14" s="1256"/>
      <c r="Y14" s="1257"/>
      <c r="Z14" s="1258"/>
      <c r="AA14" s="1259"/>
      <c r="AB14" s="1259"/>
      <c r="AC14" s="1260"/>
      <c r="AD14" s="1256"/>
      <c r="AE14" s="1261"/>
      <c r="AF14" s="54"/>
      <c r="AG14" s="146"/>
      <c r="AH14" s="1261"/>
      <c r="AI14" s="1814"/>
      <c r="AJ14" s="770"/>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2012</v>
      </c>
      <c r="B15" s="2302" t="s">
        <v>2011</v>
      </c>
      <c r="C15" s="2307" t="s">
        <v>2013</v>
      </c>
      <c r="D15" s="1051"/>
      <c r="E15" s="1048"/>
      <c r="F15" s="71"/>
      <c r="G15" s="72"/>
      <c r="H15" s="1249"/>
      <c r="I15" s="1249"/>
      <c r="J15" s="1249"/>
      <c r="K15" s="1250">
        <f>SUMIF('数据-汇总表'!C$19:C$33,A15,'数据-汇总表'!E$19:E$33)</f>
        <v>0</v>
      </c>
      <c r="L15" s="1251"/>
      <c r="M15" s="74"/>
      <c r="N15" s="1252"/>
      <c r="O15" s="74"/>
      <c r="P15" s="75"/>
      <c r="Q15" s="1253"/>
      <c r="R15" s="76"/>
      <c r="S15" s="53"/>
      <c r="T15" s="1442"/>
      <c r="U15" s="720"/>
      <c r="V15" s="1255"/>
      <c r="W15" s="1255"/>
      <c r="X15" s="1256"/>
      <c r="Y15" s="1257"/>
      <c r="Z15" s="1258"/>
      <c r="AA15" s="1259"/>
      <c r="AB15" s="1259"/>
      <c r="AC15" s="1260"/>
      <c r="AD15" s="1256"/>
      <c r="AE15" s="1261"/>
      <c r="AF15" s="54"/>
      <c r="AG15" s="146"/>
      <c r="AH15" s="1261"/>
      <c r="AI15" s="1814"/>
      <c r="AJ15" s="770"/>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2014</v>
      </c>
      <c r="B16" s="96"/>
      <c r="C16" s="1005"/>
      <c r="D16" s="2309"/>
      <c r="E16" s="96"/>
      <c r="F16" s="96"/>
      <c r="G16" s="97">
        <f>ROUND(SUMPRODUCT(G6:G13,K6:K13)/SUMPRODUCT((G6:G13&gt;0)*(K6:K13)),3)</f>
        <v>0.94199999999999995</v>
      </c>
      <c r="H16" s="98">
        <f>ROUND(SUMPRODUCT(H6:H13,K6:K13)/SUMPRODUCT((H6:H13&gt;0)*(K6:K13)),3)</f>
        <v>0.05</v>
      </c>
      <c r="I16" s="99"/>
      <c r="J16" s="99"/>
      <c r="K16" s="100">
        <f>SUM(K6:K15)</f>
        <v>16929.979999999996</v>
      </c>
      <c r="L16" s="101">
        <f>ROUND(M16*10000/SUM(K6:K14),0)</f>
        <v>4500</v>
      </c>
      <c r="M16" s="101">
        <f>SUM(M6:M14)</f>
        <v>7619</v>
      </c>
      <c r="N16" s="102">
        <f>ROUND(SUMPRODUCT(M6:M14,N6:N14)/M16,3)</f>
        <v>0.98</v>
      </c>
      <c r="O16" s="101">
        <f>SUM(O6:O14)</f>
        <v>0</v>
      </c>
      <c r="P16" s="101">
        <f>SUM(P6:P14)</f>
        <v>0</v>
      </c>
      <c r="Q16" s="103">
        <f>ROUND(SUMPRODUCT(Q6:Q13,K6:K13)/SUMPRODUCT((Q6:Q13&gt;0)*(K6:K13)),2)</f>
        <v>0.25</v>
      </c>
      <c r="R16" s="1254">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9"/>
      <c r="C17" s="1580"/>
      <c r="D17" s="2268"/>
      <c r="E17" s="2268"/>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5"/>
      <c r="C18" s="2272"/>
      <c r="D18" s="2273"/>
      <c r="E18" s="2272"/>
      <c r="F18" s="2272"/>
      <c r="G18" s="2272"/>
      <c r="H18" s="2272"/>
      <c r="I18" s="2272"/>
      <c r="J18" s="2272"/>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2016</v>
      </c>
      <c r="B19" s="111">
        <v>0</v>
      </c>
      <c r="C19" s="2272" t="s">
        <v>2017</v>
      </c>
      <c r="D19" s="2273"/>
      <c r="E19" s="2272"/>
      <c r="F19" s="2272"/>
      <c r="G19" s="2272"/>
      <c r="H19" s="2272"/>
      <c r="I19" s="2272"/>
      <c r="J19" s="2272"/>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2018</v>
      </c>
      <c r="B20" s="112">
        <v>0.5</v>
      </c>
      <c r="C20" s="2272" t="s">
        <v>2019</v>
      </c>
      <c r="D20" s="2273"/>
      <c r="E20" s="2272"/>
      <c r="F20" s="2272"/>
      <c r="G20" s="2272"/>
      <c r="H20" s="2272"/>
      <c r="I20" s="2272"/>
      <c r="J20" s="2272"/>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2020</v>
      </c>
      <c r="B21" s="112">
        <v>0.5</v>
      </c>
      <c r="C21" s="2272"/>
      <c r="D21" s="2273"/>
      <c r="E21" s="2272"/>
      <c r="F21" s="2272"/>
      <c r="G21" s="2272"/>
      <c r="H21" s="2272"/>
      <c r="I21" s="2272"/>
      <c r="J21" s="2272"/>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2021</v>
      </c>
      <c r="B22" s="113">
        <f>B19+B20</f>
        <v>0.5</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2022</v>
      </c>
      <c r="B23" s="113">
        <f>B19+B21</f>
        <v>0.5</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4">
        <f>B20-B21</f>
        <v>0</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2027</v>
      </c>
      <c r="B27" s="115">
        <v>160</v>
      </c>
      <c r="C27" s="1763" t="s">
        <v>2028</v>
      </c>
      <c r="D27" s="2318"/>
      <c r="E27" s="1426"/>
      <c r="F27" s="1426"/>
      <c r="G27" s="2272"/>
      <c r="H27" s="2272"/>
      <c r="I27" s="2272"/>
      <c r="J27" s="2272"/>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2029</v>
      </c>
      <c r="B28" s="118">
        <v>200</v>
      </c>
      <c r="C28" s="2321"/>
      <c r="D28" s="2318"/>
      <c r="E28" s="1426"/>
      <c r="F28" s="1426"/>
      <c r="G28" s="2272"/>
      <c r="H28" s="2272"/>
      <c r="I28" s="2272"/>
      <c r="J28" s="2272"/>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2030</v>
      </c>
      <c r="B29" s="120">
        <v>0</v>
      </c>
      <c r="C29" s="1763" t="s">
        <v>2031</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2032</v>
      </c>
      <c r="B30" s="721">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2033</v>
      </c>
      <c r="B31" s="119">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2034</v>
      </c>
      <c r="B32" s="722">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2035</v>
      </c>
      <c r="B33" s="723">
        <v>0.05</v>
      </c>
      <c r="C33" s="1762" t="s">
        <v>2036</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2037</v>
      </c>
      <c r="B34" s="121">
        <v>0.03</v>
      </c>
      <c r="C34" s="1762" t="s">
        <v>2038</v>
      </c>
      <c r="D34" s="2273" t="s">
        <v>2039</v>
      </c>
      <c r="E34" s="729"/>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2040</v>
      </c>
      <c r="B35" s="118">
        <v>200</v>
      </c>
      <c r="C35" s="1762" t="s">
        <v>2041</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2042</v>
      </c>
      <c r="B36" s="122">
        <v>1.4999999999999999E-2</v>
      </c>
      <c r="C36" s="1762" t="s">
        <v>2043</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2044</v>
      </c>
      <c r="B37" s="123">
        <v>0.03</v>
      </c>
      <c r="C37" s="1762" t="s">
        <v>2045</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2046</v>
      </c>
      <c r="B38" s="121">
        <v>0.03</v>
      </c>
      <c r="C38" s="1762" t="s">
        <v>2045</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2047</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4.3499999999999997E-2</v>
      </c>
      <c r="C40" s="1762" t="s">
        <v>2049</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2050</v>
      </c>
      <c r="B41" s="124">
        <f>B42+B43</f>
        <v>5.5000000000000007E-2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2051</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2052</v>
      </c>
      <c r="B43" s="126">
        <f>B42*(B44+B45+B46)+B47</f>
        <v>5.000000000000001E-3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2053</v>
      </c>
      <c r="B44" s="127">
        <v>0.05</v>
      </c>
      <c r="C44" s="1762" t="s">
        <v>2054</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2055</v>
      </c>
      <c r="B45" s="125">
        <v>0.03</v>
      </c>
      <c r="C45" s="1763" t="s">
        <v>2056</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2057</v>
      </c>
      <c r="B46" s="125">
        <v>0.02</v>
      </c>
      <c r="C46" s="1763" t="s">
        <v>2058</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8">
        <v>0</v>
      </c>
      <c r="C47" s="1763" t="s">
        <v>2060</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2061</v>
      </c>
      <c r="B48" s="129">
        <v>0.03</v>
      </c>
      <c r="C48" s="1770" t="s">
        <v>2062</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5">
        <v>5.0000000000000001E-4</v>
      </c>
      <c r="C49" s="1770" t="s">
        <v>2064</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2065</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2067</v>
      </c>
      <c r="B52" s="132">
        <f>SUMIF(A54:A63,B53,B54:B63)</f>
        <v>1.5</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2068</v>
      </c>
      <c r="B53" s="2331" t="s">
        <v>56</v>
      </c>
      <c r="C53" s="1426" t="s">
        <v>2069</v>
      </c>
      <c r="D53" s="2332" t="s">
        <v>2070</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2071</v>
      </c>
      <c r="B54" s="83"/>
      <c r="C54" s="1426">
        <v>30</v>
      </c>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2072</v>
      </c>
      <c r="B55" s="83"/>
      <c r="C55" s="1426">
        <v>24</v>
      </c>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2073</v>
      </c>
      <c r="B56" s="83"/>
      <c r="C56" s="1426">
        <v>18</v>
      </c>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2074</v>
      </c>
      <c r="B57" s="83"/>
      <c r="C57" s="1426">
        <v>12</v>
      </c>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2075</v>
      </c>
      <c r="B58" s="83"/>
      <c r="C58" s="1426">
        <v>3</v>
      </c>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2076</v>
      </c>
      <c r="B59" s="83">
        <v>1.5</v>
      </c>
      <c r="C59" s="1426">
        <v>1.5</v>
      </c>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2077</v>
      </c>
      <c r="B60" s="83"/>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2078</v>
      </c>
      <c r="B61" s="83"/>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2079</v>
      </c>
      <c r="B62" s="83"/>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5"/>
      <c r="L64" s="795"/>
    </row>
    <row r="65" spans="1:12" s="964" customFormat="1">
      <c r="A65" s="2336"/>
      <c r="D65" s="2337"/>
      <c r="K65" s="795"/>
      <c r="L65" s="795"/>
    </row>
    <row r="66" spans="1:12" s="964" customFormat="1">
      <c r="A66" s="2336"/>
      <c r="D66" s="2337"/>
      <c r="K66" s="795"/>
      <c r="L66" s="795"/>
    </row>
    <row r="67" spans="1:12" s="964" customFormat="1">
      <c r="A67" s="2336"/>
      <c r="D67" s="2337"/>
      <c r="K67" s="795"/>
      <c r="L67" s="795"/>
    </row>
    <row r="68" spans="1:12" s="964" customFormat="1">
      <c r="A68" s="2336"/>
      <c r="D68" s="2337"/>
      <c r="K68" s="795"/>
      <c r="L68" s="795"/>
    </row>
    <row r="69" spans="1:12" s="964" customFormat="1">
      <c r="A69" s="2336"/>
      <c r="D69" s="2337"/>
      <c r="K69" s="795"/>
      <c r="L69" s="795"/>
    </row>
    <row r="70" spans="1:12" s="964" customFormat="1">
      <c r="A70" s="2336"/>
      <c r="D70" s="2337"/>
      <c r="K70" s="795"/>
      <c r="L70" s="795"/>
    </row>
    <row r="71" spans="1:12" s="964" customFormat="1">
      <c r="A71" s="2336"/>
      <c r="D71" s="2337"/>
      <c r="K71" s="795"/>
      <c r="L71" s="795"/>
    </row>
    <row r="72" spans="1:12" s="964" customFormat="1">
      <c r="A72" s="2336"/>
      <c r="D72" s="2337"/>
      <c r="K72" s="795"/>
      <c r="L72" s="795"/>
    </row>
    <row r="73" spans="1:12" s="964" customFormat="1">
      <c r="A73" s="2336"/>
      <c r="D73" s="2337"/>
      <c r="K73" s="795"/>
      <c r="L73" s="795"/>
    </row>
    <row r="74" spans="1:12" s="964" customFormat="1">
      <c r="A74" s="2336"/>
      <c r="D74" s="2337"/>
      <c r="K74" s="795"/>
      <c r="L74" s="795"/>
    </row>
    <row r="75" spans="1:12" s="964" customFormat="1">
      <c r="A75" s="2336"/>
      <c r="D75" s="2337"/>
      <c r="K75" s="795"/>
      <c r="L75" s="795"/>
    </row>
    <row r="76" spans="1:12" s="964" customFormat="1">
      <c r="A76" s="2336"/>
      <c r="D76" s="2337"/>
      <c r="K76" s="795"/>
      <c r="L76" s="795"/>
    </row>
    <row r="77" spans="1:12" s="964" customFormat="1">
      <c r="A77" s="2336"/>
      <c r="D77" s="2337"/>
      <c r="K77" s="795"/>
      <c r="L77" s="795"/>
    </row>
    <row r="78" spans="1:12" s="964" customFormat="1">
      <c r="A78" s="2336"/>
      <c r="D78" s="2337"/>
      <c r="K78" s="795"/>
      <c r="L78" s="795"/>
    </row>
    <row r="79" spans="1:12" s="964" customFormat="1">
      <c r="A79" s="2336"/>
      <c r="D79" s="2337"/>
      <c r="K79" s="795"/>
      <c r="L79" s="795"/>
    </row>
    <row r="80" spans="1:12" s="964" customFormat="1">
      <c r="A80" s="2336"/>
      <c r="D80" s="2337"/>
      <c r="K80" s="795"/>
      <c r="L80" s="795"/>
    </row>
    <row r="81" spans="1:12" s="964" customFormat="1">
      <c r="A81" s="2336"/>
      <c r="D81" s="2337"/>
      <c r="K81" s="795"/>
      <c r="L81" s="795"/>
    </row>
    <row r="82" spans="1:12" s="964" customFormat="1">
      <c r="A82" s="2336"/>
      <c r="D82" s="2337"/>
      <c r="K82" s="795"/>
      <c r="L82" s="795"/>
    </row>
    <row r="83" spans="1:12" s="964" customFormat="1">
      <c r="A83" s="2336"/>
      <c r="D83" s="2337"/>
      <c r="K83" s="795"/>
      <c r="L83" s="795"/>
    </row>
    <row r="84" spans="1:12" s="964" customFormat="1">
      <c r="A84" s="2336"/>
      <c r="D84" s="2337"/>
      <c r="K84" s="795"/>
      <c r="L84" s="795"/>
    </row>
    <row r="85" spans="1:12" s="964" customFormat="1">
      <c r="A85" s="2336"/>
      <c r="D85" s="2337"/>
      <c r="K85" s="795"/>
      <c r="L85" s="795"/>
    </row>
    <row r="86" spans="1:12" s="964" customFormat="1">
      <c r="A86" s="2336"/>
      <c r="D86" s="2337"/>
      <c r="K86" s="795"/>
      <c r="L86" s="795"/>
    </row>
    <row r="87" spans="1:12" s="964" customFormat="1">
      <c r="A87" s="2336"/>
      <c r="D87" s="2337"/>
      <c r="K87" s="795"/>
      <c r="L87" s="795"/>
    </row>
    <row r="88" spans="1:12" s="964" customFormat="1">
      <c r="A88" s="2336"/>
      <c r="D88" s="2337"/>
      <c r="K88" s="795"/>
      <c r="L88" s="795"/>
    </row>
    <row r="89" spans="1:12" s="964" customFormat="1">
      <c r="A89" s="2336"/>
      <c r="D89" s="2337"/>
      <c r="K89" s="795"/>
      <c r="L89" s="795"/>
    </row>
    <row r="90" spans="1:12" s="964" customFormat="1">
      <c r="A90" s="2336"/>
      <c r="D90" s="2337"/>
      <c r="K90" s="795"/>
      <c r="L90" s="795"/>
    </row>
    <row r="91" spans="1:12" s="964" customFormat="1">
      <c r="A91" s="2336"/>
      <c r="D91" s="2337"/>
      <c r="K91" s="795"/>
      <c r="L91" s="795"/>
    </row>
    <row r="92" spans="1:12" s="964" customFormat="1">
      <c r="A92" s="2336"/>
      <c r="D92" s="2337"/>
      <c r="K92" s="795"/>
      <c r="L92" s="795"/>
    </row>
    <row r="93" spans="1:12" s="964" customFormat="1">
      <c r="A93" s="2336"/>
      <c r="D93" s="2337"/>
      <c r="K93" s="795"/>
      <c r="L93" s="795"/>
    </row>
    <row r="94" spans="1:12" s="964" customFormat="1">
      <c r="A94" s="2336"/>
      <c r="D94" s="2337"/>
      <c r="K94" s="795"/>
      <c r="L94" s="795"/>
    </row>
    <row r="95" spans="1:12" s="964" customFormat="1">
      <c r="A95" s="2336"/>
      <c r="D95" s="2337"/>
      <c r="K95" s="795"/>
      <c r="L95" s="795"/>
    </row>
    <row r="96" spans="1:12" s="964" customFormat="1">
      <c r="A96" s="2336"/>
      <c r="D96" s="2337"/>
      <c r="K96" s="795"/>
      <c r="L96" s="795"/>
    </row>
    <row r="97" spans="1:12" s="964" customFormat="1">
      <c r="A97" s="2336"/>
      <c r="D97" s="2337"/>
      <c r="K97" s="795"/>
      <c r="L97" s="795"/>
    </row>
    <row r="98" spans="1:12" s="964" customFormat="1">
      <c r="A98" s="2336"/>
      <c r="D98" s="2337"/>
      <c r="K98" s="795"/>
      <c r="L98" s="795"/>
    </row>
    <row r="99" spans="1:12" s="964" customFormat="1">
      <c r="A99" s="2336"/>
      <c r="D99" s="2337"/>
      <c r="K99" s="795"/>
      <c r="L99" s="795"/>
    </row>
    <row r="100" spans="1:12" s="964" customFormat="1">
      <c r="A100" s="2336"/>
      <c r="D100" s="2337"/>
      <c r="K100" s="795"/>
      <c r="L100" s="795"/>
    </row>
    <row r="101" spans="1:12" s="964" customFormat="1">
      <c r="A101" s="2336"/>
      <c r="D101" s="2337"/>
      <c r="K101" s="795"/>
      <c r="L101" s="795"/>
    </row>
    <row r="102" spans="1:12" s="964" customFormat="1">
      <c r="A102" s="2336"/>
      <c r="D102" s="2337"/>
      <c r="K102" s="795"/>
      <c r="L102" s="795"/>
    </row>
    <row r="103" spans="1:12" s="964" customFormat="1">
      <c r="A103" s="2336"/>
      <c r="D103" s="2337"/>
      <c r="K103" s="795"/>
      <c r="L103" s="795"/>
    </row>
    <row r="104" spans="1:12" s="964" customFormat="1">
      <c r="A104" s="2336"/>
      <c r="D104" s="2337"/>
      <c r="K104" s="795"/>
      <c r="L104" s="795"/>
    </row>
    <row r="105" spans="1:12" s="964" customFormat="1">
      <c r="A105" s="2336"/>
      <c r="D105" s="2337"/>
      <c r="K105" s="795"/>
      <c r="L105" s="795"/>
    </row>
    <row r="106" spans="1:12" s="964" customFormat="1">
      <c r="A106" s="2336"/>
      <c r="D106" s="2337"/>
      <c r="K106" s="795"/>
      <c r="L106" s="795"/>
    </row>
    <row r="107" spans="1:12" s="964" customFormat="1">
      <c r="A107" s="2336"/>
      <c r="D107" s="2337"/>
      <c r="K107" s="795"/>
      <c r="L107" s="795"/>
    </row>
    <row r="108" spans="1:12" s="964" customFormat="1">
      <c r="A108" s="2336"/>
      <c r="D108" s="2337"/>
      <c r="K108" s="795"/>
      <c r="L108" s="795"/>
    </row>
    <row r="109" spans="1:12" s="964" customFormat="1">
      <c r="A109" s="2336"/>
      <c r="D109" s="2337"/>
      <c r="K109" s="795"/>
      <c r="L109" s="795"/>
    </row>
    <row r="110" spans="1:12" s="964" customFormat="1">
      <c r="A110" s="2336"/>
      <c r="D110" s="2337"/>
      <c r="K110" s="795"/>
      <c r="L110" s="795"/>
    </row>
    <row r="111" spans="1:12" s="964" customFormat="1">
      <c r="A111" s="2336"/>
      <c r="D111" s="2337"/>
      <c r="K111" s="795"/>
      <c r="L111" s="795"/>
    </row>
    <row r="112" spans="1:12" s="964" customFormat="1">
      <c r="A112" s="2336"/>
      <c r="D112" s="2337"/>
      <c r="K112" s="795"/>
      <c r="L112" s="795"/>
    </row>
    <row r="113" spans="1:12" s="964" customFormat="1">
      <c r="A113" s="2336"/>
      <c r="D113" s="2337"/>
      <c r="K113" s="795"/>
      <c r="L113" s="795"/>
    </row>
    <row r="114" spans="1:12" s="964" customFormat="1">
      <c r="A114" s="2336"/>
      <c r="D114" s="2337"/>
      <c r="K114" s="795"/>
      <c r="L114" s="795"/>
    </row>
    <row r="115" spans="1:12" s="964" customFormat="1">
      <c r="A115" s="2336"/>
      <c r="D115" s="2337"/>
      <c r="K115" s="795"/>
      <c r="L115" s="795"/>
    </row>
    <row r="116" spans="1:12" s="964" customFormat="1">
      <c r="A116" s="2336"/>
      <c r="D116" s="2337"/>
      <c r="K116" s="795"/>
      <c r="L116" s="795"/>
    </row>
    <row r="117" spans="1:12" s="964" customFormat="1">
      <c r="A117" s="2336"/>
      <c r="D117" s="2337"/>
      <c r="K117" s="795"/>
      <c r="L117" s="795"/>
    </row>
    <row r="118" spans="1:12" s="964" customFormat="1">
      <c r="A118" s="2336"/>
      <c r="D118" s="2337"/>
      <c r="K118" s="795"/>
      <c r="L118" s="795"/>
    </row>
    <row r="119" spans="1:12" s="964" customFormat="1">
      <c r="A119" s="2336"/>
      <c r="D119" s="2337"/>
      <c r="K119" s="795"/>
      <c r="L119" s="795"/>
    </row>
    <row r="120" spans="1:12" s="964" customFormat="1">
      <c r="A120" s="2336"/>
      <c r="D120" s="2337"/>
      <c r="K120" s="795"/>
      <c r="L120" s="795"/>
    </row>
    <row r="121" spans="1:12" s="964" customFormat="1">
      <c r="A121" s="2336"/>
      <c r="D121" s="2337"/>
      <c r="K121" s="795"/>
      <c r="L121" s="795"/>
    </row>
    <row r="122" spans="1:12" s="964" customFormat="1">
      <c r="A122" s="2336"/>
      <c r="D122" s="2337"/>
      <c r="K122" s="795"/>
      <c r="L122" s="795"/>
    </row>
    <row r="123" spans="1:12" s="964" customFormat="1">
      <c r="A123" s="2336"/>
      <c r="D123" s="2337"/>
      <c r="K123" s="795"/>
      <c r="L123" s="795"/>
    </row>
    <row r="124" spans="1:12" s="964" customFormat="1">
      <c r="A124" s="2336"/>
      <c r="D124" s="2337"/>
      <c r="K124" s="795"/>
      <c r="L124" s="795"/>
    </row>
    <row r="125" spans="1:12" s="964" customFormat="1">
      <c r="A125" s="2336"/>
      <c r="D125" s="2337"/>
      <c r="K125" s="795"/>
      <c r="L125" s="795"/>
    </row>
    <row r="126" spans="1:12" s="964" customFormat="1">
      <c r="A126" s="2336"/>
      <c r="D126" s="2337"/>
      <c r="K126" s="795"/>
      <c r="L126" s="795"/>
    </row>
    <row r="127" spans="1:12" s="964" customFormat="1">
      <c r="A127" s="2336"/>
      <c r="D127" s="2337"/>
      <c r="K127" s="795"/>
      <c r="L127" s="795"/>
    </row>
    <row r="128" spans="1:12" s="964" customFormat="1">
      <c r="A128" s="2336"/>
      <c r="D128" s="2337"/>
      <c r="K128" s="795"/>
      <c r="L128" s="795"/>
    </row>
    <row r="129" spans="1:12" s="964" customFormat="1">
      <c r="A129" s="2336"/>
      <c r="D129" s="2337"/>
      <c r="K129" s="795"/>
      <c r="L129" s="795"/>
    </row>
    <row r="130" spans="1:12" s="964" customFormat="1">
      <c r="A130" s="2336"/>
      <c r="D130" s="2337"/>
      <c r="K130" s="795"/>
      <c r="L130" s="795"/>
    </row>
    <row r="131" spans="1:12" s="964" customFormat="1">
      <c r="A131" s="2336"/>
      <c r="D131" s="2337"/>
      <c r="K131" s="795"/>
      <c r="L131" s="795"/>
    </row>
    <row r="132" spans="1:12" s="964" customFormat="1">
      <c r="A132" s="2336"/>
      <c r="D132" s="2337"/>
      <c r="K132" s="795"/>
      <c r="L132" s="795"/>
    </row>
    <row r="133" spans="1:12" s="964" customFormat="1">
      <c r="A133" s="2336"/>
      <c r="D133" s="2337"/>
      <c r="K133" s="795"/>
      <c r="L133" s="795"/>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335" t="s">
        <v>2081</v>
      </c>
      <c r="B1" s="3336"/>
      <c r="C1" s="3336"/>
      <c r="D1" s="3336"/>
      <c r="E1" s="3336"/>
      <c r="F1" s="3336"/>
      <c r="G1" s="3336"/>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54">
      <c r="A3" s="414" t="s">
        <v>2084</v>
      </c>
      <c r="B3" s="1267" t="s">
        <v>2085</v>
      </c>
      <c r="C3" s="2365" t="s">
        <v>2086</v>
      </c>
      <c r="D3" s="2366"/>
      <c r="E3" s="430" t="s">
        <v>2084</v>
      </c>
      <c r="F3" s="2367" t="s">
        <v>2087</v>
      </c>
      <c r="G3" s="2368" t="s">
        <v>2088</v>
      </c>
      <c r="H3" s="2363"/>
      <c r="I3" s="2363"/>
      <c r="J3" s="2363"/>
      <c r="K3" s="2363"/>
      <c r="L3" s="2363"/>
      <c r="M3" s="2363"/>
      <c r="N3" s="2363"/>
      <c r="O3" s="2363"/>
      <c r="P3" s="2363"/>
      <c r="Q3" s="2363"/>
      <c r="R3" s="2363"/>
    </row>
    <row r="4" spans="1:29" ht="41.25">
      <c r="A4" s="430"/>
      <c r="B4" s="1794" t="s">
        <v>2089</v>
      </c>
      <c r="C4" s="2369" t="s">
        <v>2090</v>
      </c>
      <c r="D4" s="2366"/>
      <c r="E4" s="2370"/>
      <c r="F4" s="41" t="s">
        <v>2091</v>
      </c>
      <c r="G4" s="2371" t="s">
        <v>2092</v>
      </c>
      <c r="H4" s="2363"/>
      <c r="I4" s="2363"/>
      <c r="J4" s="2363"/>
      <c r="K4" s="2363"/>
      <c r="L4" s="2363"/>
      <c r="M4" s="2363"/>
      <c r="N4" s="2363"/>
      <c r="O4" s="2363"/>
      <c r="P4" s="2363"/>
      <c r="Q4" s="2363"/>
      <c r="R4" s="2363"/>
    </row>
    <row r="5" spans="1:29" ht="41.25">
      <c r="A5" s="430"/>
      <c r="B5" s="1794" t="s">
        <v>2093</v>
      </c>
      <c r="C5" s="2369" t="s">
        <v>2094</v>
      </c>
      <c r="D5" s="2366"/>
      <c r="E5" s="2370"/>
      <c r="F5" s="1794" t="s">
        <v>2095</v>
      </c>
      <c r="G5" s="2371" t="s">
        <v>2096</v>
      </c>
      <c r="H5" s="2363"/>
      <c r="I5" s="2363"/>
      <c r="J5" s="2363"/>
      <c r="K5" s="2363"/>
      <c r="L5" s="2363"/>
      <c r="M5" s="2363"/>
      <c r="N5" s="2363"/>
      <c r="O5" s="2363"/>
      <c r="P5" s="2363"/>
      <c r="Q5" s="2363"/>
      <c r="R5" s="2363"/>
    </row>
    <row r="6" spans="1:29" ht="54">
      <c r="A6" s="430"/>
      <c r="B6" s="1794" t="s">
        <v>2097</v>
      </c>
      <c r="C6" s="2371" t="s">
        <v>2092</v>
      </c>
      <c r="D6" s="2366"/>
      <c r="E6" s="2370"/>
      <c r="F6" s="1794" t="s">
        <v>2098</v>
      </c>
      <c r="G6" s="2371" t="s">
        <v>2099</v>
      </c>
      <c r="H6" s="2363"/>
      <c r="I6" s="2363"/>
      <c r="J6" s="2363"/>
      <c r="K6" s="2363"/>
      <c r="L6" s="2363"/>
      <c r="M6" s="2363"/>
      <c r="N6" s="2363"/>
      <c r="O6" s="2363"/>
      <c r="P6" s="2363"/>
      <c r="Q6" s="2363"/>
      <c r="R6" s="2363"/>
    </row>
    <row r="7" spans="1:29" ht="41.25" thickBot="1">
      <c r="A7" s="430"/>
      <c r="B7" s="1794" t="s">
        <v>2095</v>
      </c>
      <c r="C7" s="2371" t="s">
        <v>2096</v>
      </c>
      <c r="D7" s="2372"/>
      <c r="E7" s="2373"/>
      <c r="F7" s="2374" t="s">
        <v>2100</v>
      </c>
      <c r="G7" s="2375" t="s">
        <v>2101</v>
      </c>
      <c r="H7" s="2363"/>
      <c r="I7" s="2363"/>
      <c r="J7" s="2363"/>
      <c r="K7" s="2363"/>
      <c r="L7" s="2363"/>
      <c r="M7" s="2363"/>
      <c r="N7" s="2363"/>
      <c r="O7" s="2363"/>
      <c r="P7" s="2363"/>
      <c r="Q7" s="2363"/>
      <c r="R7" s="2363"/>
    </row>
    <row r="8" spans="1:29" ht="27">
      <c r="A8" s="430"/>
      <c r="B8" s="1794" t="s">
        <v>2098</v>
      </c>
      <c r="C8" s="2371" t="s">
        <v>2099</v>
      </c>
      <c r="D8" s="2372"/>
      <c r="E8" s="2372"/>
      <c r="F8" s="1133"/>
      <c r="G8" s="1133"/>
      <c r="H8" s="2363"/>
      <c r="I8" s="2363"/>
      <c r="J8" s="2363"/>
      <c r="K8" s="2363"/>
      <c r="L8" s="2363"/>
      <c r="M8" s="2363"/>
      <c r="N8" s="2363"/>
      <c r="O8" s="2363"/>
      <c r="P8" s="2363"/>
      <c r="Q8" s="2363"/>
      <c r="R8" s="2363"/>
    </row>
    <row r="9" spans="1:29" ht="27">
      <c r="A9" s="430"/>
      <c r="B9" s="1794" t="s">
        <v>2102</v>
      </c>
      <c r="C9" s="2369" t="s">
        <v>2103</v>
      </c>
      <c r="D9" s="2366"/>
      <c r="E9" s="2372"/>
      <c r="F9" s="1133"/>
      <c r="G9" s="1133"/>
      <c r="H9" s="2363"/>
      <c r="I9" s="2363"/>
      <c r="J9" s="2363"/>
      <c r="K9" s="2363"/>
      <c r="L9" s="2363"/>
      <c r="M9" s="2363"/>
      <c r="N9" s="2363"/>
      <c r="O9" s="2363"/>
      <c r="P9" s="2363"/>
      <c r="Q9" s="2363"/>
      <c r="R9" s="2363"/>
    </row>
    <row r="10" spans="1:29" s="116" customFormat="1" ht="15.75" thickBot="1">
      <c r="A10" s="2376"/>
      <c r="B10" s="2377" t="s">
        <v>2104</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2105</v>
      </c>
      <c r="B13" s="2383"/>
      <c r="C13" s="2383"/>
      <c r="D13" s="2390"/>
      <c r="E13" s="2383"/>
      <c r="F13" s="2383"/>
      <c r="G13" s="2383"/>
    </row>
    <row r="14" spans="1:29" ht="15.75" thickBot="1">
      <c r="A14" s="2394"/>
      <c r="B14" s="2395"/>
      <c r="C14" s="2396" t="s">
        <v>2106</v>
      </c>
      <c r="D14" s="2366"/>
      <c r="E14" s="2397"/>
      <c r="F14" s="2397"/>
      <c r="G14" s="2360" t="s">
        <v>2107</v>
      </c>
    </row>
    <row r="15" spans="1:29" ht="57">
      <c r="A15" s="67" t="s">
        <v>2108</v>
      </c>
      <c r="B15" s="1266" t="s">
        <v>2085</v>
      </c>
      <c r="C15" s="2398" t="str">
        <f>C3</f>
        <v>估价对象周边居住用地比例、居住小区规模和社区发展完善程度，综合评价居住社区成熟度一般</v>
      </c>
      <c r="D15" s="2366"/>
      <c r="E15" s="2399" t="s">
        <v>2109</v>
      </c>
      <c r="F15" s="1266" t="s">
        <v>2110</v>
      </c>
      <c r="G15" s="134" t="str">
        <f>G3</f>
        <v>估价对象位于XX开发区，园区建设成熟度XX，产业集聚程度XX</v>
      </c>
    </row>
    <row r="16" spans="1:29" ht="42.75">
      <c r="A16" s="644"/>
      <c r="B16" s="2400" t="s">
        <v>2089</v>
      </c>
      <c r="C16" s="2401" t="str">
        <f>C4</f>
        <v>估价对象位于XX商圈，周边商业氛围成熟，人流量大，商业繁华度好</v>
      </c>
      <c r="D16" s="2366"/>
      <c r="E16" s="2402"/>
      <c r="F16" s="2403" t="s">
        <v>2091</v>
      </c>
      <c r="G16" s="135" t="str">
        <f>G4</f>
        <v>估价对象周边道路状况、公共交通通达情况、停车便捷程度，综合评价交通便捷度较好</v>
      </c>
    </row>
    <row r="17" spans="1:18" ht="42.75">
      <c r="A17" s="644"/>
      <c r="B17" s="2400" t="s">
        <v>2093</v>
      </c>
      <c r="C17" s="2401" t="str">
        <f>C5</f>
        <v>估价对象位于XX商圈，周边办公楼项目较多，入驻率高，办公集聚程度较好</v>
      </c>
      <c r="D17" s="2372"/>
      <c r="E17" s="2402"/>
      <c r="F17" s="2403" t="s">
        <v>2111</v>
      </c>
      <c r="G17" s="1568"/>
    </row>
    <row r="18" spans="1:18" ht="57">
      <c r="A18" s="644"/>
      <c r="B18" s="2403" t="s">
        <v>2097</v>
      </c>
      <c r="C18" s="135" t="str">
        <f>C6</f>
        <v>估价对象周边道路状况、公共交通通达情况、停车便捷程度，综合评价交通便捷度较好</v>
      </c>
      <c r="D18" s="2372"/>
      <c r="E18" s="2402"/>
      <c r="F18" s="2403" t="s">
        <v>2100</v>
      </c>
      <c r="G18" s="135" t="str">
        <f>G7</f>
        <v>该园区内是否有污染型企业，绿化情况，卫生条件，整体环境状况判断</v>
      </c>
    </row>
    <row r="19" spans="1:18" ht="28.5">
      <c r="A19" s="644"/>
      <c r="B19" s="2403" t="s">
        <v>2112</v>
      </c>
      <c r="C19" s="1568"/>
      <c r="D19" s="2366"/>
      <c r="E19" s="2402"/>
      <c r="F19" s="1794" t="s">
        <v>2095</v>
      </c>
      <c r="G19" s="135" t="str">
        <f>G5</f>
        <v>估价对象所在区域公共配套设施齐备情况</v>
      </c>
    </row>
    <row r="20" spans="1:18" ht="28.5">
      <c r="A20" s="644"/>
      <c r="B20" s="2403" t="s">
        <v>2113</v>
      </c>
      <c r="C20" s="2401" t="str">
        <f>C9</f>
        <v>区域自然环境：；人文环境；综合评价环境状况一般</v>
      </c>
      <c r="D20" s="2372"/>
      <c r="E20" s="2402"/>
      <c r="F20" s="1794" t="s">
        <v>2114</v>
      </c>
      <c r="G20" s="135" t="str">
        <f>G6</f>
        <v>估价对象所在区域基础设施水平</v>
      </c>
    </row>
    <row r="21" spans="1:18" ht="28.5">
      <c r="A21" s="644"/>
      <c r="B21" s="1794" t="s">
        <v>2095</v>
      </c>
      <c r="C21" s="135" t="str">
        <f>C7</f>
        <v>估价对象所在区域公共配套设施齐备情况</v>
      </c>
      <c r="D21" s="2366"/>
      <c r="E21" s="2402"/>
      <c r="F21" s="2403" t="s">
        <v>2115</v>
      </c>
      <c r="G21" s="2404"/>
    </row>
    <row r="22" spans="1:18" ht="13.5" customHeight="1">
      <c r="A22" s="644"/>
      <c r="B22" s="1794" t="s">
        <v>2098</v>
      </c>
      <c r="C22" s="135" t="str">
        <f>C8</f>
        <v>估价对象所在区域基础设施水平</v>
      </c>
      <c r="D22" s="2366"/>
      <c r="E22" s="2402"/>
      <c r="F22" s="2403" t="s">
        <v>2104</v>
      </c>
      <c r="G22" s="1568"/>
    </row>
    <row r="23" spans="1:18" s="2363" customFormat="1" ht="15.75" thickBot="1">
      <c r="A23" s="644"/>
      <c r="B23" s="2403" t="s">
        <v>2115</v>
      </c>
      <c r="C23" s="2404"/>
      <c r="D23" s="2391"/>
      <c r="E23" s="2405"/>
      <c r="F23" s="2406" t="s">
        <v>2116</v>
      </c>
      <c r="G23" s="2407"/>
      <c r="H23" s="2391"/>
      <c r="I23" s="2392"/>
      <c r="J23" s="2391"/>
      <c r="K23" s="2391"/>
      <c r="L23" s="2392"/>
      <c r="M23" s="2391"/>
      <c r="N23" s="2391"/>
      <c r="O23" s="2392"/>
      <c r="P23" s="2391"/>
      <c r="Q23" s="2391"/>
      <c r="R23" s="2393"/>
    </row>
    <row r="24" spans="1:18" s="2363" customFormat="1" ht="15.75" thickBot="1">
      <c r="A24" s="2408"/>
      <c r="B24" s="2406" t="s">
        <v>2117</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H17"/>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16929.979999999996</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43553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63143</v>
      </c>
      <c r="C5" s="1742">
        <f ca="1">ROUND(B5*10000/$B$1,0)</f>
        <v>37297</v>
      </c>
      <c r="D5" s="1742" t="e">
        <f ca="1">ROUND(B5*10000/$B$2,0)</f>
        <v>#DIV/0!</v>
      </c>
      <c r="E5" s="1741"/>
      <c r="F5" s="1739"/>
      <c r="G5" s="1739"/>
    </row>
    <row r="6" spans="1:10" ht="16.5">
      <c r="A6" s="1742" t="s">
        <v>1352</v>
      </c>
      <c r="B6" s="1742">
        <f ca="1">SUM(G14:G23)</f>
        <v>63143</v>
      </c>
      <c r="C6" s="1742">
        <f ca="1">ROUND(B6*10000/$B$1,0)</f>
        <v>37297</v>
      </c>
      <c r="D6" s="1742" t="e">
        <f ca="1">ROUND(B6*10000/$B$2,0)</f>
        <v>#DIV/0!</v>
      </c>
      <c r="E6" s="1741"/>
      <c r="F6" s="1739"/>
      <c r="G6" s="1739"/>
    </row>
    <row r="7" spans="1:10" ht="16.5">
      <c r="A7" s="1742" t="s">
        <v>1360</v>
      </c>
      <c r="B7" s="1742">
        <f ca="1">SUM(H14:H23)</f>
        <v>63143</v>
      </c>
      <c r="C7" s="1742">
        <f ca="1">ROUND(B7*10000/$B$1,0)</f>
        <v>37297</v>
      </c>
      <c r="D7" s="1742" t="e">
        <f ca="1">ROUND(B7*10000/$B$2,0)</f>
        <v>#DIV/0!</v>
      </c>
      <c r="E7" s="1741"/>
      <c r="F7" s="1739"/>
      <c r="G7" s="1739"/>
    </row>
    <row r="8" spans="1:10" ht="16.5">
      <c r="A8" s="1742" t="s">
        <v>1281</v>
      </c>
      <c r="B8" s="1742">
        <f>SUM(I14:I23)</f>
        <v>0</v>
      </c>
      <c r="C8" s="1742">
        <f>ROUND(B8*10000/$B$1,0)</f>
        <v>0</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'结果表（办公）'!B118</f>
        <v>16929.979999999996</v>
      </c>
      <c r="C14" s="1740">
        <f>'结果表（办公）'!C118</f>
        <v>0</v>
      </c>
      <c r="D14" s="1740">
        <f ca="1">'结果表（办公）'!H118</f>
        <v>63143</v>
      </c>
      <c r="E14" s="1740">
        <f ca="1">ROUND(D14*10000/B14,0)</f>
        <v>37297</v>
      </c>
      <c r="F14" s="1740" t="e">
        <f ca="1">ROUND(D14*10000/C14,0)</f>
        <v>#DIV/0!</v>
      </c>
      <c r="G14" s="1740">
        <f ca="1">'结果表（办公）'!D122</f>
        <v>63143</v>
      </c>
      <c r="H14" s="1740">
        <f ca="1">'结果表（办公）'!D124</f>
        <v>63143</v>
      </c>
      <c r="I14" s="1740" t="str">
        <f>'结果表（办公）'!D126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6"/>
      <c r="C1" s="2551" t="s">
        <v>2430</v>
      </c>
      <c r="D1" s="241"/>
      <c r="E1" s="241"/>
      <c r="F1" s="241"/>
      <c r="G1" s="1378">
        <f>MATCH(B1,'数据-取费表'!A6:A16,0)+5</f>
        <v>8</v>
      </c>
      <c r="H1" s="1281" t="str">
        <f>IF(ISERROR(FIND("住宅",B1)),"非住宅","住宅")</f>
        <v>非住宅</v>
      </c>
    </row>
    <row r="2" spans="1:8" s="243" customFormat="1" ht="18" customHeight="1">
      <c r="A2" s="244" t="s">
        <v>2329</v>
      </c>
      <c r="B2" s="245">
        <f ca="1">ROUND(IF(D2="——",C52/10000,C52/10000-E2),0)</f>
        <v>12799</v>
      </c>
      <c r="C2" s="242" t="s">
        <v>2330</v>
      </c>
      <c r="D2" s="2545" t="s">
        <v>70</v>
      </c>
      <c r="E2" s="1439" t="e">
        <f ca="1">SUMIF(INDIRECT("'"&amp;G2&amp;"'"&amp;"!A:A"),"承租人权益价值",INDIRECT("'"&amp;G2&amp;"'"&amp;"!c:c"))</f>
        <v>#REF!</v>
      </c>
      <c r="F2" s="2546" t="s">
        <v>2330</v>
      </c>
      <c r="G2" s="2547"/>
    </row>
    <row r="3" spans="1:8" s="243" customFormat="1" ht="18" customHeight="1" thickBot="1">
      <c r="A3" s="246" t="s">
        <v>2331</v>
      </c>
      <c r="B3" s="247">
        <f ca="1">ROUND(B2*10000/(IF(B1="",'数据-汇总表'!E3,INDIRECT("'数据-取费表'!k"&amp;$G$1))),0)</f>
        <v>7560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3385996</v>
      </c>
      <c r="D5" s="254" t="s">
        <v>2336</v>
      </c>
      <c r="E5" s="255" t="s">
        <v>2337</v>
      </c>
      <c r="F5" s="255" t="s">
        <v>2338</v>
      </c>
      <c r="G5" s="256"/>
    </row>
    <row r="6" spans="1:8" s="257" customFormat="1" ht="13.5" customHeight="1">
      <c r="A6" s="949" t="s">
        <v>2339</v>
      </c>
      <c r="B6" s="258" t="s">
        <v>2340</v>
      </c>
      <c r="C6" s="259"/>
      <c r="D6" s="260"/>
      <c r="E6" s="261"/>
      <c r="F6" s="261"/>
      <c r="G6" s="262"/>
    </row>
    <row r="7" spans="1:8" s="257" customFormat="1" ht="13.5" customHeight="1">
      <c r="A7" s="949" t="s">
        <v>2341</v>
      </c>
      <c r="B7" s="258" t="s">
        <v>2342</v>
      </c>
      <c r="C7" s="263">
        <f>ROUND(C6*F7,0)</f>
        <v>0</v>
      </c>
      <c r="D7" s="263"/>
      <c r="E7" s="261"/>
      <c r="F7" s="264">
        <f>'数据-取费表'!B48+'数据-取费表'!B49</f>
        <v>3.0499999999999999E-2</v>
      </c>
      <c r="G7" s="262"/>
    </row>
    <row r="8" spans="1:8" s="266" customFormat="1">
      <c r="A8" s="949" t="s">
        <v>2343</v>
      </c>
      <c r="B8" s="258" t="s">
        <v>2344</v>
      </c>
      <c r="C8" s="263">
        <f ca="1">IF(G8="已包含在土地购买价格中",0,C9+C10)</f>
        <v>3385996</v>
      </c>
      <c r="D8" s="265"/>
      <c r="E8" s="263"/>
      <c r="F8" s="264"/>
      <c r="G8" s="2548"/>
    </row>
    <row r="9" spans="1:8" s="257" customFormat="1" ht="13.5" customHeight="1">
      <c r="A9" s="950" t="s">
        <v>800</v>
      </c>
      <c r="B9" s="267" t="s">
        <v>2345</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2347</v>
      </c>
      <c r="C10" s="268">
        <f ca="1">ROUND(D10*E10,0)</f>
        <v>3385996</v>
      </c>
      <c r="D10" s="1032">
        <f ca="1">IF(B1="",'数据-汇总表'!E6,IF(INDIRECT("'数据-取费表'!c"&amp;$G$1)="住宅",INDIRECT("'数据-取费表'!s"&amp;$G$1),INDIRECT("'数据-取费表'!k"&amp;$G$1)+INDIRECT("'数据-取费表'!s"&amp;$G$1)))</f>
        <v>16929.979999999996</v>
      </c>
      <c r="E10" s="268">
        <f>'数据-取费表'!B28</f>
        <v>200</v>
      </c>
      <c r="F10" s="264"/>
      <c r="G10" s="269"/>
    </row>
    <row r="11" spans="1:8" s="257" customFormat="1" ht="13.5" hidden="1" customHeight="1">
      <c r="A11" s="270" t="s">
        <v>7</v>
      </c>
      <c r="B11" s="258" t="s">
        <v>2348</v>
      </c>
      <c r="C11" s="254"/>
      <c r="D11" s="1034"/>
      <c r="E11" s="261"/>
      <c r="F11" s="261"/>
      <c r="G11" s="262"/>
    </row>
    <row r="12" spans="1:8" s="257" customFormat="1" ht="13.5" hidden="1" customHeight="1">
      <c r="A12" s="270" t="s">
        <v>8</v>
      </c>
      <c r="B12" s="258" t="s">
        <v>2431</v>
      </c>
      <c r="C12" s="254">
        <v>0</v>
      </c>
      <c r="D12" s="1034"/>
      <c r="E12" s="271"/>
      <c r="F12" s="264">
        <v>3.0499999999999999E-2</v>
      </c>
      <c r="G12" s="262"/>
    </row>
    <row r="13" spans="1:8" s="257" customFormat="1" ht="13.5" hidden="1" customHeight="1">
      <c r="A13" s="270" t="s">
        <v>9</v>
      </c>
      <c r="B13" s="258" t="s">
        <v>2432</v>
      </c>
      <c r="C13" s="254"/>
      <c r="D13" s="1034"/>
      <c r="E13" s="261"/>
      <c r="F13" s="261"/>
      <c r="G13" s="262"/>
    </row>
    <row r="14" spans="1:8" s="257" customFormat="1" ht="13.5" hidden="1" customHeight="1">
      <c r="A14" s="270" t="s">
        <v>10</v>
      </c>
      <c r="B14" s="258" t="s">
        <v>2344</v>
      </c>
      <c r="C14" s="254"/>
      <c r="D14" s="1034"/>
      <c r="E14" s="261"/>
      <c r="F14" s="261"/>
      <c r="G14" s="262" t="s">
        <v>2433</v>
      </c>
    </row>
    <row r="15" spans="1:8" s="257" customFormat="1" ht="13.5" hidden="1" customHeight="1">
      <c r="A15" s="270" t="s">
        <v>11</v>
      </c>
      <c r="B15" s="258" t="s">
        <v>2434</v>
      </c>
      <c r="C15" s="263"/>
      <c r="D15" s="1034"/>
      <c r="E15" s="261"/>
      <c r="F15" s="261"/>
      <c r="G15" s="262" t="s">
        <v>2435</v>
      </c>
    </row>
    <row r="16" spans="1:8" s="257" customFormat="1" ht="13.5" hidden="1" customHeight="1">
      <c r="A16" s="270" t="s">
        <v>12</v>
      </c>
      <c r="B16" s="258" t="s">
        <v>2344</v>
      </c>
      <c r="C16" s="263"/>
      <c r="D16" s="1034"/>
      <c r="E16" s="261"/>
      <c r="F16" s="261"/>
      <c r="G16" s="262"/>
    </row>
    <row r="17" spans="1:7" s="257" customFormat="1" ht="13.5" hidden="1" customHeight="1">
      <c r="A17" s="270" t="s">
        <v>13</v>
      </c>
      <c r="B17" s="258" t="s">
        <v>2436</v>
      </c>
      <c r="C17" s="272"/>
      <c r="D17" s="1035"/>
      <c r="E17" s="272"/>
      <c r="F17" s="272"/>
      <c r="G17" s="262" t="s">
        <v>2435</v>
      </c>
    </row>
    <row r="18" spans="1:7" s="257" customFormat="1" ht="13.5" hidden="1" customHeight="1">
      <c r="A18" s="270" t="s">
        <v>14</v>
      </c>
      <c r="B18" s="258" t="s">
        <v>2437</v>
      </c>
      <c r="C18" s="263">
        <v>0</v>
      </c>
      <c r="D18" s="1034"/>
      <c r="E18" s="261"/>
      <c r="F18" s="264">
        <v>3.0499999999999999E-2</v>
      </c>
      <c r="G18" s="262" t="s">
        <v>2438</v>
      </c>
    </row>
    <row r="19" spans="1:7" s="266" customFormat="1" ht="13.5" customHeight="1">
      <c r="A19" s="298" t="s">
        <v>2439</v>
      </c>
      <c r="B19" s="253" t="s">
        <v>2440</v>
      </c>
      <c r="C19" s="254">
        <f ca="1">IF(G19="已包含在土地取得成本中","0",ROUND(D19*E19,0))</f>
        <v>3385996</v>
      </c>
      <c r="D19" s="1036">
        <f ca="1">D9+D10</f>
        <v>16929.979999999996</v>
      </c>
      <c r="E19" s="254">
        <f>'数据-取费表'!B31</f>
        <v>200</v>
      </c>
      <c r="F19" s="274"/>
      <c r="G19" s="2548"/>
    </row>
    <row r="20" spans="1:7" s="257" customFormat="1" ht="13.5" customHeight="1">
      <c r="A20" s="298" t="s">
        <v>2441</v>
      </c>
      <c r="B20" s="253" t="s">
        <v>2442</v>
      </c>
      <c r="C20" s="275">
        <f ca="1">ROUND((C5+C19)*F20,0)</f>
        <v>203160</v>
      </c>
      <c r="D20" s="275"/>
      <c r="E20" s="275"/>
      <c r="F20" s="276">
        <f>'数据-取费表'!B37</f>
        <v>0.03</v>
      </c>
      <c r="G20" s="277" t="s">
        <v>2443</v>
      </c>
    </row>
    <row r="21" spans="1:7" s="257" customFormat="1" ht="13.5" customHeight="1">
      <c r="A21" s="298" t="s">
        <v>2444</v>
      </c>
      <c r="B21" s="253" t="s">
        <v>2445</v>
      </c>
      <c r="C21" s="278">
        <f>F21</f>
        <v>0.03</v>
      </c>
      <c r="D21" s="279" t="s">
        <v>2446</v>
      </c>
      <c r="E21" s="275"/>
      <c r="F21" s="276">
        <f>'数据-取费表'!B38</f>
        <v>0.03</v>
      </c>
      <c r="G21" s="277" t="s">
        <v>2447</v>
      </c>
    </row>
    <row r="22" spans="1:7" s="257" customFormat="1" ht="13.5" customHeight="1">
      <c r="A22" s="298" t="s">
        <v>2448</v>
      </c>
      <c r="B22" s="253" t="s">
        <v>2449</v>
      </c>
      <c r="C22" s="1379">
        <f ca="1">ROUND(SUM(C23:C25),0)</f>
        <v>149499</v>
      </c>
      <c r="D22" s="278">
        <f ca="1">C26</f>
        <v>2.9999999999999997E-4</v>
      </c>
      <c r="E22" s="279" t="s">
        <v>2446</v>
      </c>
      <c r="F22" s="280">
        <f ca="1">'数据-取费表'!B40</f>
        <v>4.3499999999999997E-2</v>
      </c>
      <c r="G22" s="277" t="str">
        <f>IF('数据-取费表'!B22&lt;=1,"单利计息","复利计息")</f>
        <v>单利计息</v>
      </c>
    </row>
    <row r="23" spans="1:7" s="257" customFormat="1" ht="13.5" customHeight="1">
      <c r="A23" s="951" t="s">
        <v>2339</v>
      </c>
      <c r="B23" s="258" t="s">
        <v>2450</v>
      </c>
      <c r="C23" s="1380">
        <f ca="1">ROUND(IF('数据-取费表'!B22&lt;=1,C5*F22*'数据-取费表'!B22,C5*(POWER((1+F22),'数据-取费表'!B22)-1)),0)</f>
        <v>73645</v>
      </c>
      <c r="D23" s="281"/>
      <c r="E23" s="281"/>
      <c r="F23" s="282"/>
      <c r="G23" s="283" t="s">
        <v>2451</v>
      </c>
    </row>
    <row r="24" spans="1:7" s="257" customFormat="1" ht="13.5" customHeight="1">
      <c r="A24" s="951" t="s">
        <v>2341</v>
      </c>
      <c r="B24" s="258" t="s">
        <v>2452</v>
      </c>
      <c r="C24" s="1380">
        <f ca="1">ROUND(IF('数据-取费表'!B22&lt;=1,C19*F22*('数据-取费表'!B19/2+'数据-取费表'!B20),C19*(POWER((1+F22),('数据-取费表'!B19/2+'数据-取费表'!B20))-1)),0)</f>
        <v>73645</v>
      </c>
      <c r="D24" s="281"/>
      <c r="E24" s="281"/>
      <c r="F24" s="282"/>
      <c r="G24" s="283" t="s">
        <v>2453</v>
      </c>
    </row>
    <row r="25" spans="1:7" s="257" customFormat="1" ht="24">
      <c r="A25" s="951" t="s">
        <v>2343</v>
      </c>
      <c r="B25" s="258" t="s">
        <v>2454</v>
      </c>
      <c r="C25" s="1380">
        <f ca="1">ROUND(IF('数据-取费表'!B22&lt;=1,C20*F22*'数据-取费表'!B22/2,C20*(POWER((1+F22),'数据-取费表'!B22/2)-1)),0)</f>
        <v>2209</v>
      </c>
      <c r="D25" s="281"/>
      <c r="E25" s="284"/>
      <c r="F25" s="282"/>
      <c r="G25" s="285" t="s">
        <v>2455</v>
      </c>
    </row>
    <row r="26" spans="1:7" s="257" customFormat="1">
      <c r="A26" s="951" t="s">
        <v>795</v>
      </c>
      <c r="B26" s="258" t="s">
        <v>2378</v>
      </c>
      <c r="C26" s="281">
        <f ca="1">ROUND(IF('数据-取费表'!B22&lt;=1,F21*F22*'数据-取费表'!B22/2,F21*(POWER((1+F22),'数据-取费表'!B22/2)-1)),4)</f>
        <v>2.9999999999999997E-4</v>
      </c>
      <c r="D26" s="281"/>
      <c r="E26" s="284"/>
      <c r="F26" s="282"/>
      <c r="G26" s="286"/>
    </row>
    <row r="27" spans="1:7" s="257" customFormat="1" ht="24.75">
      <c r="A27" s="298" t="s">
        <v>2379</v>
      </c>
      <c r="B27" s="287" t="s">
        <v>2380</v>
      </c>
      <c r="C27" s="288">
        <f ca="1">C28</f>
        <v>1743788</v>
      </c>
      <c r="D27" s="278">
        <f ca="1">C29</f>
        <v>7.4999999999999997E-3</v>
      </c>
      <c r="E27" s="279" t="s">
        <v>2381</v>
      </c>
      <c r="F27" s="289">
        <f ca="1">IF(B1="",'数据-取费表'!Q16,INDIRECT("'数据-取费表'!q"&amp;$G$1))</f>
        <v>0.25</v>
      </c>
      <c r="G27" s="290" t="s">
        <v>2382</v>
      </c>
    </row>
    <row r="28" spans="1:7" s="257" customFormat="1" ht="13.5" customHeight="1">
      <c r="A28" s="951" t="s">
        <v>791</v>
      </c>
      <c r="B28" s="291" t="s">
        <v>2383</v>
      </c>
      <c r="C28" s="292">
        <f ca="1">ROUND((C5+C19+C20)*F27,0)</f>
        <v>1743788</v>
      </c>
      <c r="D28" s="278"/>
      <c r="E28" s="279"/>
      <c r="F28" s="289"/>
      <c r="G28" s="290"/>
    </row>
    <row r="29" spans="1:7" s="257" customFormat="1" ht="13.5" customHeight="1">
      <c r="A29" s="951" t="s">
        <v>792</v>
      </c>
      <c r="B29" s="291" t="s">
        <v>2384</v>
      </c>
      <c r="C29" s="281">
        <f ca="1">ROUND(C21*F27,4)</f>
        <v>7.4999999999999997E-3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9747680</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84522926</v>
      </c>
      <c r="D33" s="275"/>
      <c r="E33" s="255"/>
      <c r="F33" s="284"/>
      <c r="G33" s="277"/>
    </row>
    <row r="34" spans="1:7" s="301" customFormat="1" ht="13.5" customHeight="1">
      <c r="A34" s="951" t="s">
        <v>791</v>
      </c>
      <c r="B34" s="258" t="s">
        <v>2392</v>
      </c>
      <c r="C34" s="263">
        <f ca="1">ROUND(IF(B1="",SUMPRODUCT('数据-取费表'!K6:K14,'数据-取费表'!L6:L14),INDIRECT("'数据-取费表'!l"&amp;$G$1)*INDIRECT("'数据-取费表'!k"&amp;$G$1)+'数据-取费表'!L14*INDIRECT("'数据-取费表'!S"&amp;$G$1)),0)</f>
        <v>76184910</v>
      </c>
      <c r="D34" s="260"/>
      <c r="E34" s="263"/>
      <c r="F34" s="300"/>
      <c r="G34" s="262"/>
    </row>
    <row r="35" spans="1:7" ht="13.5" customHeight="1">
      <c r="A35" s="951" t="s">
        <v>796</v>
      </c>
      <c r="B35" s="258" t="s">
        <v>2394</v>
      </c>
      <c r="C35" s="263">
        <f ca="1">ROUND(C34*F35,0)</f>
        <v>3809246</v>
      </c>
      <c r="D35" s="263"/>
      <c r="E35" s="263"/>
      <c r="F35" s="302">
        <f>'数据-取费表'!B33</f>
        <v>0.05</v>
      </c>
      <c r="G35" s="262" t="s">
        <v>2395</v>
      </c>
    </row>
    <row r="36" spans="1:7" ht="24">
      <c r="A36" s="951" t="s">
        <v>797</v>
      </c>
      <c r="B36" s="258" t="s">
        <v>2396</v>
      </c>
      <c r="C36" s="263">
        <f ca="1">ROUND(IF(B1="",SUM('数据-取费表'!AP6:AP13)*F36,IF(INDIRECT("'数据-取费表'!c"&amp;$G$1)="住宅",INDIRECT("'数据-取费表'!k"&amp;$G$1)*INDIRECT("'数据-取费表'!l"&amp;$G$1)*F36,0)),0)</f>
        <v>0</v>
      </c>
      <c r="D36" s="263"/>
      <c r="E36" s="263"/>
      <c r="F36" s="302">
        <f>'数据-取费表'!B34</f>
        <v>0.03</v>
      </c>
      <c r="G36" s="303" t="s">
        <v>2397</v>
      </c>
    </row>
    <row r="37" spans="1:7" s="301" customFormat="1" ht="13.5" customHeight="1">
      <c r="A37" s="951" t="s">
        <v>798</v>
      </c>
      <c r="B37" s="258" t="s">
        <v>2398</v>
      </c>
      <c r="C37" s="292">
        <f ca="1">ROUND(E37*D37,0)</f>
        <v>3385996</v>
      </c>
      <c r="D37" s="260">
        <f ca="1">D19</f>
        <v>16929.979999999996</v>
      </c>
      <c r="E37" s="292">
        <f>'数据-取费表'!B35</f>
        <v>200</v>
      </c>
      <c r="F37" s="302"/>
      <c r="G37" s="304"/>
    </row>
    <row r="38" spans="1:7" ht="13.5" customHeight="1">
      <c r="A38" s="951" t="s">
        <v>799</v>
      </c>
      <c r="B38" s="258" t="s">
        <v>2400</v>
      </c>
      <c r="C38" s="263">
        <f ca="1">ROUND(C34*F38,0)</f>
        <v>1142774</v>
      </c>
      <c r="D38" s="263"/>
      <c r="E38" s="263"/>
      <c r="F38" s="302">
        <f>'数据-取费表'!B36</f>
        <v>1.4999999999999999E-2</v>
      </c>
      <c r="G38" s="262" t="s">
        <v>2395</v>
      </c>
    </row>
    <row r="39" spans="1:7" s="257" customFormat="1" ht="13.5" customHeight="1">
      <c r="A39" s="298" t="s">
        <v>2401</v>
      </c>
      <c r="B39" s="253" t="s">
        <v>2402</v>
      </c>
      <c r="C39" s="275">
        <f ca="1">ROUND(C33*F20,0)</f>
        <v>2535688</v>
      </c>
      <c r="D39" s="275"/>
      <c r="E39" s="275"/>
      <c r="F39" s="276"/>
      <c r="G39" s="277" t="s">
        <v>2403</v>
      </c>
    </row>
    <row r="40" spans="1:7" s="257" customFormat="1" ht="13.5" customHeight="1">
      <c r="A40" s="298" t="s">
        <v>2404</v>
      </c>
      <c r="B40" s="253" t="s">
        <v>2405</v>
      </c>
      <c r="C40" s="1727">
        <f>F21</f>
        <v>0.03</v>
      </c>
      <c r="D40" s="279" t="s">
        <v>2406</v>
      </c>
      <c r="E40" s="275"/>
      <c r="F40" s="276"/>
      <c r="G40" s="277" t="s">
        <v>2407</v>
      </c>
    </row>
    <row r="41" spans="1:7" s="257" customFormat="1" ht="13.5" customHeight="1">
      <c r="A41" s="298" t="s">
        <v>2408</v>
      </c>
      <c r="B41" s="253" t="s">
        <v>2409</v>
      </c>
      <c r="C41" s="275">
        <f ca="1">ROUND(SUM(C42:C43),0)</f>
        <v>946763</v>
      </c>
      <c r="D41" s="278">
        <f ca="1">C44</f>
        <v>2.9999999999999997E-4</v>
      </c>
      <c r="E41" s="279" t="s">
        <v>2406</v>
      </c>
      <c r="F41" s="280"/>
      <c r="G41" s="277" t="str">
        <f>IF('数据-取费表'!B22&lt;=1,"单利计息","复利计息")</f>
        <v>单利计息</v>
      </c>
    </row>
    <row r="42" spans="1:7" ht="13.5" customHeight="1">
      <c r="A42" s="951" t="s">
        <v>791</v>
      </c>
      <c r="B42" s="258" t="s">
        <v>2410</v>
      </c>
      <c r="C42" s="281">
        <f ca="1">ROUND(IF('数据-取费表'!B22&lt;=1,C33*F22*'数据-取费表'!B20/2,C33*(POWER((1+F22),'数据-取费表'!B20/2)-1)),0)</f>
        <v>919187</v>
      </c>
      <c r="D42" s="281"/>
      <c r="E42" s="281"/>
      <c r="F42" s="282"/>
      <c r="G42" s="3337" t="s">
        <v>2458</v>
      </c>
    </row>
    <row r="43" spans="1:7" ht="13.5" customHeight="1">
      <c r="A43" s="951" t="s">
        <v>792</v>
      </c>
      <c r="B43" s="258" t="s">
        <v>2412</v>
      </c>
      <c r="C43" s="281">
        <f ca="1">ROUND(IF('数据-取费表'!B22&lt;=1,C39*F22*'数据-取费表'!B20/2,C39*(POWER((1+F22),'数据-取费表'!B20/2)-1)),0)</f>
        <v>27576</v>
      </c>
      <c r="D43" s="281"/>
      <c r="E43" s="281"/>
      <c r="F43" s="282"/>
      <c r="G43" s="3338"/>
    </row>
    <row r="44" spans="1:7" ht="13.5" customHeight="1">
      <c r="A44" s="951" t="s">
        <v>793</v>
      </c>
      <c r="B44" s="258" t="s">
        <v>2413</v>
      </c>
      <c r="C44" s="281">
        <f ca="1">ROUND(IF('数据-取费表'!B22&lt;=1,C40*F22*'数据-取费表'!B20/2,C40*(POWER((1+F22),'数据-取费表'!B20/2)-1)),4)</f>
        <v>2.9999999999999997E-4</v>
      </c>
      <c r="D44" s="281"/>
      <c r="E44" s="281"/>
      <c r="F44" s="282"/>
      <c r="G44" s="3339"/>
    </row>
    <row r="45" spans="1:7" s="257" customFormat="1" ht="13.5" customHeight="1">
      <c r="A45" s="298" t="s">
        <v>2414</v>
      </c>
      <c r="B45" s="287" t="s">
        <v>2380</v>
      </c>
      <c r="C45" s="288">
        <f ca="1">C46</f>
        <v>21764654</v>
      </c>
      <c r="D45" s="278">
        <f ca="1">C47</f>
        <v>7.4999999999999997E-3</v>
      </c>
      <c r="E45" s="279" t="s">
        <v>2406</v>
      </c>
      <c r="F45" s="289"/>
      <c r="G45" s="290" t="s">
        <v>2415</v>
      </c>
    </row>
    <row r="46" spans="1:7" s="257" customFormat="1" ht="13.5" customHeight="1">
      <c r="A46" s="951" t="s">
        <v>791</v>
      </c>
      <c r="B46" s="291" t="s">
        <v>2416</v>
      </c>
      <c r="C46" s="292">
        <f ca="1">ROUND((C33+C39)*F27,0)</f>
        <v>21764654</v>
      </c>
      <c r="D46" s="306"/>
      <c r="E46" s="279"/>
      <c r="F46" s="289"/>
      <c r="G46" s="290"/>
    </row>
    <row r="47" spans="1:7" s="257" customFormat="1" ht="13.5" customHeight="1">
      <c r="A47" s="951" t="s">
        <v>792</v>
      </c>
      <c r="B47" s="291" t="s">
        <v>2417</v>
      </c>
      <c r="C47" s="281">
        <f ca="1">ROUND(C40*F27,4)</f>
        <v>7.4999999999999997E-3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120652925</v>
      </c>
      <c r="D49" s="275"/>
      <c r="E49" s="275"/>
      <c r="F49" s="307"/>
      <c r="G49" s="277" t="s">
        <v>2421</v>
      </c>
    </row>
    <row r="50" spans="1:7" s="301" customFormat="1">
      <c r="A50" s="298" t="s">
        <v>2422</v>
      </c>
      <c r="B50" s="253" t="s">
        <v>2423</v>
      </c>
      <c r="C50" s="275"/>
      <c r="D50" s="275"/>
      <c r="E50" s="275"/>
      <c r="F50" s="307">
        <f>IF('数据-取费表'!B24=0,'数据-取费表'!N16,1)</f>
        <v>0.98</v>
      </c>
      <c r="G50" s="290"/>
    </row>
    <row r="51" spans="1:7" ht="16.5" customHeight="1">
      <c r="A51" s="298" t="s">
        <v>2425</v>
      </c>
      <c r="B51" s="253" t="s">
        <v>2460</v>
      </c>
      <c r="C51" s="275">
        <f ca="1">ROUND(C49*F50,0)</f>
        <v>118239867</v>
      </c>
      <c r="D51" s="275"/>
      <c r="E51" s="275"/>
      <c r="F51" s="307"/>
      <c r="G51" s="277" t="s">
        <v>2427</v>
      </c>
    </row>
    <row r="52" spans="1:7" s="251" customFormat="1" ht="16.5" thickBot="1">
      <c r="A52" s="308" t="s">
        <v>2428</v>
      </c>
      <c r="B52" s="309"/>
      <c r="C52" s="310">
        <f ca="1">C31+C51</f>
        <v>127987547</v>
      </c>
      <c r="D52" s="309"/>
      <c r="E52" s="309"/>
      <c r="F52" s="309"/>
      <c r="G52" s="311"/>
    </row>
    <row r="55" spans="1:7" ht="15">
      <c r="B55" s="313" t="s">
        <v>2429</v>
      </c>
      <c r="C55" s="314"/>
    </row>
    <row r="56" spans="1:7">
      <c r="B56" s="316" t="s">
        <v>1509</v>
      </c>
      <c r="C56" s="318">
        <f ca="1">1-C57</f>
        <v>7.5999999999999956E-2</v>
      </c>
    </row>
    <row r="57" spans="1:7">
      <c r="B57" s="316" t="s">
        <v>1510</v>
      </c>
      <c r="C57" s="317">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236" t="str">
        <f>项目基本情况!B1</f>
        <v>北京市经济技术开发区荣华南路1号院1号楼房地产抵押价值预评估</v>
      </c>
      <c r="C37" s="3236"/>
      <c r="D37" s="3236"/>
      <c r="E37" s="3236"/>
      <c r="F37" s="3236"/>
      <c r="G37" s="3236"/>
      <c r="H37" s="3236"/>
      <c r="I37" s="3236"/>
    </row>
    <row r="38" spans="1:9">
      <c r="A38" s="1016"/>
      <c r="B38" s="1016"/>
    </row>
    <row r="39" spans="1:9">
      <c r="A39" s="1014" t="s">
        <v>818</v>
      </c>
      <c r="B39" s="1014" t="s">
        <v>820</v>
      </c>
    </row>
    <row r="40" spans="1:9">
      <c r="A40" s="1014"/>
      <c r="B40" s="1941" t="str">
        <f>项目基本情况!B5</f>
        <v>北京国锐房地产开发有限公司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王鹏（注册号：1120050019)、郑燚（注册号：1120070131)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2461</v>
      </c>
      <c r="B1" s="1580"/>
      <c r="C1" s="1581"/>
      <c r="D1" s="1579"/>
      <c r="E1" s="319"/>
      <c r="F1" s="319"/>
      <c r="G1" s="1580"/>
      <c r="H1" s="319"/>
      <c r="I1" s="319"/>
      <c r="J1" s="319"/>
      <c r="K1" s="319">
        <f>MATCH(C1,'数据-取费表'!A6:A16,0)+5</f>
        <v>8</v>
      </c>
    </row>
    <row r="2" spans="1:33" ht="18" customHeight="1">
      <c r="A2" s="244" t="s">
        <v>2329</v>
      </c>
      <c r="B2" s="247">
        <f ca="1">C32</f>
        <v>-424</v>
      </c>
      <c r="C2" s="319" t="s">
        <v>2462</v>
      </c>
      <c r="D2" s="319"/>
      <c r="E2" s="319"/>
      <c r="F2" s="319"/>
      <c r="G2" s="319"/>
      <c r="H2" s="319"/>
      <c r="I2" s="319"/>
      <c r="J2" s="319"/>
      <c r="K2" s="319"/>
    </row>
    <row r="3" spans="1:33" ht="18" customHeight="1" thickBot="1">
      <c r="A3" s="246" t="s">
        <v>2331</v>
      </c>
      <c r="B3" s="247">
        <f ca="1">ROUND(B2*10000/IF(C1="",'数据-汇总表'!E3,INDIRECT("'数据-取费表'!K"&amp;$K$1)),0)</f>
        <v>-250</v>
      </c>
      <c r="C3" s="319" t="s">
        <v>2463</v>
      </c>
      <c r="D3" s="319"/>
      <c r="E3" s="319"/>
      <c r="F3" s="319"/>
      <c r="G3" s="319"/>
      <c r="H3" s="319"/>
      <c r="I3" s="319"/>
      <c r="J3" s="319"/>
      <c r="K3" s="319"/>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2" t="s">
        <v>2467</v>
      </c>
      <c r="D5" s="2552" t="s">
        <v>2468</v>
      </c>
      <c r="E5" s="2552" t="s">
        <v>2469</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39" t="s">
        <v>2472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2473</v>
      </c>
      <c r="B8" s="176"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1331</v>
      </c>
      <c r="B12" s="972" t="s">
        <v>2483</v>
      </c>
      <c r="C12" s="23">
        <f ca="1">ROUND(C11*F12,0)</f>
        <v>0</v>
      </c>
      <c r="D12" s="973"/>
      <c r="E12" s="374"/>
      <c r="F12" s="976">
        <f>'数据-取费表'!B33</f>
        <v>0.05</v>
      </c>
      <c r="G12" s="8" t="s">
        <v>2484</v>
      </c>
      <c r="H12" s="968"/>
      <c r="I12" s="968"/>
      <c r="J12" s="968"/>
      <c r="K12" s="969"/>
    </row>
    <row r="13" spans="1:33" s="975" customFormat="1" ht="13.5" customHeight="1">
      <c r="A13" s="971" t="s">
        <v>1332</v>
      </c>
      <c r="B13" s="972" t="s">
        <v>2485</v>
      </c>
      <c r="C13" s="23">
        <f ca="1">ROUND(IF(C1="",SUMIF('数据-取费表'!C:C,"住宅",'数据-取费表'!P:P)*F13,IF(INDIRECT("'数据-取费表'!c"&amp;$K$1)="住宅",INDIRECT("'数据-取费表'!P"&amp;$K$1)*F13,0)),0)</f>
        <v>0</v>
      </c>
      <c r="D13" s="1033"/>
      <c r="E13" s="374"/>
      <c r="F13" s="976">
        <f>'数据-取费表'!B34</f>
        <v>0.03</v>
      </c>
      <c r="G13" s="8" t="s">
        <v>2486</v>
      </c>
      <c r="H13" s="968"/>
      <c r="I13" s="968"/>
      <c r="J13" s="968"/>
      <c r="K13" s="969"/>
    </row>
    <row r="14" spans="1:33" s="977" customFormat="1" ht="13.5" customHeight="1">
      <c r="A14" s="971" t="s">
        <v>1333</v>
      </c>
      <c r="B14" s="972" t="s">
        <v>2487</v>
      </c>
      <c r="C14" s="23">
        <f ca="1">ROUND(D14*E14*F11/10000,0)</f>
        <v>0</v>
      </c>
      <c r="D14" s="1033">
        <f ca="1">IF(C1="",'数据-汇总表'!E3,INDIRECT("'数据-取费表'!K"&amp;$K$1)+INDIRECT("'数据-取费表'!S"&amp;$K$1))</f>
        <v>16929.979999999996</v>
      </c>
      <c r="E14" s="23">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39"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39"/>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3">
        <f ca="1">ROUND(D17*E17/10000,0)</f>
        <v>0</v>
      </c>
      <c r="D17" s="1033">
        <f ca="1">D14</f>
        <v>16929.979999999996</v>
      </c>
      <c r="E17" s="23">
        <f>'数据-取费表'!B32</f>
        <v>0</v>
      </c>
      <c r="F17" s="978"/>
      <c r="G17" s="139" t="s">
        <v>2493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3">
        <f ca="1">C19+C20-IF(C1="",'数据-取费表'!B29,IF(G18="已全部缴纳",C19+C20,H18))</f>
        <v>339</v>
      </c>
      <c r="D18" s="1033"/>
      <c r="E18" s="23"/>
      <c r="F18" s="976"/>
      <c r="G18" s="2554"/>
      <c r="H18" s="1576"/>
      <c r="I18" s="2555" t="s">
        <v>2495</v>
      </c>
      <c r="J18" s="979"/>
      <c r="K18" s="980"/>
    </row>
    <row r="19" spans="1:33" s="975" customFormat="1" ht="13.5" customHeight="1">
      <c r="A19" s="971" t="s">
        <v>805</v>
      </c>
      <c r="B19" s="972" t="s">
        <v>2496</v>
      </c>
      <c r="C19" s="23">
        <f ca="1">ROUND(D19*E19/10000,0)</f>
        <v>0</v>
      </c>
      <c r="D19" s="1033">
        <f ca="1">IF(C1="",'数据-汇总表'!E5,IF(INDIRECT("'数据-取费表'!c"&amp;$K$1)="住宅",INDIRECT("'数据-取费表'!k"&amp;$K$1),0))</f>
        <v>0</v>
      </c>
      <c r="E19" s="23">
        <f>'数据-取费表'!B27</f>
        <v>160</v>
      </c>
      <c r="F19" s="976"/>
      <c r="G19" s="14"/>
      <c r="H19" s="1578"/>
      <c r="I19" s="981"/>
      <c r="J19" s="981"/>
      <c r="K19" s="982"/>
    </row>
    <row r="20" spans="1:33" s="975" customFormat="1" ht="13.5" customHeight="1">
      <c r="A20" s="971" t="s">
        <v>806</v>
      </c>
      <c r="B20" s="972" t="s">
        <v>2497</v>
      </c>
      <c r="C20" s="23">
        <f ca="1">ROUND(D20*E20/10000,0)</f>
        <v>339</v>
      </c>
      <c r="D20" s="1033">
        <f ca="1">IF(C1="",'数据-汇总表'!E6,IF(INDIRECT("'数据-取费表'!c"&amp;$K$1)="住宅",INDIRECT("'数据-取费表'!s"&amp;$K$1),INDIRECT("'数据-取费表'!k"&amp;$K$1)+INDIRECT("'数据-取费表'!s"&amp;$K$1)))</f>
        <v>16929.979999999996</v>
      </c>
      <c r="E20" s="23">
        <f>'数据-取费表'!B28</f>
        <v>200</v>
      </c>
      <c r="F20" s="976"/>
      <c r="G20" s="14"/>
      <c r="H20" s="981"/>
      <c r="I20" s="981"/>
      <c r="J20" s="981"/>
      <c r="K20" s="982"/>
    </row>
    <row r="21" spans="1:33" s="975" customFormat="1" ht="13.5" customHeight="1">
      <c r="A21" s="961" t="s">
        <v>802</v>
      </c>
      <c r="B21" s="985" t="s">
        <v>2498</v>
      </c>
      <c r="C21" s="986">
        <f ca="1">C16+C17+C18</f>
        <v>339</v>
      </c>
      <c r="D21" s="987"/>
      <c r="E21" s="324"/>
      <c r="F21" s="324"/>
      <c r="G21" s="139" t="s">
        <v>2499</v>
      </c>
      <c r="H21" s="979"/>
      <c r="I21" s="979"/>
      <c r="J21" s="979"/>
      <c r="K21" s="980"/>
    </row>
    <row r="22" spans="1:33" s="975" customFormat="1" ht="13.5" customHeight="1">
      <c r="A22" s="961" t="s">
        <v>2471</v>
      </c>
      <c r="B22" s="985" t="s">
        <v>2500</v>
      </c>
      <c r="C22" s="986">
        <f ca="1">ROUND(C21*F22,0)</f>
        <v>10</v>
      </c>
      <c r="D22" s="324"/>
      <c r="E22" s="324"/>
      <c r="F22" s="988">
        <f>'数据-取费表'!B37</f>
        <v>0.03</v>
      </c>
      <c r="G22" s="8" t="s">
        <v>2501</v>
      </c>
      <c r="H22" s="968"/>
      <c r="I22" s="968"/>
      <c r="J22" s="968"/>
      <c r="K22" s="969"/>
    </row>
    <row r="23" spans="1:33" s="975" customFormat="1" ht="13.5" customHeight="1">
      <c r="A23" s="961" t="s">
        <v>2473</v>
      </c>
      <c r="B23" s="985" t="s">
        <v>2502</v>
      </c>
      <c r="C23" s="986">
        <f ca="1">ROUND(C4*F23*F11,0)</f>
        <v>0</v>
      </c>
      <c r="D23" s="324"/>
      <c r="E23" s="324"/>
      <c r="F23" s="988">
        <f>'数据-取费表'!B38</f>
        <v>0.03</v>
      </c>
      <c r="G23" s="8" t="s">
        <v>2503</v>
      </c>
      <c r="H23" s="968"/>
      <c r="I23" s="968"/>
      <c r="J23" s="968"/>
      <c r="K23" s="969"/>
    </row>
    <row r="24" spans="1:33" s="975" customFormat="1" ht="13.5" customHeight="1">
      <c r="A24" s="961" t="s">
        <v>2504</v>
      </c>
      <c r="B24" s="985" t="s">
        <v>2505</v>
      </c>
      <c r="C24" s="323">
        <f>ROUND(F24/(1+'数据-取费表'!C42),4)</f>
        <v>2.9000000000000001E-2</v>
      </c>
      <c r="D24" s="324" t="s">
        <v>15</v>
      </c>
      <c r="E24" s="324"/>
      <c r="F24" s="988">
        <f>'数据-取费表'!B48+'数据-取费表'!B49</f>
        <v>3.0499999999999999E-2</v>
      </c>
      <c r="G24" s="8" t="s">
        <v>2506</v>
      </c>
      <c r="H24" s="990"/>
      <c r="I24" s="990"/>
      <c r="J24" s="990"/>
      <c r="K24" s="991"/>
    </row>
    <row r="25" spans="1:33" s="975" customFormat="1" ht="13.5" customHeight="1">
      <c r="A25" s="961" t="s">
        <v>2507</v>
      </c>
      <c r="B25" s="987" t="s">
        <v>2508</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2509</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2510</v>
      </c>
      <c r="C27" s="1357">
        <f ca="1">ROUND(IF('数据-取费表'!B22&lt;=1,(C21+C22+C23)*F25*'数据-取费表'!B24/2,(C21+C22+C23)*(POWER((1+F25),'数据-取费表'!B24/2)-1)),0)</f>
        <v>0</v>
      </c>
      <c r="D27" s="327"/>
      <c r="E27" s="328"/>
      <c r="F27" s="329"/>
      <c r="G27" s="2556" t="str">
        <f>IF('数据-取费表'!B22&lt;=1,"（1）-（3）项×年利率×建设期÷2","（1）-（3）项×((1+年利率)^(建设期÷2)-1)")</f>
        <v>（1）-（3）项×年利率×建设期÷2</v>
      </c>
      <c r="H27" s="979"/>
      <c r="I27" s="979"/>
      <c r="J27" s="979"/>
      <c r="K27" s="980"/>
    </row>
    <row r="28" spans="1:33" s="332" customFormat="1" ht="13.5" customHeight="1">
      <c r="A28" s="961" t="s">
        <v>2511</v>
      </c>
      <c r="B28" s="2557" t="s">
        <v>2512</v>
      </c>
      <c r="C28" s="330">
        <f ca="1">C30</f>
        <v>87</v>
      </c>
      <c r="D28" s="323">
        <f ca="1">C29</f>
        <v>0</v>
      </c>
      <c r="E28" s="325" t="s">
        <v>15</v>
      </c>
      <c r="F28" s="331">
        <f ca="1">IF(C1="",'数据-取费表'!Q16,INDIRECT("'数据-取费表'!q"&amp;$K$1))</f>
        <v>0.25</v>
      </c>
      <c r="G28" s="989"/>
      <c r="H28" s="990"/>
      <c r="I28" s="990"/>
      <c r="J28" s="990"/>
      <c r="K28" s="991"/>
    </row>
    <row r="29" spans="1:33" s="334" customFormat="1" ht="13.5" customHeight="1">
      <c r="A29" s="971" t="s">
        <v>803</v>
      </c>
      <c r="B29" s="994" t="s">
        <v>2513</v>
      </c>
      <c r="C29" s="327">
        <f ca="1">ROUND((1+C24)*F28*'数据-取费表'!B24/'数据-取费表'!B20,4)</f>
        <v>0</v>
      </c>
      <c r="D29" s="327"/>
      <c r="E29" s="328"/>
      <c r="F29" s="333"/>
      <c r="G29" s="139" t="s">
        <v>2514</v>
      </c>
      <c r="H29" s="979"/>
      <c r="I29" s="979"/>
      <c r="J29" s="979"/>
      <c r="K29" s="980"/>
    </row>
    <row r="30" spans="1:33" s="334" customFormat="1" ht="13.5" customHeight="1">
      <c r="A30" s="971" t="s">
        <v>804</v>
      </c>
      <c r="B30" s="994" t="s">
        <v>2515</v>
      </c>
      <c r="C30" s="335">
        <f ca="1">ROUND((C21+C22+C23)*F28,0)</f>
        <v>87</v>
      </c>
      <c r="D30" s="327"/>
      <c r="E30" s="328"/>
      <c r="F30" s="333"/>
      <c r="G30" s="139"/>
      <c r="H30" s="979"/>
      <c r="I30" s="979"/>
      <c r="J30" s="979"/>
      <c r="K30" s="980"/>
    </row>
    <row r="31" spans="1:33" s="975" customFormat="1" ht="13.5" customHeight="1" thickBot="1">
      <c r="A31" s="2558"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-424</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1" t="s">
        <v>2118</v>
      </c>
      <c r="B1" s="2414"/>
      <c r="C1" s="2415"/>
      <c r="D1" s="2414"/>
      <c r="E1" s="2414"/>
      <c r="F1" s="2416" t="s">
        <v>2119</v>
      </c>
      <c r="G1" s="2067" t="s">
        <v>3202</v>
      </c>
      <c r="H1" s="2417" t="str">
        <f>IF(G1="现房","——","估价对象范围")</f>
        <v>——</v>
      </c>
      <c r="I1" s="2418"/>
    </row>
    <row r="2" spans="1:12" ht="21.75" customHeight="1" thickBot="1">
      <c r="A2" s="3373" t="str">
        <f>项目基本情况!S2</f>
        <v>北京市经济技术开发区荣华南路1号院1号楼房地产</v>
      </c>
      <c r="B2" s="3374"/>
      <c r="C2" s="3374"/>
      <c r="D2" s="3374"/>
      <c r="E2" s="3374"/>
      <c r="F2" s="3374"/>
      <c r="G2" s="3374"/>
      <c r="H2" s="3374"/>
      <c r="I2" s="3375"/>
    </row>
    <row r="3" spans="1:12" ht="12.75">
      <c r="A3" s="3377" t="s">
        <v>2121</v>
      </c>
      <c r="B3" s="3378"/>
      <c r="C3" s="3378"/>
      <c r="D3" s="3378"/>
      <c r="E3" s="3378"/>
      <c r="F3" s="3378"/>
      <c r="G3" s="3378"/>
      <c r="H3" s="3378"/>
      <c r="I3" s="3378"/>
    </row>
    <row r="4" spans="1:12" ht="14.25">
      <c r="A4" s="2421" t="s">
        <v>2122</v>
      </c>
      <c r="B4" s="2422" t="s">
        <v>2123</v>
      </c>
      <c r="C4" s="2423" t="s">
        <v>3187</v>
      </c>
      <c r="D4" s="2423" t="s">
        <v>3447</v>
      </c>
      <c r="E4" s="3370" t="s">
        <v>2124</v>
      </c>
      <c r="F4" s="3371"/>
      <c r="G4" s="3371"/>
      <c r="H4" s="3371"/>
      <c r="I4" s="3379"/>
      <c r="K4" s="2424"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53" t="s">
        <v>2125</v>
      </c>
      <c r="B5" s="3280">
        <v>25</v>
      </c>
      <c r="C5" s="3356"/>
      <c r="D5" s="3376"/>
      <c r="E5" s="139" t="s">
        <v>2126</v>
      </c>
      <c r="F5" s="2425"/>
      <c r="G5" s="2425"/>
      <c r="H5" s="2425"/>
      <c r="I5" s="1830"/>
    </row>
    <row r="6" spans="1:12" ht="12.75">
      <c r="A6" s="3353"/>
      <c r="B6" s="3280"/>
      <c r="C6" s="3357"/>
      <c r="D6" s="3376"/>
      <c r="E6" s="139" t="s">
        <v>2127</v>
      </c>
      <c r="F6" s="2425"/>
      <c r="G6" s="2425"/>
      <c r="H6" s="2425"/>
      <c r="I6" s="1830"/>
    </row>
    <row r="7" spans="1:12" ht="12.75">
      <c r="A7" s="3353"/>
      <c r="B7" s="3280"/>
      <c r="C7" s="3358"/>
      <c r="D7" s="3376"/>
      <c r="E7" s="139" t="s">
        <v>2128</v>
      </c>
      <c r="F7" s="2425"/>
      <c r="G7" s="2425"/>
      <c r="H7" s="2425"/>
      <c r="I7" s="1830"/>
    </row>
    <row r="8" spans="1:12" ht="12.75">
      <c r="A8" s="3353" t="s">
        <v>2129</v>
      </c>
      <c r="B8" s="3280">
        <v>15</v>
      </c>
      <c r="C8" s="3356"/>
      <c r="D8" s="3376"/>
      <c r="E8" s="139" t="s">
        <v>2130</v>
      </c>
      <c r="F8" s="2425"/>
      <c r="G8" s="2425"/>
      <c r="H8" s="2425"/>
      <c r="I8" s="1830"/>
    </row>
    <row r="9" spans="1:12" ht="12.75">
      <c r="A9" s="3353"/>
      <c r="B9" s="3280"/>
      <c r="C9" s="3358"/>
      <c r="D9" s="3376"/>
      <c r="E9" s="139" t="s">
        <v>2131</v>
      </c>
      <c r="F9" s="2425"/>
      <c r="G9" s="2425"/>
      <c r="H9" s="2425"/>
      <c r="I9" s="1830"/>
    </row>
    <row r="10" spans="1:12" ht="12.75">
      <c r="A10" s="3353" t="s">
        <v>2132</v>
      </c>
      <c r="B10" s="3280">
        <v>15</v>
      </c>
      <c r="C10" s="3356"/>
      <c r="D10" s="3376"/>
      <c r="E10" s="139" t="s">
        <v>2133</v>
      </c>
      <c r="F10" s="2425"/>
      <c r="G10" s="2425"/>
      <c r="H10" s="2425"/>
      <c r="I10" s="1830"/>
    </row>
    <row r="11" spans="1:12" ht="12.75">
      <c r="A11" s="3353"/>
      <c r="B11" s="3280"/>
      <c r="C11" s="3358"/>
      <c r="D11" s="3376"/>
      <c r="E11" s="139" t="s">
        <v>2134</v>
      </c>
      <c r="F11" s="2425"/>
      <c r="G11" s="2425"/>
      <c r="H11" s="2425"/>
      <c r="I11" s="1830"/>
    </row>
    <row r="12" spans="1:12" ht="12.75">
      <c r="A12" s="3353" t="s">
        <v>2135</v>
      </c>
      <c r="B12" s="3280">
        <v>15</v>
      </c>
      <c r="C12" s="3356"/>
      <c r="D12" s="3376"/>
      <c r="E12" s="139" t="s">
        <v>2136</v>
      </c>
      <c r="F12" s="2425"/>
      <c r="G12" s="2425"/>
      <c r="H12" s="2425"/>
      <c r="I12" s="1830"/>
    </row>
    <row r="13" spans="1:12" ht="12.75">
      <c r="A13" s="3353"/>
      <c r="B13" s="3280"/>
      <c r="C13" s="3358"/>
      <c r="D13" s="3376"/>
      <c r="E13" s="139" t="s">
        <v>2137</v>
      </c>
      <c r="F13" s="2425"/>
      <c r="G13" s="2425"/>
      <c r="H13" s="2425"/>
      <c r="I13" s="1830"/>
    </row>
    <row r="14" spans="1:12" ht="12.75">
      <c r="A14" s="3353" t="s">
        <v>2138</v>
      </c>
      <c r="B14" s="3280">
        <v>30</v>
      </c>
      <c r="C14" s="3356">
        <v>5</v>
      </c>
      <c r="D14" s="3376">
        <v>5</v>
      </c>
      <c r="E14" s="139" t="s">
        <v>2139</v>
      </c>
      <c r="F14" s="2425"/>
      <c r="G14" s="2425"/>
      <c r="H14" s="2425"/>
      <c r="I14" s="1830"/>
    </row>
    <row r="15" spans="1:12" ht="12.75">
      <c r="A15" s="3353"/>
      <c r="B15" s="3280"/>
      <c r="C15" s="3357"/>
      <c r="D15" s="3376"/>
      <c r="E15" s="139" t="s">
        <v>2140</v>
      </c>
      <c r="F15" s="2425"/>
      <c r="G15" s="2425"/>
      <c r="H15" s="2425"/>
      <c r="I15" s="1830"/>
    </row>
    <row r="16" spans="1:12" ht="12.75">
      <c r="A16" s="3353"/>
      <c r="B16" s="3280"/>
      <c r="C16" s="3358"/>
      <c r="D16" s="3376"/>
      <c r="E16" s="139" t="s">
        <v>2141</v>
      </c>
      <c r="F16" s="2425"/>
      <c r="G16" s="2425"/>
      <c r="H16" s="2425"/>
      <c r="I16" s="1830"/>
    </row>
    <row r="17" spans="1:35" ht="15">
      <c r="A17" s="2426" t="s">
        <v>2142</v>
      </c>
      <c r="B17" s="63"/>
      <c r="C17" s="140">
        <f>SUM(C5:C16)</f>
        <v>5</v>
      </c>
      <c r="D17" s="140">
        <f>SUM(D5:D16)</f>
        <v>5</v>
      </c>
      <c r="E17" s="137"/>
      <c r="F17" s="137"/>
      <c r="G17" s="137"/>
      <c r="H17" s="137"/>
      <c r="I17" s="137"/>
      <c r="K17" s="2424"/>
      <c r="L17" s="2427" t="s">
        <v>2143</v>
      </c>
      <c r="M17" s="2427" t="s">
        <v>2144</v>
      </c>
    </row>
    <row r="18" spans="1:35" ht="15.75" thickBot="1">
      <c r="A18" s="2428" t="s">
        <v>2145</v>
      </c>
      <c r="B18" s="2429"/>
      <c r="C18" s="141">
        <f>ROUND(C17/SUM(C17:D17),2)</f>
        <v>0.5</v>
      </c>
      <c r="D18" s="141">
        <f>1-C18</f>
        <v>0.5</v>
      </c>
      <c r="E18" s="137"/>
      <c r="F18" s="137"/>
      <c r="G18" s="137"/>
      <c r="H18" s="137"/>
      <c r="I18" s="137"/>
      <c r="K18" s="2424" t="s">
        <v>2146</v>
      </c>
      <c r="L18" s="2424">
        <f>IF(C1="",'数据-汇总表'!E3,SUMIF(项目类型,C1,'数据-汇总表'!E17:E26)+SUMIF(项目类型,C1,'数据-汇总表'!I17:I26))</f>
        <v>16929.979999999996</v>
      </c>
      <c r="M18" s="2424">
        <f>IF(C1="",'数据-汇总表'!E3,SUMIF(项目类型,C1,'数据-汇总表'!E17:E26))</f>
        <v>16929.979999999996</v>
      </c>
    </row>
    <row r="19" spans="1:35" ht="15">
      <c r="A19" s="2430" t="s">
        <v>2147</v>
      </c>
      <c r="B19" s="2431" t="s">
        <v>2148</v>
      </c>
      <c r="C19" s="142">
        <f ca="1">SUMIF(INDIRECT("'"&amp;C4&amp;"'"&amp;"!A:A"),'结果表（办公）'!B19,INDIRECT("'"&amp;C4&amp;"'"&amp;"!B:B"))</f>
        <v>70196</v>
      </c>
      <c r="D19" s="143">
        <f ca="1">SUMIF(INDIRECT("'"&amp;D4&amp;"'"&amp;"!A:A"),'结果表（办公）'!B19,INDIRECT("'"&amp;D4&amp;"'"&amp;"!B:B"))</f>
        <v>56089</v>
      </c>
      <c r="E19" s="2430" t="s">
        <v>2149</v>
      </c>
      <c r="F19" s="2431" t="s">
        <v>2148</v>
      </c>
      <c r="G19" s="144">
        <f ca="1">ROUND(C19*$C$18+D19*$D$18,0)</f>
        <v>63143</v>
      </c>
      <c r="H19" s="2432" t="s">
        <v>2150</v>
      </c>
      <c r="I19" s="137"/>
      <c r="K19" s="2424" t="s">
        <v>2151</v>
      </c>
      <c r="L19" s="2424">
        <f>IF(C1="",'数据-汇总表'!D3,SUMIF(项目类型,C1,'数据-汇总表'!D17:D26)+SUMIF(项目类型,C1,'数据-汇总表'!H17:H27))</f>
        <v>0</v>
      </c>
      <c r="M19" s="2424">
        <f>IF(C1="",'数据-汇总表'!D3,SUMIF(项目类型,C1,'数据-汇总表'!D17:D26))</f>
        <v>0</v>
      </c>
    </row>
    <row r="20" spans="1:35" ht="15">
      <c r="A20" s="2433"/>
      <c r="B20" s="1246" t="s">
        <v>2152</v>
      </c>
      <c r="C20" s="145">
        <f ca="1">SUMIF(INDIRECT("'"&amp;C4&amp;"'"&amp;"!A:A"),'结果表（办公）'!B20,INDIRECT("'"&amp;C4&amp;"'"&amp;"!B:B"))</f>
        <v>41471</v>
      </c>
      <c r="D20" s="146">
        <f ca="1">SUMIF(INDIRECT("'"&amp;D4&amp;"'"&amp;"!A:A"),'结果表（办公）'!B20,INDIRECT("'"&amp;D4&amp;"'"&amp;"!B:B"))</f>
        <v>33130</v>
      </c>
      <c r="E20" s="2433"/>
      <c r="F20" s="1246" t="s">
        <v>2152</v>
      </c>
      <c r="G20" s="147">
        <f ca="1">ROUND(C20*$C$18+D20*$D$18,0)</f>
        <v>37301</v>
      </c>
      <c r="H20" s="980" t="s">
        <v>2153</v>
      </c>
      <c r="I20" s="137"/>
    </row>
    <row r="21" spans="1:35" ht="15" customHeight="1" thickBot="1">
      <c r="A21" s="1000"/>
      <c r="B21" s="2434" t="s">
        <v>2154</v>
      </c>
      <c r="C21" s="786" t="e">
        <f ca="1">ROUND(C19*10000/L19,0)</f>
        <v>#DIV/0!</v>
      </c>
      <c r="D21" s="787" t="e">
        <f ca="1">ROUND(D19*10000/L19,0)</f>
        <v>#DIV/0!</v>
      </c>
      <c r="E21" s="1000"/>
      <c r="F21" s="2434" t="s">
        <v>2154</v>
      </c>
      <c r="G21" s="148" t="e">
        <f ca="1">ROUND(G19*10000/L19,0)</f>
        <v>#DIV/0!</v>
      </c>
      <c r="H21" s="2435" t="s">
        <v>2153</v>
      </c>
      <c r="I21" s="137"/>
    </row>
    <row r="22" spans="1:35" ht="15" thickBot="1">
      <c r="A22" s="2276" t="s">
        <v>2155</v>
      </c>
      <c r="B22" s="2436"/>
      <c r="C22" s="2437"/>
      <c r="D22" s="788">
        <f ca="1">IF(C19&lt;D19,D19/C19-1,C19/D19-1)</f>
        <v>0.25151099146000111</v>
      </c>
      <c r="E22" s="137"/>
      <c r="F22" s="137"/>
      <c r="G22" s="137"/>
      <c r="H22" s="137"/>
      <c r="I22" s="137"/>
    </row>
    <row r="23" spans="1:35" ht="13.5" thickBot="1">
      <c r="A23" s="2414"/>
      <c r="B23" s="2414"/>
      <c r="C23" s="2414"/>
      <c r="D23" s="2414"/>
      <c r="E23" s="137"/>
      <c r="F23" s="137"/>
      <c r="G23" s="137"/>
      <c r="H23" s="137"/>
      <c r="I23" s="137"/>
    </row>
    <row r="24" spans="1:35" ht="14.25">
      <c r="A24" s="3347" t="s">
        <v>2156</v>
      </c>
      <c r="B24" s="2431" t="s">
        <v>2148</v>
      </c>
      <c r="C24" s="144">
        <f>IF(B30=0,0,D30)</f>
        <v>0</v>
      </c>
      <c r="D24" s="2438"/>
      <c r="E24" s="137"/>
      <c r="F24" s="137"/>
      <c r="G24" s="137"/>
      <c r="H24" s="137"/>
      <c r="I24" s="137"/>
    </row>
    <row r="25" spans="1:35" ht="14.25">
      <c r="A25" s="3348"/>
      <c r="B25" s="1246" t="s">
        <v>2152</v>
      </c>
      <c r="C25" s="149">
        <f>IF(B30=0,0,C30)</f>
        <v>0</v>
      </c>
      <c r="D25" s="2439"/>
      <c r="E25" s="137"/>
      <c r="F25" s="137"/>
      <c r="G25" s="137"/>
      <c r="H25" s="137"/>
      <c r="I25" s="137"/>
    </row>
    <row r="26" spans="1:35" ht="13.5" customHeight="1">
      <c r="A26" s="2440" t="s">
        <v>2157</v>
      </c>
      <c r="B26" s="150" t="s">
        <v>2158</v>
      </c>
      <c r="C26" s="150" t="s">
        <v>2159</v>
      </c>
      <c r="D26" s="151" t="s">
        <v>2160</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2161</v>
      </c>
      <c r="B30" s="150"/>
      <c r="C30" s="150"/>
      <c r="D30" s="150"/>
      <c r="E30" s="2921" t="s">
        <v>3035</v>
      </c>
      <c r="F30" s="137"/>
      <c r="G30" s="137"/>
      <c r="H30" s="137"/>
      <c r="I30" s="137"/>
    </row>
    <row r="31" spans="1:35" s="2442" customFormat="1" ht="15" thickBot="1">
      <c r="A31" s="2441"/>
      <c r="B31" s="2441"/>
      <c r="C31" s="2441"/>
      <c r="D31" s="2441"/>
      <c r="E31" s="137"/>
      <c r="F31" s="137"/>
      <c r="G31" s="137"/>
      <c r="H31" s="137"/>
      <c r="I31" s="137"/>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2162</v>
      </c>
      <c r="B32" s="2444"/>
      <c r="C32" s="152">
        <f ca="1">IF(D32="总价",G19-C24,G20-C25)</f>
        <v>63143</v>
      </c>
      <c r="D32" s="2445" t="s">
        <v>2163</v>
      </c>
      <c r="E32" s="137"/>
      <c r="F32" s="137"/>
      <c r="G32" s="137"/>
      <c r="H32" s="137"/>
      <c r="I32" s="137"/>
    </row>
    <row r="33" spans="1:15" ht="15">
      <c r="A33" s="957" t="s">
        <v>2164</v>
      </c>
      <c r="B33" s="2446"/>
      <c r="C33" s="2447"/>
      <c r="D33" s="2448"/>
      <c r="E33" s="2449" t="s">
        <v>2165</v>
      </c>
      <c r="F33" s="2450" t="str">
        <f>IF(D32="楼面单价","取值（单价）","取值（总价）")</f>
        <v>取值（总价）</v>
      </c>
      <c r="G33" s="137"/>
      <c r="H33" s="137"/>
      <c r="I33" s="137"/>
    </row>
    <row r="34" spans="1:15" ht="15">
      <c r="A34" s="2451"/>
      <c r="B34" s="2452"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3" t="s">
        <v>2167</v>
      </c>
      <c r="F34" s="1735"/>
      <c r="G34" s="137"/>
      <c r="H34" s="137"/>
      <c r="I34" s="137"/>
    </row>
    <row r="35" spans="1:15" ht="15.75" thickBot="1">
      <c r="A35" s="2454"/>
      <c r="B35" s="2455"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2169</v>
      </c>
      <c r="F35" s="162"/>
      <c r="G35" s="137"/>
      <c r="H35" s="137"/>
      <c r="I35" s="137"/>
    </row>
    <row r="36" spans="1:15" ht="15.75" thickBot="1">
      <c r="A36" s="3365" t="s">
        <v>2170</v>
      </c>
      <c r="B36" s="2457" t="s">
        <v>2171</v>
      </c>
      <c r="C36" s="153"/>
      <c r="D36" s="2458"/>
      <c r="E36" s="2459"/>
      <c r="F36" s="2460"/>
      <c r="G36" s="137"/>
      <c r="H36" s="137"/>
      <c r="I36" s="137"/>
    </row>
    <row r="37" spans="1:15" ht="15.75" thickBot="1">
      <c r="A37" s="3366"/>
      <c r="B37" s="2262" t="s">
        <v>2172</v>
      </c>
      <c r="C37" s="155"/>
      <c r="D37" s="1391"/>
      <c r="E37" s="1391"/>
      <c r="F37" s="2460"/>
      <c r="G37" s="137"/>
      <c r="H37" s="137"/>
      <c r="I37" s="137"/>
    </row>
    <row r="38" spans="1:15" ht="15.75" thickBot="1">
      <c r="A38" s="3367"/>
      <c r="B38" s="2461" t="s">
        <v>2173</v>
      </c>
      <c r="C38" s="724"/>
      <c r="D38" s="2462" t="s">
        <v>2174</v>
      </c>
      <c r="E38" s="1391"/>
      <c r="F38" s="2460"/>
      <c r="G38" s="137"/>
      <c r="H38" s="137"/>
      <c r="I38" s="137"/>
    </row>
    <row r="39" spans="1:15" ht="15">
      <c r="A39" s="2433" t="s">
        <v>2175</v>
      </c>
      <c r="B39" s="2463" t="s">
        <v>2176</v>
      </c>
      <c r="C39" s="2464" t="s">
        <v>2177</v>
      </c>
      <c r="D39" s="2464" t="s">
        <v>2178</v>
      </c>
      <c r="E39" s="2465" t="s">
        <v>2179</v>
      </c>
      <c r="F39" s="2460"/>
      <c r="G39" s="137"/>
      <c r="H39" s="137"/>
      <c r="I39" s="137"/>
    </row>
    <row r="40" spans="1:15" ht="14.25">
      <c r="A40" s="2466" t="s">
        <v>2180</v>
      </c>
      <c r="B40" s="157"/>
      <c r="C40" s="158"/>
      <c r="D40" s="158"/>
      <c r="E40" s="159"/>
      <c r="F40" s="2460"/>
      <c r="G40" s="137"/>
      <c r="H40" s="137"/>
      <c r="I40" s="137"/>
    </row>
    <row r="41" spans="1:15" ht="14.25">
      <c r="A41" s="2466" t="s">
        <v>2181</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2182</v>
      </c>
      <c r="B44" s="2471"/>
      <c r="C44" s="2471"/>
      <c r="D44" s="2472"/>
      <c r="E44" s="2472"/>
      <c r="F44" s="2473"/>
      <c r="G44" s="2473"/>
      <c r="H44" s="2473"/>
      <c r="I44" s="2473"/>
      <c r="J44" s="2474" t="s">
        <v>2183</v>
      </c>
      <c r="K44" s="2475"/>
      <c r="L44" s="2475"/>
      <c r="M44" s="2475"/>
      <c r="N44" s="2475"/>
      <c r="O44" s="2475"/>
    </row>
    <row r="45" spans="1:15" ht="14.25" customHeight="1" thickBot="1">
      <c r="A45" s="3344" t="s">
        <v>2184</v>
      </c>
      <c r="B45" s="3345"/>
      <c r="C45" s="3346"/>
      <c r="D45" s="163">
        <f ca="1">ROUND(H101*F45,0)</f>
        <v>63143</v>
      </c>
      <c r="E45" s="164" t="s">
        <v>2185</v>
      </c>
      <c r="F45" s="165">
        <v>1</v>
      </c>
      <c r="G45" s="166" t="s">
        <v>2186</v>
      </c>
      <c r="H45" s="137"/>
      <c r="I45" s="137"/>
      <c r="J45" s="3404" t="s">
        <v>2187</v>
      </c>
      <c r="K45" s="3404"/>
      <c r="L45" s="3404"/>
      <c r="M45" s="3404"/>
      <c r="N45" s="3404"/>
      <c r="O45" s="3404"/>
    </row>
    <row r="46" spans="1:15" ht="14.25" customHeight="1">
      <c r="A46" s="3341" t="s">
        <v>2188</v>
      </c>
      <c r="B46" s="3342"/>
      <c r="C46" s="3342"/>
      <c r="D46" s="3342"/>
      <c r="E46" s="3342"/>
      <c r="F46" s="3342"/>
      <c r="G46" s="3343"/>
      <c r="H46" s="2476"/>
      <c r="I46" s="167"/>
      <c r="J46" s="1808">
        <v>1</v>
      </c>
      <c r="K46" s="3404" t="s">
        <v>2189</v>
      </c>
      <c r="L46" s="3404"/>
      <c r="M46" s="3424"/>
      <c r="N46" s="3424"/>
      <c r="O46" s="3424"/>
    </row>
    <row r="47" spans="1:15" ht="12" customHeight="1">
      <c r="A47" s="168" t="s">
        <v>2190</v>
      </c>
      <c r="B47" s="169"/>
      <c r="C47" s="170"/>
      <c r="D47" s="171" t="s">
        <v>2191</v>
      </c>
      <c r="E47" s="23" t="s">
        <v>2192</v>
      </c>
      <c r="F47" s="172" t="s">
        <v>2193</v>
      </c>
      <c r="G47" s="173" t="s">
        <v>2194</v>
      </c>
      <c r="H47" s="2476"/>
      <c r="I47" s="167"/>
      <c r="J47" s="1808">
        <v>2</v>
      </c>
      <c r="K47" s="3404" t="s">
        <v>2195</v>
      </c>
      <c r="L47" s="3404"/>
      <c r="M47" s="3425">
        <f>'数据-取费表'!B2</f>
        <v>43553</v>
      </c>
      <c r="N47" s="3425"/>
      <c r="O47" s="3425"/>
    </row>
    <row r="48" spans="1:15" ht="25.5">
      <c r="A48" s="3372" t="s">
        <v>2196</v>
      </c>
      <c r="B48" s="3355"/>
      <c r="C48" s="3355"/>
      <c r="D48" s="139">
        <f>IF(H48="情况1",0,IF(H48="情况2",D52,IF(H48="情况3",D53,IF(H48="情况4",D54))))</f>
        <v>0</v>
      </c>
      <c r="E48" s="1797" t="str">
        <f>IF(H48="情况4","(销售额-原购置价)×税（费）率","销售额×税（费）率")</f>
        <v>销售额×税（费）率</v>
      </c>
      <c r="F48" s="174" t="str">
        <f>IF(H48="情况1","免征",'数据-取费表'!B41)</f>
        <v>免征</v>
      </c>
      <c r="G48" s="2477" t="s">
        <v>2197</v>
      </c>
      <c r="H48" s="2478" t="s">
        <v>2198</v>
      </c>
      <c r="I48" s="2476"/>
      <c r="J48" s="1808">
        <v>3</v>
      </c>
      <c r="K48" s="3404" t="s">
        <v>2199</v>
      </c>
      <c r="L48" s="3404"/>
      <c r="M48" s="3426">
        <f ca="1">H101</f>
        <v>63143</v>
      </c>
      <c r="N48" s="3426"/>
      <c r="O48" s="3426"/>
    </row>
    <row r="49" spans="1:35" ht="25.5" customHeight="1">
      <c r="A49" s="175" t="s">
        <v>2200</v>
      </c>
      <c r="B49" s="3340" t="s">
        <v>2201</v>
      </c>
      <c r="C49" s="3340"/>
      <c r="D49" s="176">
        <v>0</v>
      </c>
      <c r="E49" s="22" t="s">
        <v>2202</v>
      </c>
      <c r="F49" s="27" t="s">
        <v>34</v>
      </c>
      <c r="G49" s="3410"/>
      <c r="H49" s="137"/>
      <c r="I49" s="2479"/>
      <c r="J49" s="1808">
        <v>4</v>
      </c>
      <c r="K49" s="3404" t="str">
        <f>IF(项目基本情况!E8="房地产抵押价值","房地产抵押价值","抵押担保权已注销时的房地产抵押价值")</f>
        <v>抵押担保权已注销时的房地产抵押价值</v>
      </c>
      <c r="L49" s="3404"/>
      <c r="M49" s="3426">
        <f ca="1">IF(项目基本情况!E8="房地产抵押价值",H107,H109)</f>
        <v>63143</v>
      </c>
      <c r="N49" s="3426"/>
      <c r="O49" s="3426"/>
    </row>
    <row r="50" spans="1:35" ht="25.5" customHeight="1">
      <c r="A50" s="177"/>
      <c r="B50" s="3340" t="s">
        <v>2203</v>
      </c>
      <c r="C50" s="3340"/>
      <c r="D50" s="178"/>
      <c r="E50" s="30"/>
      <c r="F50" s="179"/>
      <c r="G50" s="3411"/>
      <c r="H50" s="137"/>
      <c r="I50" s="2479"/>
      <c r="J50" s="3404" t="s">
        <v>2204</v>
      </c>
      <c r="K50" s="3404"/>
      <c r="L50" s="3404"/>
      <c r="M50" s="3404"/>
      <c r="N50" s="3404"/>
      <c r="O50" s="3404"/>
    </row>
    <row r="51" spans="1:35" ht="12" customHeight="1">
      <c r="A51" s="180"/>
      <c r="B51" s="3340" t="s">
        <v>2205</v>
      </c>
      <c r="C51" s="3340"/>
      <c r="D51" s="181"/>
      <c r="E51" s="29"/>
      <c r="F51" s="179"/>
      <c r="G51" s="3412"/>
      <c r="H51" s="137"/>
      <c r="I51" s="2479"/>
      <c r="J51" s="2480" t="s">
        <v>2206</v>
      </c>
      <c r="K51" s="3404" t="s">
        <v>2207</v>
      </c>
      <c r="L51" s="3404"/>
      <c r="M51" s="2480" t="s">
        <v>2208</v>
      </c>
      <c r="N51" s="2480" t="s">
        <v>2209</v>
      </c>
      <c r="O51" s="2480" t="s">
        <v>2210</v>
      </c>
    </row>
    <row r="52" spans="1:35" ht="24" customHeight="1">
      <c r="A52" s="182" t="s">
        <v>2211</v>
      </c>
      <c r="B52" s="3340" t="s">
        <v>2212</v>
      </c>
      <c r="C52" s="3340"/>
      <c r="D52" s="181">
        <f ca="1">ROUND(D45*'数据-取费表'!B41/(1+'数据-取费表'!C42),0)</f>
        <v>3307</v>
      </c>
      <c r="E52" s="11" t="s">
        <v>2213</v>
      </c>
      <c r="F52" s="183">
        <f>'数据-取费表'!B41</f>
        <v>5.5000000000000007E-2</v>
      </c>
      <c r="G52" s="2481"/>
      <c r="H52" s="137"/>
      <c r="I52" s="2479"/>
      <c r="J52" s="1808">
        <v>1</v>
      </c>
      <c r="K52" s="3405" t="s">
        <v>2214</v>
      </c>
      <c r="L52" s="3405"/>
      <c r="M52" s="1750">
        <f>D48</f>
        <v>0</v>
      </c>
      <c r="N52" s="1808" t="str">
        <f>E48</f>
        <v>销售额×税（费）率</v>
      </c>
      <c r="O52" s="1751" t="str">
        <f>F48</f>
        <v>免征</v>
      </c>
    </row>
    <row r="53" spans="1:35" ht="12" customHeight="1">
      <c r="A53" s="182" t="s">
        <v>2215</v>
      </c>
      <c r="B53" s="3363" t="s">
        <v>2216</v>
      </c>
      <c r="C53" s="3364"/>
      <c r="D53" s="181">
        <f ca="1">ROUND(D45*'数据-取费表'!B41/(1+'数据-取费表'!C42),0)</f>
        <v>3307</v>
      </c>
      <c r="E53" s="11" t="s">
        <v>2213</v>
      </c>
      <c r="F53" s="183">
        <f>'数据-取费表'!B41</f>
        <v>5.5000000000000007E-2</v>
      </c>
      <c r="G53" s="2481"/>
      <c r="H53" s="137"/>
      <c r="I53" s="2479"/>
      <c r="J53" s="1808">
        <v>2</v>
      </c>
      <c r="K53" s="3405" t="s">
        <v>2217</v>
      </c>
      <c r="L53" s="3405"/>
      <c r="M53" s="1750">
        <f t="shared" ref="M53:O54" ca="1" si="0">D55</f>
        <v>32</v>
      </c>
      <c r="N53" s="1808" t="str">
        <f t="shared" si="0"/>
        <v>销售额×税（费）率</v>
      </c>
      <c r="O53" s="1751">
        <f t="shared" si="0"/>
        <v>5.0000000000000001E-4</v>
      </c>
    </row>
    <row r="54" spans="1:35" ht="12" customHeight="1">
      <c r="A54" s="182" t="s">
        <v>2218</v>
      </c>
      <c r="B54" s="3363" t="s">
        <v>2219</v>
      </c>
      <c r="C54" s="3364"/>
      <c r="D54" s="181">
        <f ca="1">C68</f>
        <v>3307</v>
      </c>
      <c r="E54" s="29" t="s">
        <v>2220</v>
      </c>
      <c r="F54" s="183">
        <f>'数据-取费表'!B41</f>
        <v>5.5000000000000007E-2</v>
      </c>
      <c r="G54" s="2481"/>
      <c r="H54" s="2482"/>
      <c r="I54" s="2479"/>
      <c r="J54" s="1808">
        <v>3</v>
      </c>
      <c r="K54" s="3405" t="s">
        <v>2221</v>
      </c>
      <c r="L54" s="3405"/>
      <c r="M54" s="1750">
        <f t="shared" ca="1" si="0"/>
        <v>35796</v>
      </c>
      <c r="N54" s="1808" t="str">
        <f t="shared" si="0"/>
        <v>增值额×税（费）率</v>
      </c>
      <c r="O54" s="1752" t="str">
        <f t="shared" si="0"/>
        <v>——</v>
      </c>
    </row>
    <row r="55" spans="1:35" ht="24" customHeight="1">
      <c r="A55" s="3354" t="s">
        <v>2222</v>
      </c>
      <c r="B55" s="3355"/>
      <c r="C55" s="3355"/>
      <c r="D55" s="184">
        <f ca="1">IF(H55="个人住宅",0,ROUND(D45*I55,0))</f>
        <v>32</v>
      </c>
      <c r="E55" s="11" t="s">
        <v>2223</v>
      </c>
      <c r="F55" s="183">
        <f>IF(H55="正常",I55,"免征")</f>
        <v>5.0000000000000001E-4</v>
      </c>
      <c r="G55" s="2481"/>
      <c r="H55" s="2478" t="s">
        <v>2224</v>
      </c>
      <c r="I55" s="185">
        <f>'数据-取费表'!B49</f>
        <v>5.0000000000000001E-4</v>
      </c>
      <c r="J55" s="1808" t="str">
        <f>IF(H59="非个人房产","",4)</f>
        <v/>
      </c>
      <c r="K55" s="3405" t="str">
        <f>IF(H59="非个人房产","——","个人所得税")</f>
        <v>——</v>
      </c>
      <c r="L55" s="3405"/>
      <c r="M55" s="1753" t="str">
        <f>D59</f>
        <v>——</v>
      </c>
      <c r="N55" s="1806" t="str">
        <f>E59</f>
        <v>——</v>
      </c>
      <c r="O55" s="1754" t="str">
        <f>F59</f>
        <v>——</v>
      </c>
    </row>
    <row r="56" spans="1:35" ht="24.75">
      <c r="A56" s="3354" t="s">
        <v>2225</v>
      </c>
      <c r="B56" s="3355"/>
      <c r="C56" s="3355"/>
      <c r="D56" s="184">
        <f ca="1">IF(H56="个人住宅",D57,D58)</f>
        <v>35796</v>
      </c>
      <c r="E56" s="11" t="s">
        <v>2226</v>
      </c>
      <c r="F56" s="183" t="str">
        <f>IF(H56="正常",F58,"免征")</f>
        <v>——</v>
      </c>
      <c r="G56" s="2483" t="s">
        <v>2227</v>
      </c>
      <c r="H56" s="2484" t="s">
        <v>2224</v>
      </c>
      <c r="I56" s="2485"/>
      <c r="J56" s="1808" t="str">
        <f>IF(项目基本情况!K6="上海银行",IF(J55="",4,J55+1),"")</f>
        <v/>
      </c>
      <c r="K56" s="3428" t="str">
        <f>IF(项目基本情况!K6="上海银行","其他处置费用","")</f>
        <v/>
      </c>
      <c r="L56" s="3429"/>
      <c r="M56" s="1750" t="str">
        <f>IF(项目基本情况!K6="上海银行",M69,"")</f>
        <v/>
      </c>
      <c r="N56" s="3431" t="str">
        <f>IF(项目基本情况!K6="上海银行","包含处置中涉及的律师、诉讼、拍卖、评估等费用","")</f>
        <v/>
      </c>
      <c r="O56" s="3432"/>
    </row>
    <row r="57" spans="1:35" ht="12.75">
      <c r="A57" s="182" t="s">
        <v>2200</v>
      </c>
      <c r="B57" s="3370" t="s">
        <v>2228</v>
      </c>
      <c r="C57" s="3379"/>
      <c r="D57" s="186">
        <v>0</v>
      </c>
      <c r="E57" s="22" t="s">
        <v>2202</v>
      </c>
      <c r="F57" s="154"/>
      <c r="G57" s="2481"/>
      <c r="H57" s="2485"/>
      <c r="I57" s="2485"/>
      <c r="J57" s="3405">
        <f>IF(AND(J55="",J56=""),4,IF(项目基本情况!K6="上海银行",'结果表（办公）'!J56+1,'结果表（办公）'!J55+1))</f>
        <v>4</v>
      </c>
      <c r="K57" s="3405" t="s">
        <v>2229</v>
      </c>
      <c r="L57" s="2486" t="s">
        <v>2230</v>
      </c>
      <c r="M57" s="1755"/>
      <c r="N57" s="1756">
        <f ca="1">SUMIF(M52:M56,"&lt;9e307")</f>
        <v>35828</v>
      </c>
      <c r="O57" s="2487"/>
      <c r="P57" s="1749">
        <f ca="1">N57/M49</f>
        <v>0.5674104809717625</v>
      </c>
    </row>
    <row r="58" spans="1:35" ht="24.75">
      <c r="A58" s="182" t="s">
        <v>2211</v>
      </c>
      <c r="B58" s="3370" t="s">
        <v>2231</v>
      </c>
      <c r="C58" s="3371"/>
      <c r="D58" s="184">
        <f ca="1">IF(H58="转让取得",C81,C97)</f>
        <v>35796</v>
      </c>
      <c r="E58" s="11" t="s">
        <v>2226</v>
      </c>
      <c r="F58" s="23" t="s">
        <v>34</v>
      </c>
      <c r="G58" s="2481"/>
      <c r="H58" s="2484" t="s">
        <v>2232</v>
      </c>
      <c r="I58" s="2485"/>
      <c r="J58" s="3405"/>
      <c r="K58" s="3405"/>
      <c r="L58" s="2486" t="s">
        <v>2233</v>
      </c>
      <c r="M58" s="1757"/>
      <c r="N58" s="2488" t="str">
        <f ca="1">NUMBERSTRING(INT(N57*10000),2)&amp;"元整"</f>
        <v>叁亿伍仟捌佰贰拾捌万元整</v>
      </c>
      <c r="O58" s="2489"/>
    </row>
    <row r="59" spans="1:35" ht="24.75" thickBot="1">
      <c r="A59" s="3408" t="s">
        <v>2234</v>
      </c>
      <c r="B59" s="3409"/>
      <c r="C59" s="3409"/>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6">
        <f>J57+1</f>
        <v>5</v>
      </c>
      <c r="K59" s="3405" t="s">
        <v>2236</v>
      </c>
      <c r="L59" s="1808" t="s">
        <v>2230</v>
      </c>
      <c r="M59" s="1758"/>
      <c r="N59" s="1759">
        <f ca="1">M49-N57</f>
        <v>27315</v>
      </c>
      <c r="O59" s="2491"/>
    </row>
    <row r="60" spans="1:35" ht="12" customHeight="1">
      <c r="A60" s="2492"/>
      <c r="B60" s="2414"/>
      <c r="C60" s="2414"/>
      <c r="D60" s="2414"/>
      <c r="E60" s="2162"/>
      <c r="F60" s="2485"/>
      <c r="G60" s="2485"/>
      <c r="H60" s="2493"/>
      <c r="I60" s="137"/>
      <c r="J60" s="3407"/>
      <c r="K60" s="3405"/>
      <c r="L60" s="2486" t="s">
        <v>2233</v>
      </c>
      <c r="M60" s="1757"/>
      <c r="N60" s="2488" t="str">
        <f ca="1">NUMBERSTRING(INT(N59*10000),2)&amp;"元整"</f>
        <v>贰亿柒仟叁佰壹拾伍万元整</v>
      </c>
      <c r="O60" s="2489"/>
    </row>
    <row r="61" spans="1:35" ht="13.5" thickBot="1">
      <c r="A61" s="3352" t="s">
        <v>2237</v>
      </c>
      <c r="B61" s="3352"/>
      <c r="C61" s="3352"/>
      <c r="D61" s="3352"/>
      <c r="E61" s="3352"/>
      <c r="F61" s="2485"/>
      <c r="G61" s="2485"/>
      <c r="H61" s="2493"/>
      <c r="I61" s="137"/>
      <c r="J61" s="1808">
        <f>J59+1</f>
        <v>6</v>
      </c>
      <c r="K61" s="3405" t="s">
        <v>2238</v>
      </c>
      <c r="L61" s="3405"/>
      <c r="M61" s="1760"/>
      <c r="N61" s="1761">
        <f ca="1">ROUND(N59*10000/'数据-汇总表'!E3,0)</f>
        <v>16134</v>
      </c>
      <c r="O61" s="2494"/>
    </row>
    <row r="62" spans="1:35" ht="12.75">
      <c r="A62" s="3368" t="s">
        <v>2239</v>
      </c>
      <c r="B62" s="3369"/>
      <c r="C62" s="1800"/>
      <c r="D62" s="1800" t="s">
        <v>2240</v>
      </c>
      <c r="E62" s="191" t="s">
        <v>2241</v>
      </c>
      <c r="F62" s="2485"/>
      <c r="G62" s="2485"/>
      <c r="H62" s="2493"/>
      <c r="I62" s="137"/>
    </row>
    <row r="63" spans="1:35" ht="12.75">
      <c r="A63" s="202" t="s">
        <v>775</v>
      </c>
      <c r="B63" s="192" t="s">
        <v>2242</v>
      </c>
      <c r="C63" s="193">
        <f ca="1">ROUND((C64+C65)/(1+'数据-取费表'!C42),0)</f>
        <v>60136</v>
      </c>
      <c r="D63" s="194"/>
      <c r="E63" s="195"/>
      <c r="F63" s="2485"/>
      <c r="G63" s="2485"/>
      <c r="H63" s="2493"/>
      <c r="I63" s="137"/>
      <c r="J63" s="3430" t="s">
        <v>2243</v>
      </c>
      <c r="K63" s="2495" t="s">
        <v>2244</v>
      </c>
      <c r="L63" s="1748">
        <f ca="1">IF(M49&gt;10000,M49*0.5%,IF(AND(M49&gt;1000,M49&lt;=10000),M49*1%,IF(AND(M49&gt;100,M49&lt;=1000),M49*3%,IF(AND(M49&gt;10,M49&lt;=100),M49*5%,M49*8%))))</f>
        <v>315.71500000000003</v>
      </c>
      <c r="M63" s="23">
        <f ca="1">ROUND(L63,1)</f>
        <v>315.7</v>
      </c>
      <c r="Z63" s="2419"/>
      <c r="AI63" s="2420"/>
    </row>
    <row r="64" spans="1:35" ht="14.25" customHeight="1">
      <c r="A64" s="196" t="s">
        <v>770</v>
      </c>
      <c r="B64" s="197" t="s">
        <v>2245</v>
      </c>
      <c r="C64" s="198">
        <f ca="1">D45</f>
        <v>63143</v>
      </c>
      <c r="D64" s="199" t="s">
        <v>32</v>
      </c>
      <c r="E64" s="200"/>
      <c r="F64" s="2485"/>
      <c r="G64" s="2485"/>
      <c r="H64" s="2493"/>
      <c r="I64" s="137"/>
      <c r="J64" s="3430"/>
      <c r="K64" s="2495" t="s">
        <v>2246</v>
      </c>
      <c r="L64" s="1748">
        <f ca="1">IF(M49&gt;2000,M49*0.5%,IF(AND(M49&gt;1000,M49&lt;=2000),M49*0.6%,IF(AND(M49&gt;500,M49&lt;=1000),M49*0.7%,IF(AND(M49&gt;200,M49&lt;=500),M49*0.8%,IF(AND(M49&gt;100,M49&lt;=200),M49*0.9%,IF(AND(M49&gt;50,M49&lt;=100),M49*1%,IF(AND(M49&gt;20,M49&lt;=50),M49*1.5%,IF(AND(M49&gt;10,M49&lt;=20),M49*2%,IF(AND(M49&gt;1,M49&lt;=10),M49*2.5%)))))))))</f>
        <v>315.71500000000003</v>
      </c>
      <c r="M64" s="23">
        <f t="shared" ref="M64:M65" ca="1" si="1">ROUND(L64,1)</f>
        <v>315.7</v>
      </c>
      <c r="N64" s="137" t="s">
        <v>2247</v>
      </c>
      <c r="Z64" s="2419"/>
      <c r="AI64" s="2420"/>
    </row>
    <row r="65" spans="1:35" ht="14.25" customHeight="1">
      <c r="A65" s="196" t="s">
        <v>771</v>
      </c>
      <c r="B65" s="197" t="s">
        <v>2248</v>
      </c>
      <c r="C65" s="201"/>
      <c r="D65" s="199"/>
      <c r="E65" s="200"/>
      <c r="F65" s="2485"/>
      <c r="G65" s="2485"/>
      <c r="H65" s="2493"/>
      <c r="I65" s="137"/>
      <c r="J65" s="3430"/>
      <c r="K65" s="2495" t="s">
        <v>2249</v>
      </c>
      <c r="L65" s="1748">
        <f ca="1">IF(M49&gt;1000,M49*0.1%,IF(AND(M49&gt;500,M49&lt;=1000),M49*0.5%,IF(AND(M49&gt;50,M49&lt;=500),M49*1%,IF(AND(M49&gt;1,M49&lt;=50),M49*1.5%))))</f>
        <v>63.143000000000001</v>
      </c>
      <c r="M65" s="23">
        <f t="shared" ca="1" si="1"/>
        <v>63.1</v>
      </c>
      <c r="N65" s="137" t="s">
        <v>2247</v>
      </c>
      <c r="Z65" s="2419"/>
      <c r="AI65" s="2420"/>
    </row>
    <row r="66" spans="1:35" ht="14.25" customHeight="1">
      <c r="A66" s="202" t="s">
        <v>772</v>
      </c>
      <c r="B66" s="203" t="s">
        <v>2250</v>
      </c>
      <c r="C66" s="204"/>
      <c r="D66" s="205" t="s">
        <v>32</v>
      </c>
      <c r="E66" s="1772" t="s">
        <v>1367</v>
      </c>
      <c r="F66" s="2485"/>
      <c r="G66" s="2485"/>
      <c r="H66" s="2493"/>
      <c r="I66" s="137"/>
      <c r="J66" s="3430"/>
      <c r="K66" s="2495" t="s">
        <v>2251</v>
      </c>
      <c r="L66" s="1748">
        <f ca="1">M49*0.5%</f>
        <v>315.71500000000003</v>
      </c>
      <c r="M66" s="23">
        <f ca="1">IF(L66&gt;0.5,0.5,ROUND(L66,0))</f>
        <v>0.5</v>
      </c>
      <c r="N66" s="137" t="s">
        <v>2252</v>
      </c>
      <c r="Z66" s="2419"/>
      <c r="AI66" s="2420"/>
    </row>
    <row r="67" spans="1:35" ht="14.25" customHeight="1">
      <c r="A67" s="202" t="s">
        <v>773</v>
      </c>
      <c r="B67" s="203" t="s">
        <v>2253</v>
      </c>
      <c r="C67" s="206">
        <f ca="1">C63-C66</f>
        <v>60136</v>
      </c>
      <c r="D67" s="199" t="s">
        <v>32</v>
      </c>
      <c r="E67" s="200"/>
      <c r="F67" s="2485"/>
      <c r="G67" s="2485"/>
      <c r="H67" s="2493"/>
      <c r="I67" s="137"/>
      <c r="J67" s="3430"/>
      <c r="K67" s="2495" t="s">
        <v>2254</v>
      </c>
      <c r="L67" s="1748">
        <f ca="1">IF(M49&gt;=10000,(8.25+(M49-10000)*0.01%),IF(AND(M49&gt;=8000,M49&lt;10000),(7.85+(M49-8000)*0.02%),IF(AND(M49&gt;=5000,M49&lt;8000),(6.65+(M49-5000)*0.04%),IF(AND(M49&gt;=2000,M49&lt;5000),(4.25+(PM49-2000)*0.08%),IF(AND(M49&gt;=1000,M49&lt;2000),(2.75+(M49-1000)*0.15%),IF(AND(M49&gt;=100,M49&lt;1000),(0.5+(M49-100)*0.25%),IF(AND(M49&gt;0,M49&lt;100),M49*0.5%)))))))</f>
        <v>13.564299999999999</v>
      </c>
      <c r="M67" s="23">
        <f ca="1">ROUND(L67*0.9,1)</f>
        <v>12.2</v>
      </c>
      <c r="Z67" s="2419"/>
      <c r="AI67" s="2420"/>
    </row>
    <row r="68" spans="1:35" ht="14.25" customHeight="1" thickBot="1">
      <c r="A68" s="207" t="s">
        <v>774</v>
      </c>
      <c r="B68" s="208" t="s">
        <v>2255</v>
      </c>
      <c r="C68" s="209">
        <f ca="1">IF(C67&lt;=0,0,ROUND(C67*D68,0))</f>
        <v>3307</v>
      </c>
      <c r="D68" s="210">
        <f>'数据-取费表'!B41</f>
        <v>5.5000000000000007E-2</v>
      </c>
      <c r="E68" s="211"/>
      <c r="F68" s="2485"/>
      <c r="G68" s="2485"/>
      <c r="H68" s="2493"/>
      <c r="I68" s="137"/>
      <c r="J68" s="3430"/>
      <c r="K68" s="2495" t="s">
        <v>2256</v>
      </c>
      <c r="L68" s="1748">
        <f ca="1">IF(M49&gt;10000,M49*0.5%,IF(AND(M49&gt;5000,M49&lt;=10000),M49*1%,IF(AND(M49&gt;1000,M49&lt;=5000),M49*2%,IF(AND(M49&gt;200,M49&lt;=1000),M49*3%,M49*5%))))</f>
        <v>315.71500000000003</v>
      </c>
      <c r="M68" s="23">
        <f ca="1">ROUND(L68,1)</f>
        <v>315.7</v>
      </c>
      <c r="Z68" s="2419"/>
      <c r="AI68" s="2420"/>
    </row>
    <row r="69" spans="1:35" s="2442" customFormat="1" ht="16.5" customHeight="1">
      <c r="A69" s="2496"/>
      <c r="B69" s="2497"/>
      <c r="C69" s="2498"/>
      <c r="D69" s="2499"/>
      <c r="E69" s="2500"/>
      <c r="F69" s="2162"/>
      <c r="G69" s="2162"/>
      <c r="H69" s="2161"/>
      <c r="I69" s="2414"/>
      <c r="J69" s="3430"/>
      <c r="K69" s="2495" t="s">
        <v>2257</v>
      </c>
      <c r="L69" s="2501"/>
      <c r="M69" s="23">
        <f ca="1">ROUND(SUM(M63:M68),0)</f>
        <v>1023</v>
      </c>
      <c r="N69" s="1749">
        <f ca="1">M69/M49</f>
        <v>1.6201320811491376E-2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389" t="s">
        <v>2258</v>
      </c>
      <c r="B70" s="3390"/>
      <c r="C70" s="3390"/>
      <c r="D70" s="3390"/>
      <c r="E70" s="3390"/>
      <c r="F70" s="3390"/>
      <c r="G70" s="3390"/>
      <c r="H70" s="339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368" t="s">
        <v>2239</v>
      </c>
      <c r="B71" s="3369"/>
      <c r="C71" s="1800"/>
      <c r="D71" s="1800" t="s">
        <v>2240</v>
      </c>
      <c r="E71" s="212" t="s">
        <v>2241</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2259</v>
      </c>
      <c r="C72" s="206">
        <f ca="1">ROUND(D45/(1+'数据-取费表'!C42),0)</f>
        <v>60136</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2260</v>
      </c>
      <c r="C73" s="206">
        <f ca="1">C74+C78</f>
        <v>301</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2261</v>
      </c>
      <c r="C74" s="199">
        <f>ROUND(IF(G77="2016年5月1日后购买",C75/(1+'数据-取费表'!C42)+C76+C77,C75+C76+C77),0)</f>
        <v>0</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2262</v>
      </c>
      <c r="C75" s="217"/>
      <c r="D75" s="199" t="s">
        <v>32</v>
      </c>
      <c r="E75" s="218" t="s">
        <v>2263</v>
      </c>
      <c r="F75" s="2507" t="s">
        <v>2264</v>
      </c>
      <c r="G75" s="218" t="s">
        <v>2265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2266</v>
      </c>
      <c r="C76" s="199">
        <f>IF(F75="购房发票",ROUND(C75*H75*D76,0),0)</f>
        <v>0</v>
      </c>
      <c r="D76" s="221">
        <v>0.05</v>
      </c>
      <c r="E76" s="3363" t="s">
        <v>2267</v>
      </c>
      <c r="F76" s="3340"/>
      <c r="G76" s="3340"/>
      <c r="H76" s="338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2268</v>
      </c>
      <c r="C77" s="199">
        <f>ROUND(IF(G77="个人住宅",0,IF(G77="2016年5月1日前购买",C75*D77,C75*D77/(1+'数据-取费表'!C42))),0)</f>
        <v>0</v>
      </c>
      <c r="D77" s="222">
        <f>'数据-取费表'!B48+'数据-取费表'!B49</f>
        <v>3.0499999999999999E-2</v>
      </c>
      <c r="E77" s="14" t="s">
        <v>2269</v>
      </c>
      <c r="F77" s="223"/>
      <c r="G77" s="2509" t="s">
        <v>2270</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2271</v>
      </c>
      <c r="C78" s="224">
        <f ca="1">ROUND(D45*D78/(1+'数据-取费表'!C42),0)</f>
        <v>301</v>
      </c>
      <c r="D78" s="225">
        <f>'数据-取费表'!B43</f>
        <v>5.000000000000001E-3</v>
      </c>
      <c r="E78" s="3349" t="s">
        <v>2272</v>
      </c>
      <c r="F78" s="3350"/>
      <c r="G78" s="3350"/>
      <c r="H78" s="335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2273</v>
      </c>
      <c r="C79" s="206">
        <f ca="1">C72-C73</f>
        <v>59835</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2274</v>
      </c>
      <c r="C80" s="226">
        <f ca="1">IF(C79&lt;=0,0,C79/C73)</f>
        <v>198.78737541528238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2275</v>
      </c>
      <c r="C81" s="227">
        <f ca="1">ROUND(IF(C79&lt;=0,0,IF(C80&gt;=200%,C79*60%-C73*35%,IF(C80&gt;=100%,C79*50%-C73*15%,IF(C80&gt;=50%,C79*40%-C73*5%,IF(C80&lt;50%,C79*30%,0))))),0)</f>
        <v>35796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389" t="s">
        <v>2276</v>
      </c>
      <c r="B83" s="3390"/>
      <c r="C83" s="3390"/>
      <c r="D83" s="3390"/>
      <c r="E83" s="3390"/>
      <c r="F83" s="3390"/>
      <c r="G83" s="3390"/>
      <c r="H83" s="339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368" t="s">
        <v>2239</v>
      </c>
      <c r="B84" s="3369"/>
      <c r="C84" s="1800"/>
      <c r="D84" s="1800" t="s">
        <v>2240</v>
      </c>
      <c r="E84" s="212" t="s">
        <v>2241</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2259</v>
      </c>
      <c r="C85" s="206">
        <f ca="1">ROUND(D45/(1+'数据-取费表'!C42),0)</f>
        <v>60136</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2260</v>
      </c>
      <c r="C86" s="206">
        <f ca="1">IF(H88="仅含出让金",C87+C90+C91+C92+C93+C94,C87+C91+C92+C93+C94)</f>
        <v>301</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2277</v>
      </c>
      <c r="C87" s="224">
        <f>C88+C89</f>
        <v>0</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2278</v>
      </c>
      <c r="C88" s="235"/>
      <c r="D88" s="225"/>
      <c r="E88" s="236" t="s">
        <v>2279</v>
      </c>
      <c r="F88" s="1796"/>
      <c r="G88" s="237" t="s">
        <v>2280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2268</v>
      </c>
      <c r="C89" s="224">
        <f>ROUND(C88*D89,0)</f>
        <v>0</v>
      </c>
      <c r="D89" s="225">
        <f>'数据-取费表'!B48+'数据-取费表'!B49</f>
        <v>3.0499999999999999E-2</v>
      </c>
      <c r="E89" s="236" t="s">
        <v>2281</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2282</v>
      </c>
      <c r="C90" s="235"/>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2283</v>
      </c>
      <c r="B91" s="197" t="s">
        <v>2284</v>
      </c>
      <c r="C91" s="224">
        <f>IF(H91="——",成本法!C33,I91)</f>
        <v>0</v>
      </c>
      <c r="D91" s="225"/>
      <c r="E91" s="3349" t="s">
        <v>2285</v>
      </c>
      <c r="F91" s="3350"/>
      <c r="G91" s="3350"/>
      <c r="H91" s="2514" t="s">
        <v>2286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2287</v>
      </c>
      <c r="B92" s="197" t="s">
        <v>2288</v>
      </c>
      <c r="C92" s="224">
        <f>ROUND((C87+C90+C91)*D92,0)</f>
        <v>0</v>
      </c>
      <c r="D92" s="225">
        <v>0.1</v>
      </c>
      <c r="E92" s="3349" t="s">
        <v>2289</v>
      </c>
      <c r="F92" s="3350"/>
      <c r="G92" s="3350"/>
      <c r="H92" s="335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2290</v>
      </c>
      <c r="B93" s="197" t="s">
        <v>2271</v>
      </c>
      <c r="C93" s="224">
        <f ca="1">ROUND(D45*D93/(1+'数据-取费表'!C42),0)</f>
        <v>301</v>
      </c>
      <c r="D93" s="225">
        <f>'数据-取费表'!B43</f>
        <v>5.000000000000001E-3</v>
      </c>
      <c r="E93" s="3349" t="s">
        <v>2272</v>
      </c>
      <c r="F93" s="3350"/>
      <c r="G93" s="3350"/>
      <c r="H93" s="335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2291</v>
      </c>
      <c r="B94" s="197" t="s">
        <v>2292</v>
      </c>
      <c r="C94" s="235">
        <f>ROUND((C87+C90+C91)*D94,0)</f>
        <v>0</v>
      </c>
      <c r="D94" s="225">
        <v>0.2</v>
      </c>
      <c r="E94" s="3360" t="s">
        <v>2293</v>
      </c>
      <c r="F94" s="3361"/>
      <c r="G94" s="3361"/>
      <c r="H94" s="336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2273</v>
      </c>
      <c r="C95" s="206">
        <f ca="1">ROUND(C85-C86,0)</f>
        <v>59835</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2274</v>
      </c>
      <c r="C96" s="226">
        <f ca="1">IF(C95&lt;=0,0,C95/C86)</f>
        <v>198.78737541528238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2275</v>
      </c>
      <c r="C97" s="227">
        <f ca="1">ROUND(IF(C95&lt;=0,0,IF(C96&gt;=200%,C95*60%-C86*35%,IF(C96&gt;=100%,C95*50%-C86*15%,IF(C96&gt;=50%,C95*40%-C86*5%,IF(C96&lt;50%,C95*30%,0))))),0)</f>
        <v>35796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2294</v>
      </c>
      <c r="B99" s="2414"/>
      <c r="C99" s="2414"/>
      <c r="D99" s="2414"/>
      <c r="E99" s="2162"/>
      <c r="F99" s="2162"/>
      <c r="G99" s="2162"/>
      <c r="H99" s="2161"/>
      <c r="I99" s="137"/>
    </row>
    <row r="100" spans="1:35" ht="18.75" customHeight="1">
      <c r="A100" s="3323" t="s">
        <v>2295</v>
      </c>
      <c r="B100" s="3324"/>
      <c r="C100" s="3324"/>
      <c r="D100" s="3351"/>
      <c r="E100" s="3324" t="s">
        <v>2296</v>
      </c>
      <c r="F100" s="3324"/>
      <c r="G100" s="3324"/>
      <c r="H100" s="3351"/>
      <c r="I100" s="137"/>
    </row>
    <row r="101" spans="1:35" ht="18.75" customHeight="1">
      <c r="A101" s="3413" t="s">
        <v>2297</v>
      </c>
      <c r="B101" s="3414"/>
      <c r="C101" s="733" t="str">
        <f>C4</f>
        <v>典型户型修正</v>
      </c>
      <c r="D101" s="734" t="str">
        <f>D4</f>
        <v>收益法（汇总）</v>
      </c>
      <c r="E101" s="3427" t="s">
        <v>2298</v>
      </c>
      <c r="F101" s="3381"/>
      <c r="G101" s="2516" t="s">
        <v>2299</v>
      </c>
      <c r="H101" s="1045">
        <f ca="1">H118</f>
        <v>63143</v>
      </c>
      <c r="I101" s="137"/>
    </row>
    <row r="102" spans="1:35" ht="18.75" customHeight="1">
      <c r="A102" s="3383" t="s">
        <v>2300</v>
      </c>
      <c r="B102" s="2516" t="s">
        <v>2299</v>
      </c>
      <c r="C102" s="733">
        <f ca="1">C19</f>
        <v>70196</v>
      </c>
      <c r="D102" s="734">
        <f ca="1">D19</f>
        <v>56089</v>
      </c>
      <c r="E102" s="3427"/>
      <c r="F102" s="3381"/>
      <c r="G102" s="2516" t="s">
        <v>2301</v>
      </c>
      <c r="H102" s="370">
        <f ca="1">I118</f>
        <v>37297</v>
      </c>
      <c r="I102" s="137"/>
    </row>
    <row r="103" spans="1:35" ht="42.75" customHeight="1">
      <c r="A103" s="3383"/>
      <c r="B103" s="2516" t="s">
        <v>2301</v>
      </c>
      <c r="C103" s="735">
        <f ca="1">C20</f>
        <v>41471</v>
      </c>
      <c r="D103" s="736">
        <f ca="1">D20</f>
        <v>33130</v>
      </c>
      <c r="E103" s="3422" t="s">
        <v>2302</v>
      </c>
      <c r="F103" s="3423"/>
      <c r="G103" s="2517" t="s">
        <v>2303</v>
      </c>
      <c r="H103" s="1045">
        <f>IF(D36="正常操作",H104+H105+H106,H105+H106)</f>
        <v>0</v>
      </c>
      <c r="I103" s="137"/>
    </row>
    <row r="104" spans="1:35" ht="18.75" customHeight="1">
      <c r="A104" s="3383" t="s">
        <v>2304</v>
      </c>
      <c r="B104" s="2518" t="s">
        <v>2299</v>
      </c>
      <c r="C104" s="737">
        <f ca="1">H118</f>
        <v>63143</v>
      </c>
      <c r="D104" s="738"/>
      <c r="E104" s="2262" t="s">
        <v>2305</v>
      </c>
      <c r="F104" s="2254"/>
      <c r="G104" s="2517" t="s">
        <v>2303</v>
      </c>
      <c r="H104" s="1046">
        <f>IF(D36="同一抵押权人同一抵押物续贷",C36&amp;"（未扣减，详见特别提示）",C36)</f>
        <v>0</v>
      </c>
      <c r="I104" s="137"/>
    </row>
    <row r="105" spans="1:35" ht="18.75" customHeight="1" thickBot="1">
      <c r="A105" s="3384"/>
      <c r="B105" s="2519" t="s">
        <v>2301</v>
      </c>
      <c r="C105" s="739">
        <f ca="1">I118</f>
        <v>37297</v>
      </c>
      <c r="D105" s="740"/>
      <c r="E105" s="2262" t="s">
        <v>2306</v>
      </c>
      <c r="F105" s="2254"/>
      <c r="G105" s="2517" t="s">
        <v>2303</v>
      </c>
      <c r="H105" s="1046">
        <f>C37</f>
        <v>0</v>
      </c>
      <c r="I105" s="137"/>
    </row>
    <row r="106" spans="1:35" ht="18.75" customHeight="1">
      <c r="A106" s="2414" t="s">
        <v>2307</v>
      </c>
      <c r="B106" s="2414"/>
      <c r="C106" s="2414"/>
      <c r="D106" s="2414"/>
      <c r="E106" s="2520" t="s">
        <v>2308</v>
      </c>
      <c r="F106" s="2254"/>
      <c r="G106" s="2517" t="s">
        <v>2303</v>
      </c>
      <c r="H106" s="1046">
        <f>C38</f>
        <v>0</v>
      </c>
      <c r="I106" s="137"/>
    </row>
    <row r="107" spans="1:35" ht="18.75" customHeight="1">
      <c r="A107" s="137"/>
      <c r="B107" s="137"/>
      <c r="C107" s="137"/>
      <c r="D107" s="137"/>
      <c r="E107" s="3380" t="str">
        <f>IF(项目基本情况!E8="已注销","——","3.房地产抵押价值")</f>
        <v>3.房地产抵押价值</v>
      </c>
      <c r="F107" s="3381"/>
      <c r="G107" s="2516" t="s">
        <v>2299</v>
      </c>
      <c r="H107" s="1045">
        <f ca="1">IF(E107="——","——",H101-H103)</f>
        <v>63143</v>
      </c>
      <c r="I107" s="137"/>
    </row>
    <row r="108" spans="1:35" ht="18.75" customHeight="1">
      <c r="A108" s="137"/>
      <c r="B108" s="137"/>
      <c r="C108" s="137"/>
      <c r="D108" s="137"/>
      <c r="E108" s="3380"/>
      <c r="F108" s="3381"/>
      <c r="G108" s="2516" t="s">
        <v>2301</v>
      </c>
      <c r="H108" s="370">
        <f ca="1">ROUND(H107*10000/'数据-汇总表'!E3,0)</f>
        <v>37297</v>
      </c>
      <c r="I108" s="137"/>
    </row>
    <row r="109" spans="1:35" ht="18.75" customHeight="1">
      <c r="A109" s="137"/>
      <c r="B109" s="137"/>
      <c r="C109" s="137"/>
      <c r="D109" s="137"/>
      <c r="E109" s="3380" t="str">
        <f>IF(项目基本情况!E8="已注销及未注销","4.抵押担保权已注销时的房地产抵押价值",IF(项目基本情况!E8="已注销","3.抵押担保权已注销时的房地产抵押价值","——"))</f>
        <v>4.抵押担保权已注销时的房地产抵押价值</v>
      </c>
      <c r="F109" s="3381"/>
      <c r="G109" s="2516" t="s">
        <v>2299</v>
      </c>
      <c r="H109" s="347">
        <f ca="1">IF(E109="——","——",H101-H105-H106)</f>
        <v>63143</v>
      </c>
      <c r="I109" s="137"/>
    </row>
    <row r="110" spans="1:35" ht="18.75" customHeight="1">
      <c r="A110" s="137"/>
      <c r="B110" s="137"/>
      <c r="C110" s="137"/>
      <c r="D110" s="137"/>
      <c r="E110" s="3380"/>
      <c r="F110" s="3381"/>
      <c r="G110" s="2516" t="s">
        <v>2301</v>
      </c>
      <c r="H110" s="370">
        <f ca="1">IF(H109="——","——",ROUND(H109*10000/'数据-汇总表'!E3,0))</f>
        <v>37297</v>
      </c>
      <c r="I110" s="137"/>
    </row>
    <row r="111" spans="1:35" ht="18.75" customHeight="1">
      <c r="A111" s="137"/>
      <c r="B111" s="137"/>
      <c r="C111" s="137"/>
      <c r="D111" s="137"/>
      <c r="E111" s="3415" t="str">
        <f>IF(项目基本情况!E9="抵押净值",IF(OR(项目基本情况!E8="已注销",项目基本情况!E8="房地产抵押价值"),"4.抵押净值","5.抵押净值"),"——")</f>
        <v>——</v>
      </c>
      <c r="F111" s="3416"/>
      <c r="G111" s="2516" t="s">
        <v>2299</v>
      </c>
      <c r="H111" s="1045" t="str">
        <f>IF(E111="——","——",N59)</f>
        <v>——</v>
      </c>
      <c r="I111" s="137"/>
    </row>
    <row r="112" spans="1:35" ht="18.75" customHeight="1" thickBot="1">
      <c r="A112" s="137"/>
      <c r="B112" s="137"/>
      <c r="C112" s="137"/>
      <c r="D112" s="137"/>
      <c r="E112" s="3417"/>
      <c r="F112" s="3418"/>
      <c r="G112" s="2521" t="s">
        <v>2301</v>
      </c>
      <c r="H112" s="787" t="str">
        <f>IF(E111="——","——",N61)</f>
        <v>——</v>
      </c>
      <c r="I112" s="137"/>
    </row>
    <row r="113" spans="1:11" ht="18.75" customHeight="1">
      <c r="A113" s="137"/>
      <c r="B113" s="137"/>
      <c r="C113" s="137"/>
      <c r="D113" s="137"/>
      <c r="E113" s="3385" t="s">
        <v>2307</v>
      </c>
      <c r="F113" s="3385"/>
      <c r="G113" s="3385"/>
      <c r="H113" s="3385"/>
      <c r="I113" s="137"/>
    </row>
    <row r="114" spans="1:11" ht="3.75" customHeight="1">
      <c r="A114" s="2414"/>
      <c r="B114" s="2414"/>
      <c r="C114" s="2414"/>
      <c r="D114" s="2414"/>
      <c r="E114" s="2492"/>
      <c r="F114" s="2492"/>
      <c r="G114" s="2492"/>
      <c r="H114" s="2492"/>
      <c r="I114" s="2414"/>
    </row>
    <row r="115" spans="1:11" ht="18.75" customHeight="1">
      <c r="A115" s="3398" t="s">
        <v>2309</v>
      </c>
      <c r="B115" s="3399"/>
      <c r="C115" s="3399"/>
      <c r="D115" s="3399"/>
      <c r="E115" s="3399"/>
      <c r="F115" s="3399"/>
      <c r="G115" s="3399"/>
      <c r="H115" s="3399"/>
      <c r="I115" s="3400"/>
    </row>
    <row r="116" spans="1:11" ht="27" customHeight="1">
      <c r="A116" s="3280" t="s">
        <v>2310</v>
      </c>
      <c r="B116" s="3386" t="s">
        <v>2311</v>
      </c>
      <c r="C116" s="3386" t="s">
        <v>2312</v>
      </c>
      <c r="D116" s="3402" t="s">
        <v>2313</v>
      </c>
      <c r="E116" s="3403"/>
      <c r="F116" s="3394" t="s">
        <v>2314</v>
      </c>
      <c r="G116" s="3394"/>
      <c r="H116" s="3280" t="s">
        <v>2315</v>
      </c>
      <c r="I116" s="3280"/>
    </row>
    <row r="117" spans="1:11" ht="18.75" customHeight="1">
      <c r="A117" s="3280"/>
      <c r="B117" s="3387"/>
      <c r="C117" s="3387"/>
      <c r="D117" s="1794" t="s">
        <v>2316</v>
      </c>
      <c r="E117" s="1794" t="s">
        <v>2317</v>
      </c>
      <c r="F117" s="1794" t="s">
        <v>2316</v>
      </c>
      <c r="G117" s="1794" t="s">
        <v>2318</v>
      </c>
      <c r="H117" s="1794" t="s">
        <v>2316</v>
      </c>
      <c r="I117" s="1794" t="s">
        <v>2318</v>
      </c>
    </row>
    <row r="118" spans="1:11" ht="24.75" customHeight="1">
      <c r="A118" s="2522" t="str">
        <f>项目基本情况!S2</f>
        <v>北京市经济技术开发区荣华南路1号院1号楼房地产</v>
      </c>
      <c r="B118" s="1794">
        <f>M18</f>
        <v>16929.979999999996</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63143</v>
      </c>
      <c r="I118" s="1794">
        <f ca="1">ROUND(IF(D32="楼面单价",C32,H118*10000/B118),0)</f>
        <v>37297</v>
      </c>
    </row>
    <row r="119" spans="1:11" ht="18.75" customHeight="1">
      <c r="A119" s="3280" t="s">
        <v>2319</v>
      </c>
      <c r="B119" s="3280"/>
      <c r="C119" s="3280"/>
      <c r="D119" s="3391" t="e">
        <f ca="1">NUMBERSTRING(INT(D118*10000),2)&amp;"元整"</f>
        <v>#REF!</v>
      </c>
      <c r="E119" s="3393"/>
      <c r="F119" s="3391" t="e">
        <f ca="1">NUMBERSTRING(INT(F118*10000),2)&amp;"元整"</f>
        <v>#REF!</v>
      </c>
      <c r="G119" s="3393"/>
      <c r="H119" s="3391" t="str">
        <f ca="1">NUMBERSTRING(INT(H118*10000),2)&amp;"元整"</f>
        <v>陆亿叁仟壹佰肆拾叁万元整</v>
      </c>
      <c r="I119" s="3393"/>
    </row>
    <row r="120" spans="1:11" ht="18.75" customHeight="1">
      <c r="A120" s="3419" t="str">
        <f>IF(项目基本情况!B9="房地产市场价值","",MID(E103,3,LEN(E103)-2))</f>
        <v>估价师知悉的法定优先受偿款</v>
      </c>
      <c r="B120" s="3420"/>
      <c r="C120" s="3421"/>
      <c r="D120" s="3419">
        <f>H103</f>
        <v>0</v>
      </c>
      <c r="E120" s="3420"/>
      <c r="F120" s="3420"/>
      <c r="G120" s="3420"/>
      <c r="H120" s="3420"/>
      <c r="I120" s="3421"/>
      <c r="K120" s="2419" t="str">
        <f>IF(D120=0,"故，本次评估不存在"&amp;A120,"故，本次评估"&amp;A120&amp;"为人民币"&amp;D120&amp;"万元整。")</f>
        <v>故，本次评估不存在估价师知悉的法定优先受偿款</v>
      </c>
    </row>
    <row r="121" spans="1:11" ht="18.75" customHeight="1">
      <c r="A121" s="3395" t="s">
        <v>2319</v>
      </c>
      <c r="B121" s="3396"/>
      <c r="C121" s="3397"/>
      <c r="D121" s="3391" t="str">
        <f>IF(D120=0,"零元整",NUMBERSTRING(INT(D120*10000),2)&amp;"元整")</f>
        <v>零元整</v>
      </c>
      <c r="E121" s="3392"/>
      <c r="F121" s="3392"/>
      <c r="G121" s="3392"/>
      <c r="H121" s="3392"/>
      <c r="I121" s="3393"/>
    </row>
    <row r="122" spans="1:11" ht="18.75" customHeight="1">
      <c r="A122" s="3382" t="str">
        <f>IF(项目基本情况!B9="房地产市场价值","",MID(E107,3,LEN(E107)-2))</f>
        <v>房地产抵押价值</v>
      </c>
      <c r="B122" s="3382"/>
      <c r="C122" s="3382"/>
      <c r="D122" s="3419">
        <f ca="1">H107</f>
        <v>63143</v>
      </c>
      <c r="E122" s="3420"/>
      <c r="F122" s="3420"/>
      <c r="G122" s="3420"/>
      <c r="H122" s="3420"/>
      <c r="I122" s="3421"/>
    </row>
    <row r="123" spans="1:11" ht="18.75" customHeight="1">
      <c r="A123" s="3280" t="s">
        <v>2319</v>
      </c>
      <c r="B123" s="3280"/>
      <c r="C123" s="3280"/>
      <c r="D123" s="3391" t="str">
        <f ca="1">NUMBERSTRING(INT(D122*10000),2)&amp;"元整"</f>
        <v>陆亿叁仟壹佰肆拾叁万元整</v>
      </c>
      <c r="E123" s="3392"/>
      <c r="F123" s="3392"/>
      <c r="G123" s="3392"/>
      <c r="H123" s="3392"/>
      <c r="I123" s="3393"/>
    </row>
    <row r="124" spans="1:11" ht="18.75" customHeight="1">
      <c r="A124" s="3382" t="str">
        <f>IF(项目基本情况!B9="房地产市场价值","",MID(E109,3,LEN(E109)-2))</f>
        <v>抵押担保权已注销时的房地产抵押价值</v>
      </c>
      <c r="B124" s="3382"/>
      <c r="C124" s="3382"/>
      <c r="D124" s="3419">
        <f ca="1">H109</f>
        <v>63143</v>
      </c>
      <c r="E124" s="3420"/>
      <c r="F124" s="3420"/>
      <c r="G124" s="3420"/>
      <c r="H124" s="3420"/>
      <c r="I124" s="3421"/>
    </row>
    <row r="125" spans="1:11" ht="18.75" customHeight="1">
      <c r="A125" s="3280" t="s">
        <v>2319</v>
      </c>
      <c r="B125" s="3280"/>
      <c r="C125" s="3280"/>
      <c r="D125" s="3391" t="str">
        <f ca="1">NUMBERSTRING(INT(D124*10000),2)&amp;"元整"</f>
        <v>陆亿叁仟壹佰肆拾叁万元整</v>
      </c>
      <c r="E125" s="3392"/>
      <c r="F125" s="3392"/>
      <c r="G125" s="3392"/>
      <c r="H125" s="3392"/>
      <c r="I125" s="3393"/>
    </row>
    <row r="126" spans="1:11" ht="18.75" customHeight="1">
      <c r="A126" s="3382" t="str">
        <f>IF(项目基本情况!B9="房地产市场价值","",MID(E111,3,LEN(E111)-2))</f>
        <v/>
      </c>
      <c r="B126" s="3382"/>
      <c r="C126" s="3382"/>
      <c r="D126" s="3419" t="str">
        <f>H111</f>
        <v>——</v>
      </c>
      <c r="E126" s="3420"/>
      <c r="F126" s="3420"/>
      <c r="G126" s="3420"/>
      <c r="H126" s="3420"/>
      <c r="I126" s="3421"/>
    </row>
    <row r="127" spans="1:11" ht="18.75" customHeight="1">
      <c r="A127" s="3280" t="s">
        <v>2319</v>
      </c>
      <c r="B127" s="3280"/>
      <c r="C127" s="3280"/>
      <c r="D127" s="3391" t="e">
        <f>NUMBERSTRING(INT(D126*10000),2)&amp;"元整"</f>
        <v>#VALUE!</v>
      </c>
      <c r="E127" s="3392"/>
      <c r="F127" s="3392"/>
      <c r="G127" s="3392"/>
      <c r="H127" s="3392"/>
      <c r="I127" s="3393"/>
    </row>
    <row r="128" spans="1:11" ht="21.75" customHeight="1">
      <c r="A128" s="3401" t="s">
        <v>2320</v>
      </c>
      <c r="B128" s="3401"/>
      <c r="C128" s="3401"/>
      <c r="D128" s="3401"/>
      <c r="E128" s="3401"/>
      <c r="F128" s="3401"/>
      <c r="G128" s="3401"/>
      <c r="H128" s="3401"/>
      <c r="I128" s="3401"/>
    </row>
    <row r="129" spans="1:35" ht="21.75" customHeight="1">
      <c r="A129" s="2523" t="s">
        <v>2321</v>
      </c>
      <c r="B129" s="2524"/>
      <c r="C129" s="2525" t="s">
        <v>2322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2323</v>
      </c>
      <c r="G135" s="2540"/>
      <c r="H135" s="2540"/>
      <c r="I135" s="2541" t="s">
        <v>2324</v>
      </c>
    </row>
    <row r="136" spans="1:35" ht="21.75" customHeight="1">
      <c r="A136" s="792"/>
      <c r="B136" s="2542"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2326</v>
      </c>
    </row>
    <row r="139" spans="1:35" ht="21.75" customHeight="1">
      <c r="A139" s="792"/>
      <c r="B139" s="2542" t="s">
        <v>2327</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2326</v>
      </c>
    </row>
    <row r="142" spans="1:35" ht="21.75" customHeight="1">
      <c r="A142" s="792"/>
      <c r="B142" s="2542"/>
      <c r="C142" s="2543"/>
      <c r="D142" s="2544"/>
      <c r="E142" s="2544"/>
      <c r="F142" s="2336"/>
      <c r="G142" s="792"/>
      <c r="H142" s="792"/>
      <c r="I142" s="792"/>
    </row>
    <row r="143" spans="1:35" s="138"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C10:D13">
    <cfRule type="cellIs" dxfId="203" priority="8" stopIfTrue="1" operator="equal">
      <formula>15</formula>
    </cfRule>
  </conditionalFormatting>
  <conditionalFormatting sqref="D14:D16">
    <cfRule type="cellIs" dxfId="202" priority="6" stopIfTrue="1" operator="equal">
      <formula>30</formula>
    </cfRule>
  </conditionalFormatting>
  <conditionalFormatting sqref="C90">
    <cfRule type="expression" dxfId="201" priority="3" stopIfTrue="1">
      <formula>$H$88&lt;&gt;"仅含出让金"</formula>
    </cfRule>
  </conditionalFormatting>
  <conditionalFormatting sqref="C91">
    <cfRule type="expression" dxfId="200" priority="2" stopIfTrue="1">
      <formula>$H$91="由企业提供"</formula>
    </cfRule>
  </conditionalFormatting>
  <conditionalFormatting sqref="E36">
    <cfRule type="expression" dxfId="19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0" sqref="C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667" t="s">
        <v>2688</v>
      </c>
      <c r="C1" s="1619" t="s">
        <v>2532</v>
      </c>
      <c r="D1" s="1620" t="s">
        <v>3414</v>
      </c>
      <c r="E1" s="1629"/>
      <c r="F1" s="2582" t="s">
        <v>3074</v>
      </c>
      <c r="G1" s="1630" t="s">
        <v>2645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f>IF(C2="——",ROUND(C50*D3/10000,0),ROUND(C50*D3/10000,0)-D2)</f>
        <v>11135</v>
      </c>
      <c r="C2" s="2584" t="s">
        <v>70</v>
      </c>
      <c r="D2" s="1364">
        <f ca="1">SUMIF(INDIRECT("'"&amp;F2&amp;"'"&amp;"!A:A"),"承租人权益价值",INDIRECT("'"&amp;F2&amp;"'"&amp;"!c:c"))</f>
        <v>14</v>
      </c>
      <c r="E2" s="2585" t="s">
        <v>2330</v>
      </c>
      <c r="F2" s="2586" t="s">
        <v>3418</v>
      </c>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f>IF(C2="——",C50,ROUND(B2*10000/D3,0))</f>
        <v>41561</v>
      </c>
      <c r="C3" s="399" t="s">
        <v>2646</v>
      </c>
      <c r="D3" s="398">
        <f>IF(D1="",'数据-汇总表'!E3,SUMIF('数据-汇总表'!$C19:$C33,D1,'数据-汇总表'!$E19:$E33))</f>
        <v>2679.1499999999996</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2647</v>
      </c>
      <c r="B4" s="401"/>
      <c r="C4" s="3451" t="s">
        <v>2648</v>
      </c>
      <c r="D4" s="3452"/>
      <c r="E4" s="3453" t="s">
        <v>2649</v>
      </c>
      <c r="F4" s="3454"/>
      <c r="G4" s="3451" t="s">
        <v>2650</v>
      </c>
      <c r="H4" s="3452"/>
      <c r="I4" s="3451" t="s">
        <v>2651</v>
      </c>
      <c r="J4" s="3452"/>
      <c r="K4" s="609" t="s">
        <v>2652</v>
      </c>
      <c r="L4" s="1130"/>
      <c r="M4" s="1131"/>
      <c r="N4" s="1131"/>
      <c r="O4" s="1131"/>
      <c r="P4" s="3455" t="s">
        <v>2653</v>
      </c>
      <c r="Q4" s="3456"/>
      <c r="R4" s="3461" t="s">
        <v>2649</v>
      </c>
      <c r="S4" s="3462"/>
      <c r="T4" s="3461" t="s">
        <v>2650</v>
      </c>
      <c r="U4" s="3462"/>
      <c r="V4" s="3467" t="s">
        <v>2651</v>
      </c>
      <c r="W4" s="3467"/>
      <c r="X4" s="2668"/>
      <c r="Y4" s="3461" t="s">
        <v>2653</v>
      </c>
      <c r="Z4" s="3462"/>
      <c r="AA4" s="3480" t="s">
        <v>2649</v>
      </c>
      <c r="AB4" s="3480" t="s">
        <v>2650</v>
      </c>
      <c r="AC4" s="3448" t="s">
        <v>2651</v>
      </c>
    </row>
    <row r="5" spans="1:29" ht="15" customHeight="1">
      <c r="A5" s="403"/>
      <c r="B5" s="404"/>
      <c r="C5" s="3477" t="s">
        <v>2544</v>
      </c>
      <c r="D5" s="3472"/>
      <c r="E5" s="3483" t="s">
        <v>3107</v>
      </c>
      <c r="F5" s="3484"/>
      <c r="G5" s="3471" t="s">
        <v>3108</v>
      </c>
      <c r="H5" s="3472"/>
      <c r="I5" s="3471" t="s">
        <v>3109</v>
      </c>
      <c r="J5" s="3472"/>
      <c r="K5" s="609"/>
      <c r="L5" s="1130"/>
      <c r="M5" s="1131"/>
      <c r="N5" s="1131"/>
      <c r="O5" s="1131"/>
      <c r="P5" s="3457"/>
      <c r="Q5" s="3458"/>
      <c r="R5" s="3463"/>
      <c r="S5" s="3464"/>
      <c r="T5" s="3463"/>
      <c r="U5" s="3464"/>
      <c r="V5" s="3468"/>
      <c r="W5" s="3468"/>
      <c r="X5" s="1812"/>
      <c r="Y5" s="3463"/>
      <c r="Z5" s="3464"/>
      <c r="AA5" s="3481"/>
      <c r="AB5" s="3481"/>
      <c r="AC5" s="3449"/>
    </row>
    <row r="6" spans="1:29" ht="15.75" thickBot="1">
      <c r="A6" s="405"/>
      <c r="B6" s="406"/>
      <c r="C6" s="3469" t="s">
        <v>2548</v>
      </c>
      <c r="D6" s="3470"/>
      <c r="E6" s="3478" t="s">
        <v>2548</v>
      </c>
      <c r="F6" s="3479"/>
      <c r="G6" s="3469" t="s">
        <v>2548</v>
      </c>
      <c r="H6" s="3470"/>
      <c r="I6" s="3469" t="s">
        <v>2548</v>
      </c>
      <c r="J6" s="3470"/>
      <c r="K6" s="609" t="s">
        <v>2549</v>
      </c>
      <c r="L6" s="1130"/>
      <c r="M6" s="1131"/>
      <c r="N6" s="1131"/>
      <c r="O6" s="1131"/>
      <c r="P6" s="3459"/>
      <c r="Q6" s="3460"/>
      <c r="R6" s="3463"/>
      <c r="S6" s="3464"/>
      <c r="T6" s="3465"/>
      <c r="U6" s="3466"/>
      <c r="V6" s="3468"/>
      <c r="W6" s="3468"/>
      <c r="X6" s="1812"/>
      <c r="Y6" s="3465"/>
      <c r="Z6" s="3466"/>
      <c r="AA6" s="3482"/>
      <c r="AB6" s="3482"/>
      <c r="AC6" s="3450"/>
    </row>
    <row r="7" spans="1:29" s="116" customFormat="1" ht="15.75" thickBot="1">
      <c r="A7" s="407" t="s">
        <v>2550</v>
      </c>
      <c r="B7" s="408"/>
      <c r="C7" s="409">
        <f>'数据-取费表'!B2</f>
        <v>43553</v>
      </c>
      <c r="D7" s="410">
        <v>100</v>
      </c>
      <c r="E7" s="411">
        <v>43339</v>
      </c>
      <c r="F7" s="412">
        <f>SUMIF(59:59,YEAR(E7)&amp;"-"&amp;MONTH(E7),60:60)</f>
        <v>98</v>
      </c>
      <c r="G7" s="411">
        <v>43353</v>
      </c>
      <c r="H7" s="410">
        <f>SUMIF(59:59,YEAR(G7)&amp;"-"&amp;MONTH(G7),60:60)</f>
        <v>98</v>
      </c>
      <c r="I7" s="411">
        <v>43300</v>
      </c>
      <c r="J7" s="410">
        <f>SUMIF(59:59,YEAR(I7)&amp;"-"&amp;MONTH(I7),60:60)</f>
        <v>98</v>
      </c>
      <c r="K7" s="610"/>
      <c r="L7" s="1132"/>
      <c r="M7" s="1133"/>
      <c r="N7" s="1133"/>
      <c r="O7" s="1133"/>
      <c r="P7" s="3473" t="s">
        <v>2551</v>
      </c>
      <c r="Q7" s="3476"/>
      <c r="R7" s="767" t="s">
        <v>17</v>
      </c>
      <c r="S7" s="768">
        <f t="shared" ref="S7:S15" si="0">F7</f>
        <v>98</v>
      </c>
      <c r="T7" s="767" t="s">
        <v>17</v>
      </c>
      <c r="U7" s="768">
        <f t="shared" ref="U7:U15" si="1">H7</f>
        <v>98</v>
      </c>
      <c r="V7" s="767" t="s">
        <v>17</v>
      </c>
      <c r="W7" s="768">
        <f t="shared" ref="W7:W15" si="2">J7</f>
        <v>98</v>
      </c>
      <c r="X7" s="769"/>
      <c r="Y7" s="3475" t="s">
        <v>2551</v>
      </c>
      <c r="Z7" s="3474"/>
      <c r="AA7" s="770">
        <f>D7/F7</f>
        <v>1.0204081632653061</v>
      </c>
      <c r="AB7" s="770">
        <f>D7/H7</f>
        <v>1.0204081632653061</v>
      </c>
      <c r="AC7" s="2669">
        <f>D7/J7</f>
        <v>1.0204081632653061</v>
      </c>
    </row>
    <row r="8" spans="1:29" s="116" customFormat="1" ht="15.75" thickBot="1">
      <c r="A8" s="407" t="s">
        <v>2552</v>
      </c>
      <c r="B8" s="408"/>
      <c r="C8" s="413" t="s">
        <v>2654</v>
      </c>
      <c r="D8" s="410">
        <v>100</v>
      </c>
      <c r="E8" s="413" t="s">
        <v>3110</v>
      </c>
      <c r="F8" s="412">
        <f>SUMIF(62:62,E8,63:63)-SUMIF(62:62,C8,63:63)+100</f>
        <v>100</v>
      </c>
      <c r="G8" s="413" t="s">
        <v>3110</v>
      </c>
      <c r="H8" s="410">
        <f>SUMIF(62:62,G8,63:63)-SUMIF(62:62,C8,63:63)+100</f>
        <v>100</v>
      </c>
      <c r="I8" s="413" t="s">
        <v>3110</v>
      </c>
      <c r="J8" s="410">
        <f>SUMIF(62:62,I8,63:63)-SUMIF(62:62,C8,63:63)+100</f>
        <v>100</v>
      </c>
      <c r="K8" s="610"/>
      <c r="L8" s="1132"/>
      <c r="M8" s="1133"/>
      <c r="N8" s="1133"/>
      <c r="O8" s="1133"/>
      <c r="P8" s="3473" t="s">
        <v>2554</v>
      </c>
      <c r="Q8" s="3474"/>
      <c r="R8" s="767" t="s">
        <v>17</v>
      </c>
      <c r="S8" s="768">
        <f t="shared" si="0"/>
        <v>100</v>
      </c>
      <c r="T8" s="767" t="s">
        <v>17</v>
      </c>
      <c r="U8" s="768">
        <f t="shared" si="1"/>
        <v>100</v>
      </c>
      <c r="V8" s="767" t="s">
        <v>17</v>
      </c>
      <c r="W8" s="768">
        <f t="shared" si="2"/>
        <v>100</v>
      </c>
      <c r="X8" s="769"/>
      <c r="Y8" s="3475" t="s">
        <v>2554</v>
      </c>
      <c r="Z8" s="3474"/>
      <c r="AA8" s="770">
        <f t="shared" ref="AA8:AA47" si="3">D8/F8</f>
        <v>1</v>
      </c>
      <c r="AB8" s="770">
        <f t="shared" ref="AB8:AB47" si="4">D8/H8</f>
        <v>1</v>
      </c>
      <c r="AC8" s="2669">
        <f t="shared" ref="AC8:AC47" si="5">D8/J8</f>
        <v>1</v>
      </c>
    </row>
    <row r="9" spans="1:29" s="116" customFormat="1">
      <c r="A9" s="414" t="s">
        <v>2555</v>
      </c>
      <c r="B9" s="70" t="s">
        <v>2556</v>
      </c>
      <c r="C9" s="2995" t="s">
        <v>3111</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433" t="s">
        <v>2557</v>
      </c>
      <c r="Q9" s="1794" t="str">
        <f t="shared" ref="Q9:Q15" si="6">B9</f>
        <v>用途</v>
      </c>
      <c r="R9" s="767" t="s">
        <v>17</v>
      </c>
      <c r="S9" s="768">
        <f t="shared" si="0"/>
        <v>100</v>
      </c>
      <c r="T9" s="767" t="s">
        <v>17</v>
      </c>
      <c r="U9" s="768">
        <f t="shared" si="1"/>
        <v>100</v>
      </c>
      <c r="V9" s="767" t="s">
        <v>17</v>
      </c>
      <c r="W9" s="768">
        <f t="shared" si="2"/>
        <v>100</v>
      </c>
      <c r="X9" s="769"/>
      <c r="Y9" s="3280" t="s">
        <v>2558</v>
      </c>
      <c r="Z9" s="54" t="str">
        <f t="shared" ref="Z9:Z15" si="7">Q9</f>
        <v>用途</v>
      </c>
      <c r="AA9" s="770">
        <f t="shared" si="3"/>
        <v>1</v>
      </c>
      <c r="AB9" s="770">
        <f t="shared" si="4"/>
        <v>1</v>
      </c>
      <c r="AC9" s="2669">
        <f t="shared" si="5"/>
        <v>1</v>
      </c>
    </row>
    <row r="10" spans="1:29" s="426" customFormat="1" ht="27">
      <c r="A10" s="420"/>
      <c r="B10" s="421" t="s">
        <v>2559</v>
      </c>
      <c r="C10" s="422" t="s">
        <v>3112</v>
      </c>
      <c r="D10" s="135">
        <v>100</v>
      </c>
      <c r="E10" s="422" t="s">
        <v>3112</v>
      </c>
      <c r="F10" s="135">
        <f>SUMIF(66:66,E10,67:67)-SUMIF(66:66,C10,67:67)+100</f>
        <v>100</v>
      </c>
      <c r="G10" s="423" t="s">
        <v>3112</v>
      </c>
      <c r="H10" s="135">
        <f>SUMIF(66:66,G10,67:67)-SUMIF(66:66,C10,67:67)+100</f>
        <v>100</v>
      </c>
      <c r="I10" s="422" t="s">
        <v>3112</v>
      </c>
      <c r="J10" s="135">
        <f>SUMIF(66:66,I10,67:67)-SUMIF(66:66,C10,67:67)+100</f>
        <v>100</v>
      </c>
      <c r="K10" s="611">
        <v>2</v>
      </c>
      <c r="L10" s="1135"/>
      <c r="M10" s="1136"/>
      <c r="N10" s="1136"/>
      <c r="O10" s="1136"/>
      <c r="P10" s="3433"/>
      <c r="Q10" s="1794" t="str">
        <f t="shared" si="6"/>
        <v>土地使用年限（年）</v>
      </c>
      <c r="R10" s="767" t="s">
        <v>17</v>
      </c>
      <c r="S10" s="768">
        <f t="shared" si="0"/>
        <v>100</v>
      </c>
      <c r="T10" s="767" t="s">
        <v>17</v>
      </c>
      <c r="U10" s="768">
        <f t="shared" si="1"/>
        <v>100</v>
      </c>
      <c r="V10" s="767" t="s">
        <v>17</v>
      </c>
      <c r="W10" s="768">
        <f t="shared" si="2"/>
        <v>100</v>
      </c>
      <c r="X10" s="769"/>
      <c r="Y10" s="3280"/>
      <c r="Z10" s="54" t="str">
        <f t="shared" si="7"/>
        <v>土地使用年限（年）</v>
      </c>
      <c r="AA10" s="770">
        <f t="shared" si="3"/>
        <v>1</v>
      </c>
      <c r="AB10" s="770">
        <f t="shared" si="4"/>
        <v>1</v>
      </c>
      <c r="AC10" s="2669">
        <f t="shared" si="5"/>
        <v>1</v>
      </c>
    </row>
    <row r="11" spans="1:29" ht="15">
      <c r="A11" s="427"/>
      <c r="B11" s="421" t="s">
        <v>2560</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433"/>
      <c r="Q11" s="1794" t="str">
        <f t="shared" si="6"/>
        <v>容积率</v>
      </c>
      <c r="R11" s="767" t="s">
        <v>17</v>
      </c>
      <c r="S11" s="768">
        <f t="shared" si="0"/>
        <v>100</v>
      </c>
      <c r="T11" s="767" t="s">
        <v>17</v>
      </c>
      <c r="U11" s="768">
        <f t="shared" si="1"/>
        <v>100</v>
      </c>
      <c r="V11" s="767" t="s">
        <v>17</v>
      </c>
      <c r="W11" s="768">
        <f t="shared" si="2"/>
        <v>100</v>
      </c>
      <c r="X11" s="769"/>
      <c r="Y11" s="3280"/>
      <c r="Z11" s="54" t="str">
        <f t="shared" si="7"/>
        <v>容积率</v>
      </c>
      <c r="AA11" s="770">
        <f t="shared" si="3"/>
        <v>1</v>
      </c>
      <c r="AB11" s="770">
        <f t="shared" si="4"/>
        <v>1</v>
      </c>
      <c r="AC11" s="2669">
        <f t="shared" si="5"/>
        <v>1</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2"/>
      <c r="M12" s="1133"/>
      <c r="N12" s="1133"/>
      <c r="O12" s="1133"/>
      <c r="P12" s="3433"/>
      <c r="Q12" s="1794">
        <f t="shared" si="6"/>
        <v>111</v>
      </c>
      <c r="R12" s="767" t="s">
        <v>17</v>
      </c>
      <c r="S12" s="768">
        <f t="shared" si="0"/>
        <v>100</v>
      </c>
      <c r="T12" s="767" t="s">
        <v>17</v>
      </c>
      <c r="U12" s="768">
        <f t="shared" si="1"/>
        <v>100</v>
      </c>
      <c r="V12" s="767" t="s">
        <v>17</v>
      </c>
      <c r="W12" s="768">
        <f t="shared" si="2"/>
        <v>100</v>
      </c>
      <c r="X12" s="769"/>
      <c r="Y12" s="3280"/>
      <c r="Z12" s="54">
        <f t="shared" si="7"/>
        <v>111</v>
      </c>
      <c r="AA12" s="770">
        <f>D12/F12</f>
        <v>1</v>
      </c>
      <c r="AB12" s="770">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0"/>
      <c r="M13" s="1131"/>
      <c r="N13" s="1131"/>
      <c r="O13" s="1131"/>
      <c r="P13" s="3433"/>
      <c r="Q13" s="1794">
        <f t="shared" si="6"/>
        <v>111</v>
      </c>
      <c r="R13" s="767" t="s">
        <v>17</v>
      </c>
      <c r="S13" s="768">
        <f t="shared" si="0"/>
        <v>100</v>
      </c>
      <c r="T13" s="767" t="s">
        <v>17</v>
      </c>
      <c r="U13" s="768">
        <f t="shared" si="1"/>
        <v>100</v>
      </c>
      <c r="V13" s="767" t="s">
        <v>17</v>
      </c>
      <c r="W13" s="768">
        <f t="shared" si="2"/>
        <v>100</v>
      </c>
      <c r="X13" s="769"/>
      <c r="Y13" s="3280"/>
      <c r="Z13" s="54">
        <f t="shared" si="7"/>
        <v>111</v>
      </c>
      <c r="AA13" s="770">
        <f t="shared" si="3"/>
        <v>1</v>
      </c>
      <c r="AB13" s="770">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0"/>
      <c r="M14" s="1131"/>
      <c r="N14" s="1131"/>
      <c r="O14" s="1131"/>
      <c r="P14" s="3433"/>
      <c r="Q14" s="1794">
        <f t="shared" si="6"/>
        <v>111</v>
      </c>
      <c r="R14" s="767" t="s">
        <v>17</v>
      </c>
      <c r="S14" s="768">
        <f t="shared" si="0"/>
        <v>100</v>
      </c>
      <c r="T14" s="767" t="s">
        <v>17</v>
      </c>
      <c r="U14" s="768">
        <f t="shared" si="1"/>
        <v>100</v>
      </c>
      <c r="V14" s="767" t="s">
        <v>17</v>
      </c>
      <c r="W14" s="768">
        <f t="shared" si="2"/>
        <v>100</v>
      </c>
      <c r="X14" s="769"/>
      <c r="Y14" s="3280"/>
      <c r="Z14" s="54">
        <f t="shared" si="7"/>
        <v>111</v>
      </c>
      <c r="AA14" s="770">
        <f t="shared" si="3"/>
        <v>1</v>
      </c>
      <c r="AB14" s="770">
        <f t="shared" si="4"/>
        <v>1</v>
      </c>
      <c r="AC14" s="2669">
        <f t="shared" si="5"/>
        <v>1</v>
      </c>
    </row>
    <row r="15" spans="1:29" ht="71.25">
      <c r="A15" s="439" t="s">
        <v>2561</v>
      </c>
      <c r="B15" s="628" t="s">
        <v>2689</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439" t="s">
        <v>2562</v>
      </c>
      <c r="Q15" s="1809" t="str">
        <f t="shared" si="6"/>
        <v>办公集聚程度</v>
      </c>
      <c r="R15" s="771" t="s">
        <v>17</v>
      </c>
      <c r="S15" s="772">
        <f t="shared" si="0"/>
        <v>100</v>
      </c>
      <c r="T15" s="771" t="s">
        <v>17</v>
      </c>
      <c r="U15" s="772">
        <f t="shared" si="1"/>
        <v>100</v>
      </c>
      <c r="V15" s="771" t="s">
        <v>17</v>
      </c>
      <c r="W15" s="772">
        <f t="shared" si="2"/>
        <v>100</v>
      </c>
      <c r="X15" s="1812"/>
      <c r="Y15" s="3441" t="s">
        <v>2562</v>
      </c>
      <c r="Z15" s="1813" t="str">
        <f t="shared" si="7"/>
        <v>办公集聚程度</v>
      </c>
      <c r="AA15" s="1810">
        <f t="shared" si="3"/>
        <v>1</v>
      </c>
      <c r="AB15" s="1810">
        <f t="shared" si="4"/>
        <v>1</v>
      </c>
      <c r="AC15" s="2672">
        <f t="shared" si="5"/>
        <v>1</v>
      </c>
    </row>
    <row r="16" spans="1:29" ht="15">
      <c r="A16" s="427"/>
      <c r="B16" s="629"/>
      <c r="C16" s="2609" t="s">
        <v>3113</v>
      </c>
      <c r="D16" s="447"/>
      <c r="E16" s="446" t="s">
        <v>3113</v>
      </c>
      <c r="F16" s="447"/>
      <c r="G16" s="2609" t="s">
        <v>3113</v>
      </c>
      <c r="H16" s="449"/>
      <c r="I16" s="446" t="s">
        <v>3113</v>
      </c>
      <c r="J16" s="447"/>
      <c r="K16" s="614"/>
      <c r="L16" s="1140"/>
      <c r="M16" s="1131"/>
      <c r="N16" s="1131"/>
      <c r="O16" s="1131"/>
      <c r="P16" s="3440"/>
      <c r="Q16" s="1809"/>
      <c r="R16" s="771"/>
      <c r="S16" s="772"/>
      <c r="T16" s="771"/>
      <c r="U16" s="772"/>
      <c r="V16" s="771"/>
      <c r="W16" s="772"/>
      <c r="X16" s="1812"/>
      <c r="Y16" s="3442"/>
      <c r="Z16" s="1813"/>
      <c r="AA16" s="1810">
        <v>1</v>
      </c>
      <c r="AB16" s="1810">
        <v>1</v>
      </c>
      <c r="AC16" s="2672">
        <v>1</v>
      </c>
    </row>
    <row r="17" spans="1:29" ht="71.25">
      <c r="A17" s="427"/>
      <c r="B17" s="630" t="s">
        <v>2097</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440"/>
      <c r="Q17" s="1809" t="str">
        <f>B17</f>
        <v>交通便捷度</v>
      </c>
      <c r="R17" s="771" t="s">
        <v>17</v>
      </c>
      <c r="S17" s="772">
        <f>F17</f>
        <v>100</v>
      </c>
      <c r="T17" s="771" t="s">
        <v>17</v>
      </c>
      <c r="U17" s="772">
        <f>H17</f>
        <v>100</v>
      </c>
      <c r="V17" s="771" t="s">
        <v>17</v>
      </c>
      <c r="W17" s="772">
        <f>J17</f>
        <v>100</v>
      </c>
      <c r="X17" s="1812"/>
      <c r="Y17" s="3442"/>
      <c r="Z17" s="1813" t="str">
        <f>Q17</f>
        <v>交通便捷度</v>
      </c>
      <c r="AA17" s="1810">
        <f t="shared" si="3"/>
        <v>1</v>
      </c>
      <c r="AB17" s="1810">
        <f t="shared" si="4"/>
        <v>1</v>
      </c>
      <c r="AC17" s="2672">
        <f t="shared" si="5"/>
        <v>1</v>
      </c>
    </row>
    <row r="18" spans="1:29" ht="15">
      <c r="A18" s="427"/>
      <c r="B18" s="631"/>
      <c r="C18" s="2674" t="s">
        <v>3113</v>
      </c>
      <c r="D18" s="449"/>
      <c r="E18" s="2607" t="s">
        <v>3113</v>
      </c>
      <c r="F18" s="449"/>
      <c r="G18" s="2608" t="s">
        <v>3113</v>
      </c>
      <c r="H18" s="447"/>
      <c r="I18" s="2608" t="s">
        <v>3113</v>
      </c>
      <c r="J18" s="447"/>
      <c r="K18" s="614"/>
      <c r="L18" s="1140"/>
      <c r="M18" s="1131"/>
      <c r="N18" s="1131"/>
      <c r="O18" s="1131"/>
      <c r="P18" s="3440"/>
      <c r="Q18" s="1809"/>
      <c r="R18" s="771"/>
      <c r="S18" s="772"/>
      <c r="T18" s="771"/>
      <c r="U18" s="772"/>
      <c r="V18" s="771"/>
      <c r="W18" s="772"/>
      <c r="X18" s="1812"/>
      <c r="Y18" s="3442"/>
      <c r="Z18" s="1813"/>
      <c r="AA18" s="1810">
        <v>1</v>
      </c>
      <c r="AB18" s="1810">
        <v>1</v>
      </c>
      <c r="AC18" s="2672">
        <v>1</v>
      </c>
    </row>
    <row r="19" spans="1:29" ht="42.75">
      <c r="A19" s="427"/>
      <c r="B19" s="630" t="s">
        <v>2690</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440"/>
      <c r="Q19" s="1809" t="str">
        <f>B19</f>
        <v>公共配套设施</v>
      </c>
      <c r="R19" s="771" t="s">
        <v>17</v>
      </c>
      <c r="S19" s="772">
        <f>F19</f>
        <v>100</v>
      </c>
      <c r="T19" s="771" t="s">
        <v>17</v>
      </c>
      <c r="U19" s="772">
        <f>H19</f>
        <v>100</v>
      </c>
      <c r="V19" s="771" t="s">
        <v>17</v>
      </c>
      <c r="W19" s="772">
        <f>J19</f>
        <v>100</v>
      </c>
      <c r="X19" s="1812"/>
      <c r="Y19" s="3442"/>
      <c r="Z19" s="1813" t="str">
        <f>Q19</f>
        <v>公共配套设施</v>
      </c>
      <c r="AA19" s="1810">
        <f t="shared" si="3"/>
        <v>1</v>
      </c>
      <c r="AB19" s="1810">
        <f t="shared" si="4"/>
        <v>1</v>
      </c>
      <c r="AC19" s="2672">
        <f t="shared" si="5"/>
        <v>1</v>
      </c>
    </row>
    <row r="20" spans="1:29" ht="15">
      <c r="A20" s="427"/>
      <c r="B20" s="631"/>
      <c r="C20" s="2609" t="s">
        <v>3114</v>
      </c>
      <c r="D20" s="447"/>
      <c r="E20" s="2602" t="s">
        <v>3114</v>
      </c>
      <c r="F20" s="447"/>
      <c r="G20" s="2603" t="s">
        <v>3114</v>
      </c>
      <c r="H20" s="447"/>
      <c r="I20" s="2603" t="s">
        <v>3114</v>
      </c>
      <c r="J20" s="447"/>
      <c r="K20" s="614"/>
      <c r="L20" s="1140"/>
      <c r="M20" s="1131"/>
      <c r="N20" s="1131"/>
      <c r="O20" s="1131"/>
      <c r="P20" s="3440"/>
      <c r="Q20" s="1809"/>
      <c r="R20" s="771"/>
      <c r="S20" s="772"/>
      <c r="T20" s="771"/>
      <c r="U20" s="772"/>
      <c r="V20" s="771"/>
      <c r="W20" s="772"/>
      <c r="X20" s="1812"/>
      <c r="Y20" s="3442"/>
      <c r="Z20" s="1813"/>
      <c r="AA20" s="1810">
        <v>1</v>
      </c>
      <c r="AB20" s="1810">
        <v>1</v>
      </c>
      <c r="AC20" s="2672">
        <v>1</v>
      </c>
    </row>
    <row r="21" spans="1:29" ht="28.5">
      <c r="A21" s="427"/>
      <c r="B21" s="632" t="s">
        <v>2691</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440"/>
      <c r="Q21" s="1809" t="str">
        <f>B21</f>
        <v>基础设施水平</v>
      </c>
      <c r="R21" s="771" t="s">
        <v>17</v>
      </c>
      <c r="S21" s="772">
        <f>F21</f>
        <v>100</v>
      </c>
      <c r="T21" s="771" t="s">
        <v>17</v>
      </c>
      <c r="U21" s="772">
        <f>H21</f>
        <v>100</v>
      </c>
      <c r="V21" s="771" t="s">
        <v>17</v>
      </c>
      <c r="W21" s="772">
        <f>J21</f>
        <v>100</v>
      </c>
      <c r="X21" s="1812"/>
      <c r="Y21" s="3442"/>
      <c r="Z21" s="1813" t="str">
        <f>Q21</f>
        <v>基础设施水平</v>
      </c>
      <c r="AA21" s="1810">
        <f t="shared" ref="AA21" si="8">D21/F21</f>
        <v>1</v>
      </c>
      <c r="AB21" s="1810">
        <f t="shared" ref="AB21" si="9">D21/H21</f>
        <v>1</v>
      </c>
      <c r="AC21" s="2672">
        <f t="shared" ref="AC21" si="10">D21/J21</f>
        <v>1</v>
      </c>
    </row>
    <row r="22" spans="1:29" ht="15">
      <c r="A22" s="427"/>
      <c r="B22" s="632"/>
      <c r="C22" s="2674" t="s">
        <v>3097</v>
      </c>
      <c r="D22" s="447"/>
      <c r="E22" s="446" t="s">
        <v>3097</v>
      </c>
      <c r="F22" s="447"/>
      <c r="G22" s="2609" t="s">
        <v>3097</v>
      </c>
      <c r="H22" s="447"/>
      <c r="I22" s="2609" t="s">
        <v>3097</v>
      </c>
      <c r="J22" s="447"/>
      <c r="K22" s="1382"/>
      <c r="L22" s="1140"/>
      <c r="M22" s="1131"/>
      <c r="N22" s="1131"/>
      <c r="O22" s="1131"/>
      <c r="P22" s="3440"/>
      <c r="Q22" s="1809"/>
      <c r="R22" s="771"/>
      <c r="S22" s="772"/>
      <c r="T22" s="771"/>
      <c r="U22" s="772"/>
      <c r="V22" s="771"/>
      <c r="W22" s="772"/>
      <c r="X22" s="1812"/>
      <c r="Y22" s="3442"/>
      <c r="Z22" s="1813"/>
      <c r="AA22" s="1810">
        <v>1</v>
      </c>
      <c r="AB22" s="1810">
        <v>1</v>
      </c>
      <c r="AC22" s="2672">
        <v>1</v>
      </c>
    </row>
    <row r="23" spans="1:29" ht="42.75">
      <c r="A23" s="427"/>
      <c r="B23" s="630" t="s">
        <v>2692</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440"/>
      <c r="Q23" s="1809" t="str">
        <f>B23</f>
        <v>环境质量</v>
      </c>
      <c r="R23" s="771" t="s">
        <v>17</v>
      </c>
      <c r="S23" s="772">
        <f>F23</f>
        <v>100</v>
      </c>
      <c r="T23" s="771" t="s">
        <v>17</v>
      </c>
      <c r="U23" s="772">
        <f>H23</f>
        <v>100</v>
      </c>
      <c r="V23" s="771" t="s">
        <v>17</v>
      </c>
      <c r="W23" s="772">
        <f>J23</f>
        <v>100</v>
      </c>
      <c r="X23" s="1812"/>
      <c r="Y23" s="3442"/>
      <c r="Z23" s="1813" t="str">
        <f>Q23</f>
        <v>环境质量</v>
      </c>
      <c r="AA23" s="1810">
        <f t="shared" si="3"/>
        <v>1</v>
      </c>
      <c r="AB23" s="1810">
        <f t="shared" si="4"/>
        <v>1</v>
      </c>
      <c r="AC23" s="2672">
        <f t="shared" si="5"/>
        <v>1</v>
      </c>
    </row>
    <row r="24" spans="1:29" ht="15">
      <c r="A24" s="427"/>
      <c r="B24" s="632"/>
      <c r="C24" s="2609" t="s">
        <v>3113</v>
      </c>
      <c r="D24" s="447"/>
      <c r="E24" s="2602" t="s">
        <v>3113</v>
      </c>
      <c r="F24" s="447"/>
      <c r="G24" s="2603" t="s">
        <v>3113</v>
      </c>
      <c r="H24" s="447"/>
      <c r="I24" s="2603" t="s">
        <v>3113</v>
      </c>
      <c r="J24" s="447"/>
      <c r="K24" s="614"/>
      <c r="L24" s="1140"/>
      <c r="M24" s="1131"/>
      <c r="N24" s="1131"/>
      <c r="O24" s="1131"/>
      <c r="P24" s="3440"/>
      <c r="Q24" s="1809"/>
      <c r="R24" s="771"/>
      <c r="S24" s="772"/>
      <c r="T24" s="771"/>
      <c r="U24" s="772"/>
      <c r="V24" s="771"/>
      <c r="W24" s="772"/>
      <c r="X24" s="1812"/>
      <c r="Y24" s="3442"/>
      <c r="Z24" s="1813"/>
      <c r="AA24" s="1810">
        <v>1</v>
      </c>
      <c r="AB24" s="1810">
        <v>1</v>
      </c>
      <c r="AC24" s="2672">
        <v>1</v>
      </c>
    </row>
    <row r="25" spans="1:29" ht="27">
      <c r="A25" s="403"/>
      <c r="B25" s="630" t="s">
        <v>2693</v>
      </c>
      <c r="C25" s="2613"/>
      <c r="D25" s="434">
        <v>100</v>
      </c>
      <c r="E25" s="433"/>
      <c r="F25" s="434">
        <f>SUMIF(87:87,E26,88:88)-SUMIF(87:87,C26,88:88)+100</f>
        <v>100</v>
      </c>
      <c r="G25" s="2613"/>
      <c r="H25" s="434">
        <f>SUMIF(87:87,G26,88:88)-SUMIF(87:87,C26,88:88)+100</f>
        <v>100</v>
      </c>
      <c r="I25" s="433"/>
      <c r="J25" s="434">
        <f>SUMIF(87:87,I26,88:88)-SUMIF(87:87,C26,88:88)+100</f>
        <v>100</v>
      </c>
      <c r="K25" s="613">
        <v>2</v>
      </c>
      <c r="L25" s="1140"/>
      <c r="M25" s="1131"/>
      <c r="N25" s="1131"/>
      <c r="O25" s="1131"/>
      <c r="P25" s="3440"/>
      <c r="Q25" s="1809" t="str">
        <f>B25</f>
        <v>毗邻道路的类型与等级</v>
      </c>
      <c r="R25" s="771" t="s">
        <v>17</v>
      </c>
      <c r="S25" s="772">
        <f>F25</f>
        <v>100</v>
      </c>
      <c r="T25" s="771" t="s">
        <v>17</v>
      </c>
      <c r="U25" s="772">
        <f>H25</f>
        <v>100</v>
      </c>
      <c r="V25" s="771" t="s">
        <v>17</v>
      </c>
      <c r="W25" s="772">
        <f>J25</f>
        <v>100</v>
      </c>
      <c r="X25" s="1812"/>
      <c r="Y25" s="3442"/>
      <c r="Z25" s="1813" t="str">
        <f>Q25</f>
        <v>毗邻道路的类型与等级</v>
      </c>
      <c r="AA25" s="1810">
        <f t="shared" si="3"/>
        <v>1</v>
      </c>
      <c r="AB25" s="1810">
        <f t="shared" si="4"/>
        <v>1</v>
      </c>
      <c r="AC25" s="2672">
        <f t="shared" si="5"/>
        <v>1</v>
      </c>
    </row>
    <row r="26" spans="1:29" ht="15">
      <c r="A26" s="403"/>
      <c r="B26" s="631"/>
      <c r="C26" s="633" t="s">
        <v>3078</v>
      </c>
      <c r="D26" s="434"/>
      <c r="E26" s="615" t="s">
        <v>3078</v>
      </c>
      <c r="F26" s="434"/>
      <c r="G26" s="633" t="s">
        <v>3078</v>
      </c>
      <c r="H26" s="434"/>
      <c r="I26" s="615" t="s">
        <v>3078</v>
      </c>
      <c r="J26" s="434"/>
      <c r="K26" s="614"/>
      <c r="L26" s="1140"/>
      <c r="M26" s="1131"/>
      <c r="N26" s="1131"/>
      <c r="O26" s="1131"/>
      <c r="P26" s="3440"/>
      <c r="Q26" s="1809"/>
      <c r="R26" s="771"/>
      <c r="S26" s="772"/>
      <c r="T26" s="771"/>
      <c r="U26" s="772"/>
      <c r="V26" s="771"/>
      <c r="W26" s="772"/>
      <c r="X26" s="1812"/>
      <c r="Y26" s="3442"/>
      <c r="Z26" s="1813"/>
      <c r="AA26" s="1810">
        <v>1</v>
      </c>
      <c r="AB26" s="1810">
        <v>1</v>
      </c>
      <c r="AC26" s="2672">
        <v>1</v>
      </c>
    </row>
    <row r="27" spans="1:29" ht="15">
      <c r="A27" s="427"/>
      <c r="B27" s="631" t="s">
        <v>2661</v>
      </c>
      <c r="C27" s="3059" t="s">
        <v>3081</v>
      </c>
      <c r="D27" s="434">
        <v>100</v>
      </c>
      <c r="E27" s="615" t="s">
        <v>3080</v>
      </c>
      <c r="F27" s="434">
        <f>SUMIF(89:89,E27,90:90)-SUMIF(89:89,C27,90:90)+100</f>
        <v>102</v>
      </c>
      <c r="G27" s="633" t="s">
        <v>3080</v>
      </c>
      <c r="H27" s="434">
        <f>SUMIF(89:89,G27,90:90)-SUMIF(89:89,C27,90:90)+100</f>
        <v>102</v>
      </c>
      <c r="I27" s="615" t="s">
        <v>3081</v>
      </c>
      <c r="J27" s="434">
        <f>SUMIF(89:89,I27,90:90)-SUMIF(89:89,C27,90:90)+100</f>
        <v>100</v>
      </c>
      <c r="K27" s="611">
        <v>2</v>
      </c>
      <c r="L27" s="1140"/>
      <c r="M27" s="1131"/>
      <c r="N27" s="1131"/>
      <c r="O27" s="1131"/>
      <c r="P27" s="3440"/>
      <c r="Q27" s="1809" t="str">
        <f t="shared" ref="Q27:Q47" si="11">B27</f>
        <v>楼层</v>
      </c>
      <c r="R27" s="771" t="s">
        <v>17</v>
      </c>
      <c r="S27" s="772">
        <f>F27</f>
        <v>102</v>
      </c>
      <c r="T27" s="771" t="s">
        <v>17</v>
      </c>
      <c r="U27" s="772">
        <f>H27</f>
        <v>102</v>
      </c>
      <c r="V27" s="771" t="s">
        <v>17</v>
      </c>
      <c r="W27" s="772">
        <f>J27</f>
        <v>100</v>
      </c>
      <c r="X27" s="1812"/>
      <c r="Y27" s="3442"/>
      <c r="Z27" s="1813" t="str">
        <f>Q27</f>
        <v>楼层</v>
      </c>
      <c r="AA27" s="1810">
        <f t="shared" si="3"/>
        <v>0.98039215686274506</v>
      </c>
      <c r="AB27" s="1810">
        <f t="shared" si="4"/>
        <v>0.98039215686274506</v>
      </c>
      <c r="AC27" s="2672">
        <f t="shared" si="5"/>
        <v>1</v>
      </c>
    </row>
    <row r="28" spans="1:29" s="116" customFormat="1" ht="15">
      <c r="A28" s="430"/>
      <c r="B28" s="630" t="s">
        <v>2694</v>
      </c>
      <c r="C28" s="2675"/>
      <c r="D28" s="461">
        <v>100</v>
      </c>
      <c r="E28" s="2663"/>
      <c r="F28" s="461">
        <f>SUMIF(91:91,E28,92:92)-SUMIF(91:91,C28,92:92)+100</f>
        <v>100</v>
      </c>
      <c r="G28" s="2675"/>
      <c r="H28" s="461">
        <f>SUMIF(91:91,G28,92:92)-SUMIF(91:91,C28,92:92)+100</f>
        <v>100</v>
      </c>
      <c r="I28" s="2663"/>
      <c r="J28" s="461">
        <f>SUMIF(91:91,I28,92:92)-SUMIF(91:91,C28,92:92)+100</f>
        <v>100</v>
      </c>
      <c r="K28" s="611">
        <v>0</v>
      </c>
      <c r="L28" s="1132"/>
      <c r="M28" s="1133"/>
      <c r="N28" s="1133"/>
      <c r="O28" s="1133"/>
      <c r="P28" s="3440"/>
      <c r="Q28" s="1794" t="str">
        <f t="shared" si="11"/>
        <v>朝向</v>
      </c>
      <c r="R28" s="767" t="s">
        <v>17</v>
      </c>
      <c r="S28" s="768">
        <f>F28</f>
        <v>100</v>
      </c>
      <c r="T28" s="767" t="s">
        <v>17</v>
      </c>
      <c r="U28" s="768">
        <f>H28</f>
        <v>100</v>
      </c>
      <c r="V28" s="767" t="s">
        <v>17</v>
      </c>
      <c r="W28" s="768">
        <f>J28</f>
        <v>100</v>
      </c>
      <c r="X28" s="769"/>
      <c r="Y28" s="3442"/>
      <c r="Z28" s="54" t="str">
        <f>Q28</f>
        <v>朝向</v>
      </c>
      <c r="AA28" s="1810">
        <f>D28/F28</f>
        <v>1</v>
      </c>
      <c r="AB28" s="181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0"/>
      <c r="M29" s="1131"/>
      <c r="N29" s="1131"/>
      <c r="O29" s="1131"/>
      <c r="P29" s="3440"/>
      <c r="Q29" s="1809">
        <f t="shared" si="11"/>
        <v>111</v>
      </c>
      <c r="R29" s="771" t="s">
        <v>17</v>
      </c>
      <c r="S29" s="772">
        <f t="shared" ref="S29:S47" si="12">F29</f>
        <v>100</v>
      </c>
      <c r="T29" s="771" t="s">
        <v>17</v>
      </c>
      <c r="U29" s="772">
        <f t="shared" ref="U29:U47" si="13">H29</f>
        <v>100</v>
      </c>
      <c r="V29" s="771" t="s">
        <v>17</v>
      </c>
      <c r="W29" s="772">
        <f t="shared" ref="W29:W47" si="14">J29</f>
        <v>100</v>
      </c>
      <c r="X29" s="1812"/>
      <c r="Y29" s="3442"/>
      <c r="Z29" s="1813">
        <f t="shared" ref="Z29:Z47" si="15">Q29</f>
        <v>111</v>
      </c>
      <c r="AA29" s="1810">
        <f t="shared" si="3"/>
        <v>1</v>
      </c>
      <c r="AB29" s="181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0"/>
      <c r="M30" s="1131"/>
      <c r="N30" s="1131"/>
      <c r="O30" s="1131"/>
      <c r="P30" s="3440"/>
      <c r="Q30" s="1809">
        <f t="shared" si="11"/>
        <v>111</v>
      </c>
      <c r="R30" s="771" t="s">
        <v>17</v>
      </c>
      <c r="S30" s="772">
        <f t="shared" si="12"/>
        <v>100</v>
      </c>
      <c r="T30" s="771" t="s">
        <v>17</v>
      </c>
      <c r="U30" s="772">
        <f t="shared" si="13"/>
        <v>100</v>
      </c>
      <c r="V30" s="771" t="s">
        <v>17</v>
      </c>
      <c r="W30" s="772">
        <f t="shared" si="14"/>
        <v>100</v>
      </c>
      <c r="X30" s="1812"/>
      <c r="Y30" s="3442"/>
      <c r="Z30" s="1813">
        <f t="shared" si="15"/>
        <v>111</v>
      </c>
      <c r="AA30" s="1810">
        <f t="shared" si="3"/>
        <v>1</v>
      </c>
      <c r="AB30" s="181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0"/>
      <c r="M31" s="1131"/>
      <c r="N31" s="1131"/>
      <c r="O31" s="1131"/>
      <c r="P31" s="3440"/>
      <c r="Q31" s="1809">
        <f t="shared" si="11"/>
        <v>111</v>
      </c>
      <c r="R31" s="771" t="s">
        <v>17</v>
      </c>
      <c r="S31" s="772">
        <f t="shared" si="12"/>
        <v>100</v>
      </c>
      <c r="T31" s="771" t="s">
        <v>17</v>
      </c>
      <c r="U31" s="772">
        <f t="shared" si="13"/>
        <v>100</v>
      </c>
      <c r="V31" s="771" t="s">
        <v>17</v>
      </c>
      <c r="W31" s="772">
        <f t="shared" si="14"/>
        <v>100</v>
      </c>
      <c r="X31" s="1812"/>
      <c r="Y31" s="3442"/>
      <c r="Z31" s="1813">
        <f t="shared" si="15"/>
        <v>111</v>
      </c>
      <c r="AA31" s="1810">
        <f t="shared" si="3"/>
        <v>1</v>
      </c>
      <c r="AB31" s="181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0"/>
      <c r="M32" s="1131"/>
      <c r="N32" s="1131"/>
      <c r="O32" s="1131"/>
      <c r="P32" s="3440"/>
      <c r="Q32" s="1809">
        <f t="shared" si="11"/>
        <v>111</v>
      </c>
      <c r="R32" s="771" t="s">
        <v>17</v>
      </c>
      <c r="S32" s="772">
        <f t="shared" si="12"/>
        <v>100</v>
      </c>
      <c r="T32" s="771" t="s">
        <v>17</v>
      </c>
      <c r="U32" s="772">
        <f t="shared" si="13"/>
        <v>100</v>
      </c>
      <c r="V32" s="771" t="s">
        <v>17</v>
      </c>
      <c r="W32" s="772">
        <f t="shared" si="14"/>
        <v>100</v>
      </c>
      <c r="X32" s="1812"/>
      <c r="Y32" s="3442"/>
      <c r="Z32" s="1813">
        <f t="shared" si="15"/>
        <v>111</v>
      </c>
      <c r="AA32" s="1810">
        <f t="shared" si="3"/>
        <v>1</v>
      </c>
      <c r="AB32" s="1810">
        <f t="shared" si="4"/>
        <v>1</v>
      </c>
      <c r="AC32" s="2672">
        <f t="shared" si="5"/>
        <v>1</v>
      </c>
    </row>
    <row r="33" spans="1:29" ht="15">
      <c r="A33" s="439" t="s">
        <v>2565</v>
      </c>
      <c r="B33" s="70" t="s">
        <v>2695</v>
      </c>
      <c r="C33" s="2677" t="s">
        <v>3083</v>
      </c>
      <c r="D33" s="466">
        <v>100</v>
      </c>
      <c r="E33" s="2677" t="s">
        <v>3083</v>
      </c>
      <c r="F33" s="460">
        <f>SUMIF(101:101,E33,102:102)-SUMIF(101:101,C33,102:102)+100</f>
        <v>100</v>
      </c>
      <c r="G33" s="2677" t="s">
        <v>3083</v>
      </c>
      <c r="H33" s="434">
        <f>SUMIF(101:101,G33,102:102)-SUMIF(101:101,C33,102:102)+100</f>
        <v>100</v>
      </c>
      <c r="I33" s="2677" t="s">
        <v>3083</v>
      </c>
      <c r="J33" s="466">
        <f>SUMIF(101:101,I33,102:102)-SUMIF(101:101,C33,102:102)+100</f>
        <v>100</v>
      </c>
      <c r="K33" s="611">
        <v>2</v>
      </c>
      <c r="L33" s="1140"/>
      <c r="M33" s="1131"/>
      <c r="N33" s="1131"/>
      <c r="O33" s="1131"/>
      <c r="P33" s="3443" t="s">
        <v>2567</v>
      </c>
      <c r="Q33" s="1809" t="str">
        <f t="shared" si="11"/>
        <v>建筑类型</v>
      </c>
      <c r="R33" s="771" t="s">
        <v>17</v>
      </c>
      <c r="S33" s="772">
        <f t="shared" si="12"/>
        <v>100</v>
      </c>
      <c r="T33" s="771" t="s">
        <v>17</v>
      </c>
      <c r="U33" s="772">
        <f t="shared" si="13"/>
        <v>100</v>
      </c>
      <c r="V33" s="771" t="s">
        <v>17</v>
      </c>
      <c r="W33" s="772">
        <f t="shared" si="14"/>
        <v>100</v>
      </c>
      <c r="X33" s="1812"/>
      <c r="Y33" s="3446" t="s">
        <v>2567</v>
      </c>
      <c r="Z33" s="1813" t="str">
        <f t="shared" si="15"/>
        <v>建筑类型</v>
      </c>
      <c r="AA33" s="1810">
        <f t="shared" si="3"/>
        <v>1</v>
      </c>
      <c r="AB33" s="1810">
        <f t="shared" si="4"/>
        <v>1</v>
      </c>
      <c r="AC33" s="2672">
        <f t="shared" si="5"/>
        <v>1</v>
      </c>
    </row>
    <row r="34" spans="1:29" s="470" customFormat="1" ht="15">
      <c r="A34" s="467"/>
      <c r="B34" s="421" t="s">
        <v>2568</v>
      </c>
      <c r="C34" s="3060">
        <f>抵押物清单!C3</f>
        <v>169.77</v>
      </c>
      <c r="D34" s="135">
        <v>100</v>
      </c>
      <c r="E34" s="429">
        <v>1010</v>
      </c>
      <c r="F34" s="424">
        <f>LOOKUP(E34,104:104,105:105)-LOOKUP(C34,104:104,105:105)+100</f>
        <v>99</v>
      </c>
      <c r="G34" s="428">
        <v>5000</v>
      </c>
      <c r="H34" s="135">
        <f>LOOKUP(G34,104:104,105:105)-LOOKUP(C34,104:104,105:105)+100</f>
        <v>97</v>
      </c>
      <c r="I34" s="428">
        <v>67.59</v>
      </c>
      <c r="J34" s="135">
        <f>LOOKUP(I34,104:104,105:105)-LOOKUP(C34,104:104,105:105)+100</f>
        <v>100</v>
      </c>
      <c r="K34" s="612"/>
      <c r="L34" s="1138"/>
      <c r="M34" s="1141"/>
      <c r="N34" s="1141"/>
      <c r="O34" s="1141"/>
      <c r="P34" s="3444"/>
      <c r="Q34" s="773" t="str">
        <f t="shared" si="11"/>
        <v>项目建筑规模</v>
      </c>
      <c r="R34" s="774" t="s">
        <v>17</v>
      </c>
      <c r="S34" s="775">
        <f t="shared" si="12"/>
        <v>99</v>
      </c>
      <c r="T34" s="774" t="s">
        <v>17</v>
      </c>
      <c r="U34" s="775">
        <f t="shared" si="13"/>
        <v>97</v>
      </c>
      <c r="V34" s="774" t="s">
        <v>17</v>
      </c>
      <c r="W34" s="775">
        <f t="shared" si="14"/>
        <v>100</v>
      </c>
      <c r="X34" s="776"/>
      <c r="Y34" s="3446"/>
      <c r="Z34" s="777" t="str">
        <f t="shared" si="15"/>
        <v>项目建筑规模</v>
      </c>
      <c r="AA34" s="1810">
        <f t="shared" si="3"/>
        <v>1.0101010101010102</v>
      </c>
      <c r="AB34" s="1810">
        <f t="shared" si="4"/>
        <v>1.0309278350515463</v>
      </c>
      <c r="AC34" s="2672">
        <f t="shared" si="5"/>
        <v>1</v>
      </c>
    </row>
    <row r="35" spans="1:29" ht="15">
      <c r="A35" s="471"/>
      <c r="B35" s="421" t="s">
        <v>2569</v>
      </c>
      <c r="C35" s="459" t="s">
        <v>3086</v>
      </c>
      <c r="D35" s="434">
        <v>100</v>
      </c>
      <c r="E35" s="459" t="s">
        <v>3086</v>
      </c>
      <c r="F35" s="460">
        <f>SUMIF(106:106,E35,107:107)-SUMIF(106:106,C35,107:107)+100</f>
        <v>100</v>
      </c>
      <c r="G35" s="459" t="s">
        <v>3086</v>
      </c>
      <c r="H35" s="434">
        <f>SUMIF(106:106,G35,107:107)-SUMIF(106:106,C35,107:107)+100</f>
        <v>100</v>
      </c>
      <c r="I35" s="459" t="s">
        <v>3086</v>
      </c>
      <c r="J35" s="434">
        <f>SUMIF(106:106,I35,107:107)-SUMIF(106:106,C35,107:107)+100</f>
        <v>100</v>
      </c>
      <c r="K35" s="611">
        <v>2</v>
      </c>
      <c r="L35" s="1140"/>
      <c r="M35" s="1131"/>
      <c r="N35" s="1131"/>
      <c r="O35" s="1131"/>
      <c r="P35" s="3444"/>
      <c r="Q35" s="1809" t="str">
        <f t="shared" si="11"/>
        <v>建筑结构</v>
      </c>
      <c r="R35" s="771" t="s">
        <v>17</v>
      </c>
      <c r="S35" s="772">
        <f t="shared" si="12"/>
        <v>100</v>
      </c>
      <c r="T35" s="771" t="s">
        <v>17</v>
      </c>
      <c r="U35" s="772">
        <f t="shared" si="13"/>
        <v>100</v>
      </c>
      <c r="V35" s="771" t="s">
        <v>17</v>
      </c>
      <c r="W35" s="772">
        <f t="shared" si="14"/>
        <v>100</v>
      </c>
      <c r="X35" s="1812"/>
      <c r="Y35" s="3446"/>
      <c r="Z35" s="1813" t="str">
        <f t="shared" si="15"/>
        <v>建筑结构</v>
      </c>
      <c r="AA35" s="1810">
        <f t="shared" si="3"/>
        <v>1</v>
      </c>
      <c r="AB35" s="1810">
        <f t="shared" si="4"/>
        <v>1</v>
      </c>
      <c r="AC35" s="2672">
        <f t="shared" si="5"/>
        <v>1</v>
      </c>
    </row>
    <row r="36" spans="1:29" ht="15">
      <c r="A36" s="471"/>
      <c r="B36" s="421" t="s">
        <v>2663</v>
      </c>
      <c r="C36" s="459" t="s">
        <v>3088</v>
      </c>
      <c r="D36" s="434">
        <v>100</v>
      </c>
      <c r="E36" s="459" t="s">
        <v>3088</v>
      </c>
      <c r="F36" s="460">
        <f>SUMIF(108:108,E36,109:109)-SUMIF(108:108,C36,109:109)+100</f>
        <v>100</v>
      </c>
      <c r="G36" s="459" t="s">
        <v>3088</v>
      </c>
      <c r="H36" s="434">
        <f>SUMIF(108:108,G36,109:109)-SUMIF(108:108,C36,109:109)+100</f>
        <v>100</v>
      </c>
      <c r="I36" s="459" t="s">
        <v>3088</v>
      </c>
      <c r="J36" s="434">
        <f>SUMIF(108:108,I36,109:109)-SUMIF(108:108,C36,109:109)+100</f>
        <v>100</v>
      </c>
      <c r="K36" s="611">
        <v>2</v>
      </c>
      <c r="L36" s="1140"/>
      <c r="M36" s="1131"/>
      <c r="N36" s="1131"/>
      <c r="O36" s="1131"/>
      <c r="P36" s="3444"/>
      <c r="Q36" s="1809" t="str">
        <f t="shared" si="11"/>
        <v>公共部分装修</v>
      </c>
      <c r="R36" s="771" t="s">
        <v>17</v>
      </c>
      <c r="S36" s="772">
        <f t="shared" si="12"/>
        <v>100</v>
      </c>
      <c r="T36" s="771" t="s">
        <v>17</v>
      </c>
      <c r="U36" s="772">
        <f t="shared" si="13"/>
        <v>100</v>
      </c>
      <c r="V36" s="771" t="s">
        <v>17</v>
      </c>
      <c r="W36" s="772">
        <f t="shared" si="14"/>
        <v>100</v>
      </c>
      <c r="X36" s="1812"/>
      <c r="Y36" s="3446"/>
      <c r="Z36" s="1813" t="str">
        <f t="shared" si="15"/>
        <v>公共部分装修</v>
      </c>
      <c r="AA36" s="1810">
        <f t="shared" si="3"/>
        <v>1</v>
      </c>
      <c r="AB36" s="1810">
        <f t="shared" si="4"/>
        <v>1</v>
      </c>
      <c r="AC36" s="2672">
        <f t="shared" si="5"/>
        <v>1</v>
      </c>
    </row>
    <row r="37" spans="1:29" ht="15">
      <c r="A37" s="471"/>
      <c r="B37" s="421" t="s">
        <v>2664</v>
      </c>
      <c r="C37" s="473">
        <f>'数据-取费表'!N6</f>
        <v>0.98</v>
      </c>
      <c r="D37" s="434">
        <v>100</v>
      </c>
      <c r="E37" s="473">
        <v>0.92</v>
      </c>
      <c r="F37" s="460">
        <f>LOOKUP(E37,111:111,112:112)-LOOKUP(C37,111:111,112:112)+100</f>
        <v>100</v>
      </c>
      <c r="G37" s="473">
        <v>0.9</v>
      </c>
      <c r="H37" s="460">
        <f>LOOKUP(G37,111:111,112:112)-LOOKUP(C37,111:111,112:112)+100</f>
        <v>100</v>
      </c>
      <c r="I37" s="473">
        <v>0.9</v>
      </c>
      <c r="J37" s="434">
        <f>LOOKUP(I37,111:111,112:112)-LOOKUP(C37,111:111,112:112)+100</f>
        <v>100</v>
      </c>
      <c r="K37" s="611">
        <v>2</v>
      </c>
      <c r="L37" s="1140"/>
      <c r="M37" s="1131"/>
      <c r="N37" s="1131"/>
      <c r="O37" s="1131"/>
      <c r="P37" s="3444"/>
      <c r="Q37" s="1809" t="str">
        <f t="shared" si="11"/>
        <v>成新度</v>
      </c>
      <c r="R37" s="771" t="s">
        <v>17</v>
      </c>
      <c r="S37" s="772">
        <f t="shared" si="12"/>
        <v>100</v>
      </c>
      <c r="T37" s="771" t="s">
        <v>17</v>
      </c>
      <c r="U37" s="772">
        <f t="shared" si="13"/>
        <v>100</v>
      </c>
      <c r="V37" s="771" t="s">
        <v>17</v>
      </c>
      <c r="W37" s="772">
        <f t="shared" si="14"/>
        <v>100</v>
      </c>
      <c r="X37" s="1812"/>
      <c r="Y37" s="3446"/>
      <c r="Z37" s="1813" t="str">
        <f t="shared" si="15"/>
        <v>成新度</v>
      </c>
      <c r="AA37" s="1810">
        <f t="shared" si="3"/>
        <v>1</v>
      </c>
      <c r="AB37" s="1810">
        <f t="shared" si="4"/>
        <v>1</v>
      </c>
      <c r="AC37" s="2672">
        <f t="shared" si="5"/>
        <v>1</v>
      </c>
    </row>
    <row r="38" spans="1:29" s="116" customFormat="1" ht="15">
      <c r="A38" s="472"/>
      <c r="B38" s="421" t="s">
        <v>2696</v>
      </c>
      <c r="C38" s="459" t="s">
        <v>3092</v>
      </c>
      <c r="D38" s="135">
        <v>100</v>
      </c>
      <c r="E38" s="459" t="s">
        <v>3092</v>
      </c>
      <c r="F38" s="460">
        <f>SUMIF(113:113,E38,114:114)-SUMIF(113:113,C38,114:114)+100</f>
        <v>100</v>
      </c>
      <c r="G38" s="459" t="s">
        <v>3092</v>
      </c>
      <c r="H38" s="434">
        <f>SUMIF(113:113,G38,114:114)-SUMIF(113:113,C38,114:114)+100</f>
        <v>100</v>
      </c>
      <c r="I38" s="459" t="s">
        <v>3092</v>
      </c>
      <c r="J38" s="434">
        <f>SUMIF(113:113,I38,114:114)-SUMIF(113:113,C38,114:114)+100</f>
        <v>100</v>
      </c>
      <c r="K38" s="611">
        <v>2</v>
      </c>
      <c r="L38" s="1132"/>
      <c r="M38" s="1133"/>
      <c r="N38" s="1133"/>
      <c r="O38" s="1133"/>
      <c r="P38" s="3444"/>
      <c r="Q38" s="1794" t="str">
        <f t="shared" si="11"/>
        <v>写字楼等级</v>
      </c>
      <c r="R38" s="767" t="s">
        <v>17</v>
      </c>
      <c r="S38" s="768">
        <f t="shared" si="12"/>
        <v>100</v>
      </c>
      <c r="T38" s="767" t="s">
        <v>17</v>
      </c>
      <c r="U38" s="768">
        <f t="shared" si="13"/>
        <v>100</v>
      </c>
      <c r="V38" s="767" t="s">
        <v>17</v>
      </c>
      <c r="W38" s="768">
        <f t="shared" si="14"/>
        <v>100</v>
      </c>
      <c r="X38" s="769"/>
      <c r="Y38" s="3446"/>
      <c r="Z38" s="54" t="str">
        <f t="shared" si="15"/>
        <v>写字楼等级</v>
      </c>
      <c r="AA38" s="770">
        <f t="shared" si="3"/>
        <v>1</v>
      </c>
      <c r="AB38" s="770">
        <f t="shared" si="4"/>
        <v>1</v>
      </c>
      <c r="AC38" s="2669">
        <f t="shared" si="5"/>
        <v>1</v>
      </c>
    </row>
    <row r="39" spans="1:29" ht="15">
      <c r="A39" s="471"/>
      <c r="B39" s="421" t="s">
        <v>2697</v>
      </c>
      <c r="C39" s="459" t="s">
        <v>3095</v>
      </c>
      <c r="D39" s="434">
        <v>100</v>
      </c>
      <c r="E39" s="459" t="s">
        <v>3095</v>
      </c>
      <c r="F39" s="460">
        <f>SUMIF(115:115,E39,116:116)-SUMIF(115:115,C39,116:116)+100</f>
        <v>100</v>
      </c>
      <c r="G39" s="459" t="s">
        <v>3095</v>
      </c>
      <c r="H39" s="434">
        <f>SUMIF(115:115,G39,116:116)-SUMIF(115:115,C39,116:116)+100</f>
        <v>100</v>
      </c>
      <c r="I39" s="459" t="s">
        <v>3095</v>
      </c>
      <c r="J39" s="434">
        <f>SUMIF(115:115,I39,116:116)-SUMIF(115:115,C39,116:116)+100</f>
        <v>100</v>
      </c>
      <c r="K39" s="611">
        <v>2</v>
      </c>
      <c r="L39" s="1140"/>
      <c r="M39" s="1131"/>
      <c r="N39" s="1131"/>
      <c r="O39" s="1131"/>
      <c r="P39" s="3444" t="s">
        <v>2567</v>
      </c>
      <c r="Q39" s="1809" t="str">
        <f t="shared" si="11"/>
        <v>物业管理</v>
      </c>
      <c r="R39" s="771" t="s">
        <v>17</v>
      </c>
      <c r="S39" s="772">
        <f t="shared" si="12"/>
        <v>100</v>
      </c>
      <c r="T39" s="771" t="s">
        <v>17</v>
      </c>
      <c r="U39" s="772">
        <f t="shared" si="13"/>
        <v>100</v>
      </c>
      <c r="V39" s="771" t="s">
        <v>17</v>
      </c>
      <c r="W39" s="772">
        <f t="shared" si="14"/>
        <v>100</v>
      </c>
      <c r="X39" s="1812"/>
      <c r="Y39" s="3446" t="s">
        <v>2567</v>
      </c>
      <c r="Z39" s="1813" t="str">
        <f t="shared" si="15"/>
        <v>物业管理</v>
      </c>
      <c r="AA39" s="1810">
        <f t="shared" si="3"/>
        <v>1</v>
      </c>
      <c r="AB39" s="1810">
        <f t="shared" si="4"/>
        <v>1</v>
      </c>
      <c r="AC39" s="2672">
        <f t="shared" si="5"/>
        <v>1</v>
      </c>
    </row>
    <row r="40" spans="1:29" ht="15">
      <c r="A40" s="471"/>
      <c r="B40" s="421" t="s">
        <v>2665</v>
      </c>
      <c r="C40" s="459" t="s">
        <v>3097</v>
      </c>
      <c r="D40" s="434">
        <v>100</v>
      </c>
      <c r="E40" s="459" t="s">
        <v>3098</v>
      </c>
      <c r="F40" s="460">
        <f>SUMIF(117:117,E40,118:118)-SUMIF(117:117,C40,118:118)+100</f>
        <v>98</v>
      </c>
      <c r="G40" s="459" t="s">
        <v>3098</v>
      </c>
      <c r="H40" s="434">
        <f>SUMIF(117:117,G40,118:118)-SUMIF(117:117,C40,118:118)+100</f>
        <v>98</v>
      </c>
      <c r="I40" s="459" t="s">
        <v>3098</v>
      </c>
      <c r="J40" s="434">
        <f>SUMIF(117:117,I40,118:118)-SUMIF(117:117,C40,118:118)+100</f>
        <v>98</v>
      </c>
      <c r="K40" s="611">
        <v>2</v>
      </c>
      <c r="L40" s="1140"/>
      <c r="M40" s="1131"/>
      <c r="N40" s="1131"/>
      <c r="O40" s="1131"/>
      <c r="P40" s="3444"/>
      <c r="Q40" s="1809" t="str">
        <f t="shared" si="11"/>
        <v>市政基础设施</v>
      </c>
      <c r="R40" s="771" t="s">
        <v>17</v>
      </c>
      <c r="S40" s="772">
        <f t="shared" si="12"/>
        <v>98</v>
      </c>
      <c r="T40" s="771" t="s">
        <v>17</v>
      </c>
      <c r="U40" s="772">
        <f t="shared" si="13"/>
        <v>98</v>
      </c>
      <c r="V40" s="771" t="s">
        <v>17</v>
      </c>
      <c r="W40" s="772">
        <f t="shared" si="14"/>
        <v>98</v>
      </c>
      <c r="X40" s="1812"/>
      <c r="Y40" s="3446"/>
      <c r="Z40" s="1813" t="str">
        <f t="shared" si="15"/>
        <v>市政基础设施</v>
      </c>
      <c r="AA40" s="1810">
        <f t="shared" si="3"/>
        <v>1.0204081632653061</v>
      </c>
      <c r="AB40" s="1810">
        <f t="shared" si="4"/>
        <v>1.0204081632653061</v>
      </c>
      <c r="AC40" s="2672">
        <f t="shared" si="5"/>
        <v>1.0204081632653061</v>
      </c>
    </row>
    <row r="41" spans="1:29" ht="15">
      <c r="A41" s="471"/>
      <c r="B41" s="421" t="s">
        <v>2667</v>
      </c>
      <c r="C41" s="615" t="s">
        <v>3102</v>
      </c>
      <c r="D41" s="434">
        <v>100</v>
      </c>
      <c r="E41" s="615" t="s">
        <v>3103</v>
      </c>
      <c r="F41" s="460">
        <f>SUMIF(119:119,E41,120:120)-SUMIF(119:119,C41,120:120)+100</f>
        <v>98</v>
      </c>
      <c r="G41" s="615" t="s">
        <v>3103</v>
      </c>
      <c r="H41" s="434">
        <f>SUMIF(119:119,G41,120:120)-SUMIF(119:119,C41,120:120)+100</f>
        <v>98</v>
      </c>
      <c r="I41" s="615" t="s">
        <v>3103</v>
      </c>
      <c r="J41" s="434">
        <f>SUMIF(119:119,I41,120:120)-SUMIF(119:119,C41,120:120)+100</f>
        <v>98</v>
      </c>
      <c r="K41" s="611">
        <v>2</v>
      </c>
      <c r="L41" s="1140"/>
      <c r="M41" s="1131"/>
      <c r="N41" s="1131"/>
      <c r="O41" s="1131"/>
      <c r="P41" s="3444"/>
      <c r="Q41" s="1809" t="str">
        <f t="shared" si="11"/>
        <v>层高</v>
      </c>
      <c r="R41" s="771" t="s">
        <v>17</v>
      </c>
      <c r="S41" s="772">
        <f t="shared" si="12"/>
        <v>98</v>
      </c>
      <c r="T41" s="771" t="s">
        <v>17</v>
      </c>
      <c r="U41" s="772">
        <f t="shared" si="13"/>
        <v>98</v>
      </c>
      <c r="V41" s="771" t="s">
        <v>17</v>
      </c>
      <c r="W41" s="772">
        <f t="shared" si="14"/>
        <v>98</v>
      </c>
      <c r="X41" s="1812"/>
      <c r="Y41" s="3446"/>
      <c r="Z41" s="1813" t="str">
        <f t="shared" si="15"/>
        <v>层高</v>
      </c>
      <c r="AA41" s="1810">
        <f t="shared" si="3"/>
        <v>1.0204081632653061</v>
      </c>
      <c r="AB41" s="1810">
        <f t="shared" si="4"/>
        <v>1.0204081632653061</v>
      </c>
      <c r="AC41" s="2672">
        <f t="shared" si="5"/>
        <v>1.0204081632653061</v>
      </c>
    </row>
    <row r="42" spans="1:29" s="470" customFormat="1" ht="15">
      <c r="A42" s="467"/>
      <c r="B42" s="1811"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444"/>
      <c r="Q42" s="773" t="str">
        <f t="shared" si="11"/>
        <v>单套建筑面积</v>
      </c>
      <c r="R42" s="774" t="s">
        <v>17</v>
      </c>
      <c r="S42" s="775">
        <f t="shared" si="12"/>
        <v>100</v>
      </c>
      <c r="T42" s="774" t="s">
        <v>17</v>
      </c>
      <c r="U42" s="775">
        <f t="shared" si="13"/>
        <v>100</v>
      </c>
      <c r="V42" s="774" t="s">
        <v>17</v>
      </c>
      <c r="W42" s="775">
        <f t="shared" si="14"/>
        <v>100</v>
      </c>
      <c r="X42" s="776"/>
      <c r="Y42" s="3446"/>
      <c r="Z42" s="777" t="str">
        <f t="shared" si="15"/>
        <v>单套建筑面积</v>
      </c>
      <c r="AA42" s="1810">
        <f t="shared" si="3"/>
        <v>1</v>
      </c>
      <c r="AB42" s="1810">
        <f t="shared" si="4"/>
        <v>1</v>
      </c>
      <c r="AC42" s="2672">
        <f t="shared" si="5"/>
        <v>1</v>
      </c>
    </row>
    <row r="43" spans="1:29" ht="15">
      <c r="A43" s="471"/>
      <c r="B43" s="421" t="s">
        <v>2670</v>
      </c>
      <c r="C43" s="459" t="s">
        <v>3090</v>
      </c>
      <c r="D43" s="434">
        <v>100</v>
      </c>
      <c r="E43" s="459" t="s">
        <v>3088</v>
      </c>
      <c r="F43" s="460">
        <f>SUMIF(123:123,E43,124:124)-SUMIF(123:123,C43,124:124)+100</f>
        <v>104</v>
      </c>
      <c r="G43" s="459" t="s">
        <v>3091</v>
      </c>
      <c r="H43" s="434">
        <f>SUMIF(123:123,G43,124:124)-SUMIF(123:123,C43,124:124)+100</f>
        <v>98</v>
      </c>
      <c r="I43" s="459" t="s">
        <v>3088</v>
      </c>
      <c r="J43" s="434">
        <f>SUMIF(123:123,I43,124:124)-SUMIF(123:123,C43,124:124)+100</f>
        <v>104</v>
      </c>
      <c r="K43" s="611">
        <v>2</v>
      </c>
      <c r="L43" s="1140"/>
      <c r="M43" s="1131"/>
      <c r="N43" s="1131"/>
      <c r="O43" s="1131"/>
      <c r="P43" s="3444"/>
      <c r="Q43" s="1809" t="str">
        <f t="shared" si="11"/>
        <v>内部装修</v>
      </c>
      <c r="R43" s="771" t="s">
        <v>17</v>
      </c>
      <c r="S43" s="772">
        <f t="shared" si="12"/>
        <v>104</v>
      </c>
      <c r="T43" s="771" t="s">
        <v>17</v>
      </c>
      <c r="U43" s="772">
        <f t="shared" si="13"/>
        <v>98</v>
      </c>
      <c r="V43" s="771" t="s">
        <v>17</v>
      </c>
      <c r="W43" s="772">
        <f t="shared" si="14"/>
        <v>104</v>
      </c>
      <c r="X43" s="1812"/>
      <c r="Y43" s="3446"/>
      <c r="Z43" s="1813" t="str">
        <f t="shared" si="15"/>
        <v>内部装修</v>
      </c>
      <c r="AA43" s="1810">
        <f t="shared" si="3"/>
        <v>0.96153846153846156</v>
      </c>
      <c r="AB43" s="1810">
        <f t="shared" si="4"/>
        <v>1.0204081632653061</v>
      </c>
      <c r="AC43" s="2672">
        <f t="shared" si="5"/>
        <v>0.96153846153846156</v>
      </c>
    </row>
    <row r="44" spans="1:29" ht="15">
      <c r="A44" s="471"/>
      <c r="B44" s="421" t="s">
        <v>2578</v>
      </c>
      <c r="C44" s="459" t="s">
        <v>3113</v>
      </c>
      <c r="D44" s="434">
        <v>100</v>
      </c>
      <c r="E44" s="2611" t="s">
        <v>3113</v>
      </c>
      <c r="F44" s="460">
        <f>SUMIF(125:125,E44,126:126)-SUMIF(125:125,C44,126:126)+100</f>
        <v>100</v>
      </c>
      <c r="G44" s="2611" t="s">
        <v>3113</v>
      </c>
      <c r="H44" s="434">
        <f>SUMIF(125:125,G44,126:126)-SUMIF(125:125,C44,126:126)+100</f>
        <v>100</v>
      </c>
      <c r="I44" s="2611" t="s">
        <v>3113</v>
      </c>
      <c r="J44" s="434">
        <f>SUMIF(125:125,I44,126:126)-SUMIF(125:125,C44,126:126)+100</f>
        <v>100</v>
      </c>
      <c r="K44" s="611">
        <v>2</v>
      </c>
      <c r="L44" s="1140"/>
      <c r="M44" s="1131"/>
      <c r="N44" s="1131"/>
      <c r="O44" s="1131"/>
      <c r="P44" s="3444"/>
      <c r="Q44" s="1809" t="str">
        <f t="shared" si="11"/>
        <v>内部装修维护情况</v>
      </c>
      <c r="R44" s="771" t="s">
        <v>17</v>
      </c>
      <c r="S44" s="772">
        <f t="shared" si="12"/>
        <v>100</v>
      </c>
      <c r="T44" s="771" t="s">
        <v>17</v>
      </c>
      <c r="U44" s="772">
        <f t="shared" si="13"/>
        <v>100</v>
      </c>
      <c r="V44" s="771" t="s">
        <v>17</v>
      </c>
      <c r="W44" s="772">
        <f t="shared" si="14"/>
        <v>100</v>
      </c>
      <c r="X44" s="1812"/>
      <c r="Y44" s="3446"/>
      <c r="Z44" s="1813" t="str">
        <f t="shared" si="15"/>
        <v>内部装修维护情况</v>
      </c>
      <c r="AA44" s="1810">
        <f t="shared" si="3"/>
        <v>1</v>
      </c>
      <c r="AB44" s="1810">
        <f t="shared" si="4"/>
        <v>1</v>
      </c>
      <c r="AC44" s="2672">
        <f t="shared" si="5"/>
        <v>1</v>
      </c>
    </row>
    <row r="45" spans="1:29" s="116" customFormat="1" ht="15">
      <c r="A45" s="472"/>
      <c r="B45" s="2993" t="s">
        <v>3106</v>
      </c>
      <c r="C45" s="3017" t="s">
        <v>3115</v>
      </c>
      <c r="D45" s="135">
        <v>100</v>
      </c>
      <c r="E45" s="3016" t="s">
        <v>3116</v>
      </c>
      <c r="F45" s="424">
        <f>SUMIF(127:127,E45,128:128)-SUMIF(127:127,C45,128:128)+100</f>
        <v>97</v>
      </c>
      <c r="G45" s="3016" t="s">
        <v>3117</v>
      </c>
      <c r="H45" s="135">
        <f>SUMIF(127:127,G45,128:128)-SUMIF(127:127,C45,128:128)+100</f>
        <v>97</v>
      </c>
      <c r="I45" s="3016" t="s">
        <v>3117</v>
      </c>
      <c r="J45" s="135">
        <f>SUMIF(127:127,I45,128:128)-SUMIF(127:127,C45,128:128)+100</f>
        <v>97</v>
      </c>
      <c r="K45" s="612"/>
      <c r="L45" s="1132"/>
      <c r="M45" s="1133"/>
      <c r="N45" s="1133"/>
      <c r="O45" s="1133"/>
      <c r="P45" s="3444"/>
      <c r="Q45" s="1794" t="str">
        <f t="shared" si="11"/>
        <v>智能环保系统</v>
      </c>
      <c r="R45" s="767" t="s">
        <v>17</v>
      </c>
      <c r="S45" s="768">
        <f t="shared" si="12"/>
        <v>97</v>
      </c>
      <c r="T45" s="767" t="s">
        <v>17</v>
      </c>
      <c r="U45" s="768">
        <f t="shared" si="13"/>
        <v>97</v>
      </c>
      <c r="V45" s="767" t="s">
        <v>17</v>
      </c>
      <c r="W45" s="768">
        <f t="shared" si="14"/>
        <v>97</v>
      </c>
      <c r="X45" s="769"/>
      <c r="Y45" s="3446"/>
      <c r="Z45" s="54" t="str">
        <f t="shared" si="15"/>
        <v>智能环保系统</v>
      </c>
      <c r="AA45" s="770">
        <f t="shared" si="3"/>
        <v>1.0309278350515463</v>
      </c>
      <c r="AB45" s="770">
        <f t="shared" si="4"/>
        <v>1.0309278350515463</v>
      </c>
      <c r="AC45" s="2669">
        <f t="shared" si="5"/>
        <v>1.0309278350515463</v>
      </c>
    </row>
    <row r="46" spans="1:29" ht="15">
      <c r="A46" s="471"/>
      <c r="B46" s="2993" t="s">
        <v>3118</v>
      </c>
      <c r="C46" s="3014" t="s">
        <v>3121</v>
      </c>
      <c r="D46" s="434">
        <v>100</v>
      </c>
      <c r="E46" s="3016" t="s">
        <v>3122</v>
      </c>
      <c r="F46" s="460">
        <f>SUMIF(129:129,E46,130:130)-SUMIF(129:129,C46,130:130)+100</f>
        <v>98</v>
      </c>
      <c r="G46" s="3016" t="s">
        <v>3120</v>
      </c>
      <c r="H46" s="434">
        <f>SUMIF(129:129,G46,130:130)-SUMIF(129:129,C46,130:130)+100</f>
        <v>98</v>
      </c>
      <c r="I46" s="3016" t="s">
        <v>3120</v>
      </c>
      <c r="J46" s="434">
        <f>SUMIF(129:129,I46,130:130)-SUMIF(129:129,C46,130:130)+100</f>
        <v>98</v>
      </c>
      <c r="K46" s="612"/>
      <c r="L46" s="1140"/>
      <c r="M46" s="1131"/>
      <c r="N46" s="1131"/>
      <c r="O46" s="1131"/>
      <c r="P46" s="3444"/>
      <c r="Q46" s="1809" t="str">
        <f t="shared" si="11"/>
        <v>建筑品质</v>
      </c>
      <c r="R46" s="771" t="s">
        <v>17</v>
      </c>
      <c r="S46" s="772">
        <f t="shared" si="12"/>
        <v>98</v>
      </c>
      <c r="T46" s="771" t="s">
        <v>17</v>
      </c>
      <c r="U46" s="772">
        <f t="shared" si="13"/>
        <v>98</v>
      </c>
      <c r="V46" s="771" t="s">
        <v>17</v>
      </c>
      <c r="W46" s="772">
        <f t="shared" si="14"/>
        <v>98</v>
      </c>
      <c r="X46" s="1812"/>
      <c r="Y46" s="3446"/>
      <c r="Z46" s="1813" t="str">
        <f t="shared" si="15"/>
        <v>建筑品质</v>
      </c>
      <c r="AA46" s="1810">
        <f t="shared" si="3"/>
        <v>1.0204081632653061</v>
      </c>
      <c r="AB46" s="1810">
        <f t="shared" si="4"/>
        <v>1.0204081632653061</v>
      </c>
      <c r="AC46" s="2672">
        <f t="shared" si="5"/>
        <v>1.0204081632653061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445"/>
      <c r="Q47" s="1809">
        <f t="shared" si="11"/>
        <v>111</v>
      </c>
      <c r="R47" s="771" t="s">
        <v>17</v>
      </c>
      <c r="S47" s="772">
        <f t="shared" si="12"/>
        <v>100</v>
      </c>
      <c r="T47" s="771" t="s">
        <v>17</v>
      </c>
      <c r="U47" s="772">
        <f t="shared" si="13"/>
        <v>100</v>
      </c>
      <c r="V47" s="771" t="s">
        <v>17</v>
      </c>
      <c r="W47" s="772">
        <f t="shared" si="14"/>
        <v>100</v>
      </c>
      <c r="X47" s="1812"/>
      <c r="Y47" s="3447"/>
      <c r="Z47" s="1813">
        <f t="shared" si="15"/>
        <v>111</v>
      </c>
      <c r="AA47" s="1810">
        <f t="shared" si="3"/>
        <v>1</v>
      </c>
      <c r="AB47" s="1810">
        <f t="shared" si="4"/>
        <v>1</v>
      </c>
      <c r="AC47" s="2672">
        <f t="shared" si="5"/>
        <v>1</v>
      </c>
    </row>
    <row r="48" spans="1:29" ht="15">
      <c r="A48" s="478" t="s">
        <v>2579</v>
      </c>
      <c r="B48" s="479"/>
      <c r="C48" s="1406" t="s">
        <v>1</v>
      </c>
      <c r="D48" s="1407"/>
      <c r="E48" s="1408">
        <v>37000</v>
      </c>
      <c r="F48" s="1409"/>
      <c r="G48" s="1410">
        <v>38000</v>
      </c>
      <c r="H48" s="1411"/>
      <c r="I48" s="1408">
        <v>38615</v>
      </c>
      <c r="J48" s="484"/>
      <c r="K48" s="780"/>
      <c r="L48" s="1143"/>
      <c r="M48" s="1131"/>
      <c r="N48" s="1131"/>
      <c r="O48" s="1131"/>
      <c r="P48" s="3433" t="str">
        <f>A48</f>
        <v>成交单价（元/平方米）</v>
      </c>
      <c r="Q48" s="3434"/>
      <c r="R48" s="3435">
        <f>E48</f>
        <v>37000</v>
      </c>
      <c r="S48" s="3435"/>
      <c r="T48" s="3435">
        <f>G48</f>
        <v>38000</v>
      </c>
      <c r="U48" s="3435"/>
      <c r="V48" s="3435">
        <f>I48</f>
        <v>38615</v>
      </c>
      <c r="W48" s="3435"/>
      <c r="X48" s="445"/>
      <c r="Y48" s="778"/>
      <c r="Z48" s="445"/>
      <c r="AA48" s="445"/>
      <c r="AB48" s="445"/>
      <c r="AC48" s="629"/>
    </row>
    <row r="49" spans="1:29" ht="15.75" thickBot="1">
      <c r="A49" s="485" t="s">
        <v>2671</v>
      </c>
      <c r="B49" s="486"/>
      <c r="C49" s="1412">
        <f>R50</f>
        <v>41561</v>
      </c>
      <c r="D49" s="1413"/>
      <c r="E49" s="1414">
        <f>R49</f>
        <v>39378</v>
      </c>
      <c r="F49" s="1414"/>
      <c r="G49" s="1412">
        <f>T49</f>
        <v>43804</v>
      </c>
      <c r="H49" s="1413"/>
      <c r="I49" s="1414">
        <f>V49</f>
        <v>41500</v>
      </c>
      <c r="J49" s="488"/>
      <c r="K49" s="781"/>
      <c r="L49" s="1143"/>
      <c r="M49" s="1131"/>
      <c r="N49" s="1131"/>
      <c r="O49" s="1131"/>
      <c r="P49" s="3433" t="str">
        <f>A49</f>
        <v>比较价值（元/平方米）</v>
      </c>
      <c r="Q49" s="3434"/>
      <c r="R49" s="3435">
        <f>IF(F1="售价",ROUND(PRODUCT(R48,AA7:AA47),0),ROUND(PRODUCT(R48,AA7:AA47),1))</f>
        <v>39378</v>
      </c>
      <c r="S49" s="3435"/>
      <c r="T49" s="3435">
        <f>IF(F1="售价",ROUND(PRODUCT(T48,AB7:AB47),0),ROUND(PRODUCT(T48,AB7:AB47),1))</f>
        <v>43804</v>
      </c>
      <c r="U49" s="3435"/>
      <c r="V49" s="3435">
        <f>IF(F1="售价",ROUND(PRODUCT(V48,AC7:AC47),0),ROUND(PRODUCT(V48,AC7:AC47),1))</f>
        <v>41500</v>
      </c>
      <c r="W49" s="3435"/>
      <c r="X49" s="445"/>
      <c r="Y49" s="445"/>
      <c r="Z49" s="445"/>
      <c r="AA49" s="445"/>
      <c r="AB49" s="445"/>
      <c r="AC49" s="629"/>
    </row>
    <row r="50" spans="1:29" ht="15.75" thickBot="1">
      <c r="A50" s="491" t="s">
        <v>2672</v>
      </c>
      <c r="B50" s="492"/>
      <c r="C50" s="1416">
        <f>R50</f>
        <v>41561</v>
      </c>
      <c r="D50" s="1416"/>
      <c r="E50" s="1416"/>
      <c r="F50" s="1416"/>
      <c r="G50" s="1416"/>
      <c r="H50" s="1416"/>
      <c r="I50" s="1416"/>
      <c r="J50" s="493"/>
      <c r="K50" s="782"/>
      <c r="L50" s="1143"/>
      <c r="M50" s="1131"/>
      <c r="N50" s="1131"/>
      <c r="O50" s="1131"/>
      <c r="P50" s="3436" t="str">
        <f>A50</f>
        <v>估价对象XX用房的比较价值（楼面单价，元/平方米）</v>
      </c>
      <c r="Q50" s="3437"/>
      <c r="R50" s="3438">
        <f>IF(F1="售价",ROUND(AVERAGE(R49:V49),0),ROUND(AVERAGE(R49:V49),1))</f>
        <v>41561</v>
      </c>
      <c r="S50" s="3438"/>
      <c r="T50" s="3438"/>
      <c r="U50" s="3438"/>
      <c r="V50" s="3438"/>
      <c r="W50" s="343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2673</v>
      </c>
      <c r="D53" s="497"/>
      <c r="E53" s="498">
        <f>IF(E48&lt;E49,E49/E48-1,E48/E49-1)</f>
        <v>6.4270270270270213E-2</v>
      </c>
      <c r="F53" s="499" t="str">
        <f>IF(OR(E53&gt;=0.3,E53&lt;=-0.3),"超过30%","")</f>
        <v/>
      </c>
      <c r="G53" s="498">
        <f>IF(G48&lt;G49,G49/G48-1,G48/G49-1)</f>
        <v>0.15273684210526306</v>
      </c>
      <c r="H53" s="499" t="str">
        <f>IF(OR(G53&gt;=0.3,G53&lt;=-0.3),"超过30%","")</f>
        <v/>
      </c>
      <c r="I53" s="498">
        <f>IF(I48&lt;I49,I49/I48-1,I48/I49-1)</f>
        <v>7.4711899520911507E-2</v>
      </c>
      <c r="J53" s="499" t="str">
        <f>IF(OR(I53&gt;=0.3,I53&lt;=-0.3),"超过30%","")</f>
        <v/>
      </c>
      <c r="K53" s="1105"/>
      <c r="L53" s="1106"/>
      <c r="M53" s="1144"/>
      <c r="N53" s="1144"/>
      <c r="O53" s="1144"/>
    </row>
    <row r="54" spans="1:29" ht="13.5" customHeight="1">
      <c r="A54" s="1144"/>
      <c r="B54" s="1144"/>
      <c r="C54" s="496" t="s">
        <v>2674</v>
      </c>
      <c r="D54" s="500"/>
      <c r="E54" s="498">
        <f>IF(E49&lt;G49,G49/E49-1,E49/G49-1)</f>
        <v>0.11239778556554425</v>
      </c>
      <c r="F54" s="499" t="str">
        <f>IF(OR(E54&gt;=0.2,E54&lt;=-0.2),"超过20%","")</f>
        <v/>
      </c>
      <c r="G54" s="498">
        <f>IF(G49&lt;I49,I49/G49-1,G49/I49-1)</f>
        <v>5.5518072289156617E-2</v>
      </c>
      <c r="H54" s="499" t="str">
        <f>IF(OR(G54&gt;=0.2,G54&lt;=-0.2),"超过20%","")</f>
        <v/>
      </c>
      <c r="I54" s="498">
        <f>IF(I49&lt;E49,E49/I49-1,I49/E49-1)</f>
        <v>5.3887957742902115E-2</v>
      </c>
      <c r="J54" s="499" t="str">
        <f>IF(OR(I54&gt;=0.2,I54&lt;=-0.2),"超过20%","")</f>
        <v/>
      </c>
      <c r="K54" s="1105"/>
      <c r="L54" s="1106"/>
      <c r="M54" s="1144"/>
      <c r="N54" s="1144"/>
      <c r="O54" s="1144"/>
    </row>
    <row r="55" spans="1:29" s="501" customFormat="1" ht="13.5" customHeight="1">
      <c r="A55" s="1145"/>
      <c r="B55" s="1145"/>
      <c r="C55" s="496" t="s">
        <v>2675</v>
      </c>
      <c r="D55" s="500"/>
      <c r="E55" s="498">
        <f>IF(E48&lt;G48,G48/E48-1,E48/G48-1)</f>
        <v>2.7027027027026973E-2</v>
      </c>
      <c r="F55" s="499" t="str">
        <f>IF(OR(E55&gt;=0.3,E55&lt;=-0.3),"超过30%","")</f>
        <v/>
      </c>
      <c r="G55" s="498">
        <f>IF(G48&lt;I48,I48/G48-1,G48/I48-1)</f>
        <v>1.618421052631569E-2</v>
      </c>
      <c r="H55" s="499" t="str">
        <f>IF(OR(G55&gt;=0.3,G55&lt;=-0.3),"超过30%","")</f>
        <v/>
      </c>
      <c r="I55" s="498">
        <f>IF(I48&lt;E48,E48/I48-1,I48/E48-1)</f>
        <v>4.3648648648648702E-2</v>
      </c>
      <c r="J55" s="499" t="str">
        <f>IF(OR(I55&gt;=0.3,I55&lt;=-0.3),"超过30%","")</f>
        <v/>
      </c>
      <c r="K55" s="1148"/>
      <c r="L55" s="1149"/>
      <c r="M55" s="1145"/>
      <c r="N55" s="1145"/>
      <c r="O55" s="1145"/>
      <c r="P55" s="2678"/>
    </row>
    <row r="56" spans="1:29" s="501"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2676</v>
      </c>
      <c r="B58" s="756"/>
      <c r="C58" s="761"/>
      <c r="D58" s="761"/>
      <c r="E58" s="761"/>
      <c r="F58" s="762"/>
      <c r="G58" s="762"/>
      <c r="H58" s="761"/>
      <c r="I58" s="761"/>
      <c r="J58" s="761"/>
      <c r="K58" s="763"/>
      <c r="L58" s="1161"/>
      <c r="M58" s="1159"/>
      <c r="N58" s="1159"/>
      <c r="O58" s="1159"/>
      <c r="P58" s="2679"/>
      <c r="Q58" s="503"/>
    </row>
    <row r="59" spans="1:29" s="507" customFormat="1" ht="15">
      <c r="A59" s="504" t="s">
        <v>2550</v>
      </c>
      <c r="B59" s="505"/>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6" customFormat="1" ht="15">
      <c r="A60" s="508"/>
      <c r="B60" s="509"/>
      <c r="C60" s="1572">
        <v>100</v>
      </c>
      <c r="D60" s="511">
        <v>100</v>
      </c>
      <c r="E60" s="511">
        <v>100</v>
      </c>
      <c r="F60" s="511">
        <v>99</v>
      </c>
      <c r="G60" s="511">
        <v>99</v>
      </c>
      <c r="H60" s="511">
        <v>99</v>
      </c>
      <c r="I60" s="511">
        <v>98</v>
      </c>
      <c r="J60" s="511">
        <v>98</v>
      </c>
      <c r="K60" s="511">
        <v>98</v>
      </c>
      <c r="L60" s="511">
        <v>97</v>
      </c>
      <c r="M60" s="512">
        <v>97</v>
      </c>
      <c r="N60" s="511">
        <v>97</v>
      </c>
      <c r="O60" s="512">
        <v>96</v>
      </c>
      <c r="P60" s="2680"/>
    </row>
    <row r="61" spans="1:29" s="116" customFormat="1" ht="15.75" thickBot="1">
      <c r="A61" s="514" t="s">
        <v>2587</v>
      </c>
      <c r="B61" s="515"/>
      <c r="C61" s="516"/>
      <c r="D61" s="517"/>
      <c r="E61" s="517"/>
      <c r="F61" s="517"/>
      <c r="G61" s="517"/>
      <c r="H61" s="517"/>
      <c r="I61" s="517"/>
      <c r="J61" s="517"/>
      <c r="K61" s="517"/>
      <c r="L61" s="517"/>
      <c r="M61" s="518"/>
      <c r="N61" s="517"/>
      <c r="O61" s="518"/>
      <c r="P61" s="2680"/>
      <c r="Q61" s="503"/>
    </row>
    <row r="62" spans="1:29" s="116" customFormat="1" ht="15">
      <c r="A62" s="520" t="s">
        <v>2552</v>
      </c>
      <c r="B62" s="509"/>
      <c r="C62" s="521" t="s">
        <v>2654</v>
      </c>
      <c r="D62" s="522"/>
      <c r="E62" s="522"/>
      <c r="F62" s="522"/>
      <c r="G62" s="522"/>
      <c r="H62" s="522"/>
      <c r="I62" s="522"/>
      <c r="J62" s="522"/>
      <c r="K62" s="522"/>
      <c r="L62" s="523"/>
      <c r="M62" s="524"/>
      <c r="N62" s="1151"/>
      <c r="O62" s="1151"/>
      <c r="P62" s="2681"/>
      <c r="Q62" s="503"/>
    </row>
    <row r="63" spans="1:29" s="116" customFormat="1" ht="15.75" thickBot="1">
      <c r="A63" s="520"/>
      <c r="B63" s="509"/>
      <c r="C63" s="510">
        <v>100</v>
      </c>
      <c r="D63" s="511"/>
      <c r="E63" s="511"/>
      <c r="F63" s="511"/>
      <c r="G63" s="511"/>
      <c r="H63" s="511"/>
      <c r="I63" s="511"/>
      <c r="J63" s="511"/>
      <c r="K63" s="511"/>
      <c r="L63" s="511"/>
      <c r="M63" s="513"/>
      <c r="N63" s="1151"/>
      <c r="O63" s="1151"/>
      <c r="P63" s="2680"/>
      <c r="Q63" s="503"/>
    </row>
    <row r="64" spans="1:29">
      <c r="A64" s="526" t="s">
        <v>2590</v>
      </c>
      <c r="B64" s="527" t="s">
        <v>2556</v>
      </c>
      <c r="C64" s="528" t="str">
        <f>C9</f>
        <v>办公</v>
      </c>
      <c r="D64" s="529"/>
      <c r="E64" s="529"/>
      <c r="F64" s="529"/>
      <c r="G64" s="529"/>
      <c r="H64" s="529"/>
      <c r="I64" s="529"/>
      <c r="J64" s="529"/>
      <c r="K64" s="530"/>
      <c r="L64" s="531"/>
      <c r="M64" s="532"/>
      <c r="N64" s="1152"/>
      <c r="O64" s="1152"/>
      <c r="P64" s="2682"/>
      <c r="Q64" s="503"/>
    </row>
    <row r="65" spans="1:17" ht="15.75" thickBot="1">
      <c r="A65" s="533"/>
      <c r="B65" s="534"/>
      <c r="C65" s="535">
        <v>100</v>
      </c>
      <c r="D65" s="535"/>
      <c r="E65" s="535"/>
      <c r="F65" s="535"/>
      <c r="G65" s="535"/>
      <c r="H65" s="535"/>
      <c r="I65" s="535"/>
      <c r="J65" s="535"/>
      <c r="K65" s="535"/>
      <c r="L65" s="535"/>
      <c r="M65" s="536"/>
      <c r="N65" s="1153"/>
      <c r="O65" s="1153"/>
      <c r="P65" s="2682"/>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2"/>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2"/>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2"/>
      <c r="Q68" s="503"/>
    </row>
    <row r="69" spans="1:17" ht="15">
      <c r="A69" s="533"/>
      <c r="B69" s="547"/>
      <c r="C69" s="548">
        <v>0</v>
      </c>
      <c r="D69" s="548">
        <v>1</v>
      </c>
      <c r="E69" s="548">
        <v>2</v>
      </c>
      <c r="F69" s="548">
        <v>3</v>
      </c>
      <c r="G69" s="548">
        <v>4</v>
      </c>
      <c r="H69" s="548"/>
      <c r="I69" s="548"/>
      <c r="J69" s="548"/>
      <c r="K69" s="549"/>
      <c r="L69" s="550"/>
      <c r="M69" s="551"/>
      <c r="N69" s="1152"/>
      <c r="O69" s="1152"/>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2"/>
      <c r="Q70" s="503"/>
    </row>
    <row r="71" spans="1:17" s="470" customFormat="1" ht="15.75" thickTop="1">
      <c r="A71" s="552"/>
      <c r="B71" s="537">
        <f>B12</f>
        <v>111</v>
      </c>
      <c r="C71" s="553"/>
      <c r="D71" s="553"/>
      <c r="E71" s="553"/>
      <c r="F71" s="553"/>
      <c r="G71" s="553"/>
      <c r="H71" s="554"/>
      <c r="I71" s="554"/>
      <c r="J71" s="554"/>
      <c r="K71" s="554"/>
      <c r="L71" s="555"/>
      <c r="M71" s="556"/>
      <c r="N71" s="1154"/>
      <c r="O71" s="1154"/>
      <c r="P71" s="2683"/>
      <c r="Q71" s="558"/>
    </row>
    <row r="72" spans="1:17" s="470" customFormat="1" ht="15.75" thickBot="1">
      <c r="A72" s="552"/>
      <c r="B72" s="542"/>
      <c r="C72" s="559"/>
      <c r="D72" s="535"/>
      <c r="E72" s="535"/>
      <c r="F72" s="535"/>
      <c r="G72" s="535"/>
      <c r="H72" s="535"/>
      <c r="I72" s="535"/>
      <c r="J72" s="535"/>
      <c r="K72" s="535"/>
      <c r="L72" s="535"/>
      <c r="M72" s="536"/>
      <c r="N72" s="1153"/>
      <c r="O72" s="1153"/>
      <c r="P72" s="2683"/>
      <c r="Q72" s="558"/>
    </row>
    <row r="73" spans="1:17" s="470" customFormat="1" ht="15.75" thickTop="1">
      <c r="A73" s="552"/>
      <c r="B73" s="537">
        <f>B13</f>
        <v>111</v>
      </c>
      <c r="C73" s="553"/>
      <c r="D73" s="553"/>
      <c r="E73" s="553"/>
      <c r="F73" s="553"/>
      <c r="G73" s="553"/>
      <c r="H73" s="554"/>
      <c r="I73" s="554"/>
      <c r="J73" s="554"/>
      <c r="K73" s="554"/>
      <c r="L73" s="555"/>
      <c r="M73" s="556"/>
      <c r="N73" s="1154"/>
      <c r="O73" s="1154"/>
      <c r="P73" s="2684"/>
      <c r="Q73" s="560"/>
    </row>
    <row r="74" spans="1:17" s="470" customFormat="1" ht="15.75" thickBot="1">
      <c r="A74" s="552"/>
      <c r="B74" s="542"/>
      <c r="C74" s="559"/>
      <c r="D74" s="559"/>
      <c r="E74" s="559"/>
      <c r="F74" s="559"/>
      <c r="G74" s="559"/>
      <c r="H74" s="561"/>
      <c r="I74" s="561"/>
      <c r="J74" s="561"/>
      <c r="K74" s="561"/>
      <c r="L74" s="561"/>
      <c r="M74" s="562"/>
      <c r="N74" s="1154"/>
      <c r="O74" s="1154"/>
      <c r="P74" s="2683"/>
      <c r="Q74" s="558"/>
    </row>
    <row r="75" spans="1:17" s="470" customFormat="1" ht="15.75" thickTop="1">
      <c r="A75" s="552"/>
      <c r="B75" s="545">
        <f>B14</f>
        <v>111</v>
      </c>
      <c r="C75" s="522"/>
      <c r="D75" s="522"/>
      <c r="E75" s="522"/>
      <c r="F75" s="522"/>
      <c r="G75" s="522"/>
      <c r="H75" s="563"/>
      <c r="I75" s="563"/>
      <c r="J75" s="563"/>
      <c r="K75" s="563"/>
      <c r="L75" s="564"/>
      <c r="M75" s="565"/>
      <c r="N75" s="1154"/>
      <c r="O75" s="1154"/>
      <c r="P75" s="2685"/>
      <c r="Q75" s="558"/>
    </row>
    <row r="76" spans="1:17" s="470" customFormat="1" ht="15.75" thickBot="1">
      <c r="A76" s="567"/>
      <c r="B76" s="568"/>
      <c r="C76" s="569"/>
      <c r="D76" s="569"/>
      <c r="E76" s="569"/>
      <c r="F76" s="569"/>
      <c r="G76" s="569"/>
      <c r="H76" s="570"/>
      <c r="I76" s="570"/>
      <c r="J76" s="570"/>
      <c r="K76" s="570"/>
      <c r="L76" s="570"/>
      <c r="M76" s="571"/>
      <c r="N76" s="1154"/>
      <c r="O76" s="1154"/>
      <c r="P76" s="2683"/>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2"/>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2"/>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2"/>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2"/>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2"/>
      <c r="Q82" s="503"/>
    </row>
    <row r="83" spans="1:17" ht="15.75" thickTop="1">
      <c r="A83" s="533"/>
      <c r="B83" s="545" t="s">
        <v>2691</v>
      </c>
      <c r="C83" s="659" t="s">
        <v>2677</v>
      </c>
      <c r="D83" s="659" t="s">
        <v>2678</v>
      </c>
      <c r="E83" s="659" t="s">
        <v>2679</v>
      </c>
      <c r="F83" s="659" t="s">
        <v>2680</v>
      </c>
      <c r="G83" s="659" t="s">
        <v>2681</v>
      </c>
      <c r="H83" s="538"/>
      <c r="I83" s="538"/>
      <c r="J83" s="538"/>
      <c r="K83" s="538"/>
      <c r="L83" s="538"/>
      <c r="M83" s="1381"/>
      <c r="N83" s="1153"/>
      <c r="O83" s="1153"/>
      <c r="P83" s="2682"/>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2"/>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2"/>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2"/>
      <c r="Q86" s="503"/>
    </row>
    <row r="87" spans="1:17" s="116" customFormat="1" ht="27.75" thickTop="1">
      <c r="A87" s="578"/>
      <c r="B87" s="537" t="s">
        <v>2701</v>
      </c>
      <c r="C87" s="2994" t="s">
        <v>3075</v>
      </c>
      <c r="D87" s="2994" t="s">
        <v>3076</v>
      </c>
      <c r="E87" s="2994" t="s">
        <v>3077</v>
      </c>
      <c r="F87" s="2994" t="s">
        <v>3078</v>
      </c>
      <c r="G87" s="2994" t="s">
        <v>3079</v>
      </c>
      <c r="H87" s="553"/>
      <c r="I87" s="553"/>
      <c r="J87" s="553"/>
      <c r="K87" s="553"/>
      <c r="L87" s="579"/>
      <c r="M87" s="580"/>
      <c r="N87" s="1151"/>
      <c r="O87" s="1151"/>
      <c r="P87" s="2682"/>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2"/>
      <c r="Q88" s="503"/>
    </row>
    <row r="89" spans="1:17" s="116" customFormat="1" ht="15.75" thickTop="1">
      <c r="A89" s="578"/>
      <c r="B89" s="537" t="str">
        <f>B27</f>
        <v>楼层</v>
      </c>
      <c r="C89" s="2996" t="s">
        <v>3080</v>
      </c>
      <c r="D89" s="2996" t="s">
        <v>3081</v>
      </c>
      <c r="E89" s="2996" t="s">
        <v>3082</v>
      </c>
      <c r="F89" s="2633"/>
      <c r="G89" s="553"/>
      <c r="H89" s="553"/>
      <c r="I89" s="553"/>
      <c r="J89" s="553"/>
      <c r="K89" s="553"/>
      <c r="L89" s="553"/>
      <c r="M89" s="580"/>
      <c r="N89" s="1151"/>
      <c r="O89" s="1151"/>
      <c r="P89" s="2682"/>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3"/>
      <c r="Q92" s="558"/>
    </row>
    <row r="93" spans="1:17" ht="15.75" thickTop="1">
      <c r="A93" s="533"/>
      <c r="B93" s="537">
        <f>B29</f>
        <v>111</v>
      </c>
      <c r="C93" s="553"/>
      <c r="D93" s="553"/>
      <c r="E93" s="553"/>
      <c r="F93" s="553"/>
      <c r="G93" s="553"/>
      <c r="H93" s="553"/>
      <c r="I93" s="553"/>
      <c r="J93" s="553"/>
      <c r="K93" s="553"/>
      <c r="L93" s="579"/>
      <c r="M93" s="580"/>
      <c r="N93" s="1152"/>
      <c r="O93" s="1152"/>
      <c r="P93" s="2682"/>
      <c r="Q93" s="503"/>
    </row>
    <row r="94" spans="1:17" ht="15.75" thickBot="1">
      <c r="A94" s="533"/>
      <c r="B94" s="542"/>
      <c r="C94" s="559"/>
      <c r="D94" s="535"/>
      <c r="E94" s="535"/>
      <c r="F94" s="535"/>
      <c r="G94" s="535"/>
      <c r="H94" s="535"/>
      <c r="I94" s="535"/>
      <c r="J94" s="535"/>
      <c r="K94" s="535"/>
      <c r="L94" s="535"/>
      <c r="M94" s="536"/>
      <c r="N94" s="1153"/>
      <c r="O94" s="1153"/>
      <c r="P94" s="2682"/>
      <c r="Q94" s="503"/>
    </row>
    <row r="95" spans="1:17" ht="15.75" thickTop="1">
      <c r="A95" s="533"/>
      <c r="B95" s="537">
        <f>B30</f>
        <v>111</v>
      </c>
      <c r="C95" s="553"/>
      <c r="D95" s="553"/>
      <c r="E95" s="553"/>
      <c r="F95" s="553"/>
      <c r="G95" s="582"/>
      <c r="H95" s="582"/>
      <c r="I95" s="582"/>
      <c r="J95" s="582"/>
      <c r="K95" s="583"/>
      <c r="L95" s="584"/>
      <c r="M95" s="585"/>
      <c r="N95" s="1152"/>
      <c r="O95" s="1152"/>
      <c r="P95" s="2682"/>
      <c r="Q95" s="503"/>
    </row>
    <row r="96" spans="1:17" ht="15.75" thickBot="1">
      <c r="A96" s="533"/>
      <c r="B96" s="542"/>
      <c r="C96" s="559"/>
      <c r="D96" s="559"/>
      <c r="E96" s="559"/>
      <c r="F96" s="559"/>
      <c r="G96" s="535"/>
      <c r="H96" s="535"/>
      <c r="I96" s="535"/>
      <c r="J96" s="535"/>
      <c r="K96" s="535"/>
      <c r="L96" s="535"/>
      <c r="M96" s="536"/>
      <c r="N96" s="1153"/>
      <c r="O96" s="1153"/>
      <c r="P96" s="2682"/>
      <c r="Q96" s="503"/>
    </row>
    <row r="97" spans="1:17" ht="15.75" thickTop="1">
      <c r="A97" s="533"/>
      <c r="B97" s="537">
        <f>B31</f>
        <v>111</v>
      </c>
      <c r="C97" s="553"/>
      <c r="D97" s="553"/>
      <c r="E97" s="553"/>
      <c r="F97" s="553"/>
      <c r="G97" s="582"/>
      <c r="H97" s="582"/>
      <c r="I97" s="582"/>
      <c r="J97" s="582"/>
      <c r="K97" s="583"/>
      <c r="L97" s="584"/>
      <c r="M97" s="585"/>
      <c r="N97" s="1152"/>
      <c r="O97" s="1152"/>
      <c r="P97" s="2682"/>
      <c r="Q97" s="503"/>
    </row>
    <row r="98" spans="1:17" ht="15.75" thickBot="1">
      <c r="A98" s="533"/>
      <c r="B98" s="542"/>
      <c r="C98" s="559"/>
      <c r="D98" s="535"/>
      <c r="E98" s="535"/>
      <c r="F98" s="535"/>
      <c r="G98" s="535"/>
      <c r="H98" s="535"/>
      <c r="I98" s="535"/>
      <c r="J98" s="535"/>
      <c r="K98" s="535"/>
      <c r="L98" s="535"/>
      <c r="M98" s="536"/>
      <c r="N98" s="1153"/>
      <c r="O98" s="1153"/>
      <c r="P98" s="2682"/>
      <c r="Q98" s="503"/>
    </row>
    <row r="99" spans="1:17" ht="15.75" thickTop="1">
      <c r="A99" s="533"/>
      <c r="B99" s="545">
        <f>B32</f>
        <v>111</v>
      </c>
      <c r="C99" s="522"/>
      <c r="D99" s="522"/>
      <c r="E99" s="522"/>
      <c r="F99" s="522"/>
      <c r="G99" s="586"/>
      <c r="H99" s="586"/>
      <c r="I99" s="586"/>
      <c r="J99" s="586"/>
      <c r="K99" s="587"/>
      <c r="L99" s="588"/>
      <c r="M99" s="589"/>
      <c r="N99" s="1152"/>
      <c r="O99" s="1152"/>
      <c r="P99" s="2682"/>
      <c r="Q99" s="503"/>
    </row>
    <row r="100" spans="1:17" ht="15.75" thickBot="1">
      <c r="A100" s="2634"/>
      <c r="B100" s="568"/>
      <c r="C100" s="569"/>
      <c r="D100" s="569"/>
      <c r="E100" s="569"/>
      <c r="F100" s="569"/>
      <c r="G100" s="590"/>
      <c r="H100" s="590"/>
      <c r="I100" s="590"/>
      <c r="J100" s="590"/>
      <c r="K100" s="590"/>
      <c r="L100" s="590"/>
      <c r="M100" s="591"/>
      <c r="N100" s="1153"/>
      <c r="O100" s="1153"/>
      <c r="P100" s="2682"/>
      <c r="Q100" s="503"/>
    </row>
    <row r="101" spans="1:17">
      <c r="A101" s="526" t="s">
        <v>2565</v>
      </c>
      <c r="B101" s="527" t="s">
        <v>2614</v>
      </c>
      <c r="C101" s="2997" t="s">
        <v>3083</v>
      </c>
      <c r="D101" s="2997" t="s">
        <v>3084</v>
      </c>
      <c r="E101" s="529"/>
      <c r="F101" s="529"/>
      <c r="G101" s="529"/>
      <c r="H101" s="529"/>
      <c r="I101" s="529"/>
      <c r="J101" s="529"/>
      <c r="K101" s="530"/>
      <c r="L101" s="531"/>
      <c r="M101" s="532"/>
      <c r="N101" s="1152"/>
      <c r="O101" s="1152"/>
      <c r="P101" s="2682"/>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2"/>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2"/>
      <c r="Q103" s="503"/>
    </row>
    <row r="104" spans="1:17" s="470" customFormat="1">
      <c r="A104" s="592"/>
      <c r="B104" s="593"/>
      <c r="C104" s="2998">
        <v>0</v>
      </c>
      <c r="D104" s="2998">
        <v>200</v>
      </c>
      <c r="E104" s="2998">
        <v>400</v>
      </c>
      <c r="F104" s="2998">
        <v>600</v>
      </c>
      <c r="G104" s="2998">
        <v>800</v>
      </c>
      <c r="H104" s="2998">
        <v>1000</v>
      </c>
      <c r="I104" s="2998">
        <v>2000</v>
      </c>
      <c r="J104" s="2999">
        <v>5000</v>
      </c>
      <c r="K104" s="2999">
        <v>10000</v>
      </c>
      <c r="L104" s="3000">
        <v>20000</v>
      </c>
      <c r="M104" s="597"/>
      <c r="N104" s="1154"/>
      <c r="O104" s="1154"/>
      <c r="P104" s="2683"/>
      <c r="Q104" s="558"/>
    </row>
    <row r="105" spans="1:17" s="470" customFormat="1" ht="15.75" thickBot="1">
      <c r="A105" s="552"/>
      <c r="B105" s="542"/>
      <c r="C105" s="3029">
        <v>98</v>
      </c>
      <c r="D105" s="3027">
        <v>99</v>
      </c>
      <c r="E105" s="3027">
        <v>100</v>
      </c>
      <c r="F105" s="3027">
        <v>99</v>
      </c>
      <c r="G105" s="3027">
        <v>98</v>
      </c>
      <c r="H105" s="3027">
        <v>97</v>
      </c>
      <c r="I105" s="3027">
        <v>96</v>
      </c>
      <c r="J105" s="3027">
        <v>95</v>
      </c>
      <c r="K105" s="3027">
        <v>94</v>
      </c>
      <c r="L105" s="3027">
        <v>93</v>
      </c>
      <c r="M105" s="536"/>
      <c r="N105" s="1153"/>
      <c r="O105" s="1153"/>
      <c r="P105" s="2683"/>
      <c r="Q105" s="558"/>
    </row>
    <row r="106" spans="1:17" ht="15" thickTop="1">
      <c r="A106" s="598"/>
      <c r="B106" s="537" t="s">
        <v>2616</v>
      </c>
      <c r="C106" s="3001" t="s">
        <v>3085</v>
      </c>
      <c r="D106" s="3001" t="s">
        <v>3086</v>
      </c>
      <c r="E106" s="3002" t="s">
        <v>3087</v>
      </c>
      <c r="F106" s="582"/>
      <c r="G106" s="582"/>
      <c r="H106" s="582"/>
      <c r="I106" s="582"/>
      <c r="J106" s="582"/>
      <c r="K106" s="583"/>
      <c r="L106" s="584"/>
      <c r="M106" s="585"/>
      <c r="N106" s="1152"/>
      <c r="O106" s="1152"/>
      <c r="P106" s="2682"/>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2"/>
      <c r="Q107" s="503"/>
    </row>
    <row r="108" spans="1:17" ht="15" thickTop="1">
      <c r="A108" s="598"/>
      <c r="B108" s="537" t="s">
        <v>2618</v>
      </c>
      <c r="C108" s="3003" t="s">
        <v>3088</v>
      </c>
      <c r="D108" s="3003" t="s">
        <v>3089</v>
      </c>
      <c r="E108" s="3003" t="s">
        <v>3090</v>
      </c>
      <c r="F108" s="3004" t="s">
        <v>3091</v>
      </c>
      <c r="G108" s="582"/>
      <c r="H108" s="582"/>
      <c r="I108" s="582"/>
      <c r="J108" s="582"/>
      <c r="K108" s="583"/>
      <c r="L108" s="584"/>
      <c r="M108" s="585"/>
      <c r="N108" s="1152"/>
      <c r="O108" s="1152"/>
      <c r="P108" s="2682"/>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2"/>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2"/>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2"/>
      <c r="Q112" s="503"/>
    </row>
    <row r="113" spans="1:17" s="470" customFormat="1" ht="15" thickTop="1">
      <c r="A113" s="592"/>
      <c r="B113" s="537" t="s">
        <v>2702</v>
      </c>
      <c r="C113" s="3005" t="s">
        <v>3092</v>
      </c>
      <c r="D113" s="3005" t="s">
        <v>3093</v>
      </c>
      <c r="E113" s="3005" t="s">
        <v>3094</v>
      </c>
      <c r="F113" s="553"/>
      <c r="G113" s="553"/>
      <c r="H113" s="582"/>
      <c r="I113" s="582"/>
      <c r="J113" s="582"/>
      <c r="K113" s="583"/>
      <c r="L113" s="584"/>
      <c r="M113" s="585"/>
      <c r="N113" s="1154"/>
      <c r="O113" s="1154"/>
      <c r="P113" s="2683"/>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3"/>
      <c r="Q114" s="558"/>
    </row>
    <row r="115" spans="1:17" ht="15" thickTop="1">
      <c r="A115" s="598"/>
      <c r="B115" s="537" t="s">
        <v>2619</v>
      </c>
      <c r="C115" s="3006" t="s">
        <v>3095</v>
      </c>
      <c r="D115" s="3006" t="s">
        <v>3096</v>
      </c>
      <c r="E115" s="582"/>
      <c r="F115" s="582"/>
      <c r="G115" s="582"/>
      <c r="H115" s="582"/>
      <c r="I115" s="582"/>
      <c r="J115" s="582"/>
      <c r="K115" s="583"/>
      <c r="L115" s="584"/>
      <c r="M115" s="585"/>
      <c r="N115" s="1152"/>
      <c r="O115" s="1152"/>
      <c r="P115" s="2682"/>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2"/>
      <c r="Q116" s="503"/>
    </row>
    <row r="117" spans="1:17" ht="15" thickTop="1">
      <c r="A117" s="598"/>
      <c r="B117" s="537" t="s">
        <v>2620</v>
      </c>
      <c r="C117" s="3007" t="s">
        <v>3097</v>
      </c>
      <c r="D117" s="3007" t="s">
        <v>3098</v>
      </c>
      <c r="E117" s="3007" t="s">
        <v>3099</v>
      </c>
      <c r="F117" s="3007" t="s">
        <v>3100</v>
      </c>
      <c r="G117" s="3007" t="s">
        <v>3101</v>
      </c>
      <c r="H117" s="582"/>
      <c r="I117" s="582"/>
      <c r="J117" s="582"/>
      <c r="K117" s="583"/>
      <c r="L117" s="584"/>
      <c r="M117" s="585"/>
      <c r="N117" s="1152"/>
      <c r="O117" s="1152"/>
      <c r="P117" s="2682"/>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2"/>
      <c r="Q118" s="503"/>
    </row>
    <row r="119" spans="1:17" ht="15" thickTop="1">
      <c r="A119" s="598"/>
      <c r="B119" s="635" t="s">
        <v>2703</v>
      </c>
      <c r="C119" s="3008" t="s">
        <v>3102</v>
      </c>
      <c r="D119" s="3008" t="s">
        <v>3103</v>
      </c>
      <c r="E119" s="582"/>
      <c r="F119" s="582"/>
      <c r="G119" s="582"/>
      <c r="H119" s="582"/>
      <c r="I119" s="582"/>
      <c r="J119" s="582"/>
      <c r="K119" s="582"/>
      <c r="L119" s="2687"/>
      <c r="M119" s="2688"/>
      <c r="N119" s="1153"/>
      <c r="O119" s="1153"/>
      <c r="P119" s="2689"/>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2"/>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3"/>
      <c r="Q122" s="558"/>
    </row>
    <row r="123" spans="1:17" ht="15" thickTop="1">
      <c r="A123" s="598"/>
      <c r="B123" s="537" t="s">
        <v>2622</v>
      </c>
      <c r="C123" s="3009" t="s">
        <v>3088</v>
      </c>
      <c r="D123" s="3009" t="s">
        <v>3089</v>
      </c>
      <c r="E123" s="3009" t="s">
        <v>3090</v>
      </c>
      <c r="F123" s="3010" t="s">
        <v>3091</v>
      </c>
      <c r="G123" s="582"/>
      <c r="H123" s="582"/>
      <c r="I123" s="582"/>
      <c r="J123" s="582"/>
      <c r="K123" s="583"/>
      <c r="L123" s="584"/>
      <c r="M123" s="585"/>
      <c r="N123" s="1152"/>
      <c r="O123" s="1152"/>
      <c r="P123" s="2682"/>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2"/>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3"/>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2"/>
      <c r="Q126" s="503"/>
    </row>
    <row r="127" spans="1:17" s="470" customFormat="1" ht="15" thickTop="1">
      <c r="A127" s="592"/>
      <c r="B127" s="537" t="str">
        <f>B45</f>
        <v>智能环保系统</v>
      </c>
      <c r="C127" s="3012" t="s">
        <v>3104</v>
      </c>
      <c r="D127" s="3012" t="s">
        <v>3105</v>
      </c>
      <c r="E127" s="553"/>
      <c r="F127" s="553"/>
      <c r="G127" s="553"/>
      <c r="H127" s="554"/>
      <c r="I127" s="554"/>
      <c r="J127" s="554"/>
      <c r="K127" s="554"/>
      <c r="L127" s="555"/>
      <c r="M127" s="556"/>
      <c r="N127" s="1154"/>
      <c r="O127" s="1154"/>
      <c r="P127" s="2683"/>
      <c r="Q127" s="558"/>
    </row>
    <row r="128" spans="1:17" s="470" customFormat="1" ht="15.75" thickBot="1">
      <c r="A128" s="552"/>
      <c r="B128" s="542"/>
      <c r="C128" s="3013">
        <v>100</v>
      </c>
      <c r="D128" s="3011">
        <v>97</v>
      </c>
      <c r="E128" s="535"/>
      <c r="F128" s="535"/>
      <c r="G128" s="559"/>
      <c r="H128" s="561"/>
      <c r="I128" s="561"/>
      <c r="J128" s="561"/>
      <c r="K128" s="561"/>
      <c r="L128" s="561"/>
      <c r="M128" s="562"/>
      <c r="N128" s="1154"/>
      <c r="O128" s="1154"/>
      <c r="P128" s="2683"/>
      <c r="Q128" s="558"/>
    </row>
    <row r="129" spans="1:17" ht="15" thickTop="1">
      <c r="A129" s="598"/>
      <c r="B129" s="537" t="str">
        <f>B46</f>
        <v>建筑品质</v>
      </c>
      <c r="C129" s="3015" t="s">
        <v>3119</v>
      </c>
      <c r="D129" s="3015" t="s">
        <v>3120</v>
      </c>
      <c r="E129" s="553"/>
      <c r="F129" s="553"/>
      <c r="G129" s="582"/>
      <c r="H129" s="582"/>
      <c r="I129" s="582"/>
      <c r="J129" s="582"/>
      <c r="K129" s="583"/>
      <c r="L129" s="584"/>
      <c r="M129" s="585"/>
      <c r="N129" s="1152"/>
      <c r="O129" s="1152"/>
      <c r="P129" s="2682"/>
      <c r="Q129" s="503"/>
    </row>
    <row r="130" spans="1:17" ht="15.75" thickBot="1">
      <c r="A130" s="533"/>
      <c r="B130" s="542"/>
      <c r="C130" s="559">
        <v>100</v>
      </c>
      <c r="D130" s="559">
        <v>98</v>
      </c>
      <c r="E130" s="559"/>
      <c r="F130" s="559"/>
      <c r="G130" s="535"/>
      <c r="H130" s="535"/>
      <c r="I130" s="535"/>
      <c r="J130" s="535"/>
      <c r="K130" s="535"/>
      <c r="L130" s="535"/>
      <c r="M130" s="536"/>
      <c r="N130" s="1153"/>
      <c r="O130" s="1153"/>
      <c r="P130" s="2682"/>
      <c r="Q130" s="503"/>
    </row>
    <row r="131" spans="1:17" ht="15" thickTop="1">
      <c r="A131" s="598"/>
      <c r="B131" s="545">
        <f>B47</f>
        <v>111</v>
      </c>
      <c r="C131" s="522"/>
      <c r="D131" s="522"/>
      <c r="E131" s="522"/>
      <c r="F131" s="522"/>
      <c r="G131" s="586"/>
      <c r="H131" s="586"/>
      <c r="I131" s="586"/>
      <c r="J131" s="586"/>
      <c r="K131" s="522"/>
      <c r="L131" s="523"/>
      <c r="M131" s="589"/>
      <c r="N131" s="1152"/>
      <c r="O131" s="1152"/>
      <c r="P131" s="2682"/>
      <c r="Q131" s="503"/>
    </row>
    <row r="132" spans="1:17" ht="15.75" thickBot="1">
      <c r="A132" s="2634"/>
      <c r="B132" s="568"/>
      <c r="C132" s="569"/>
      <c r="D132" s="569"/>
      <c r="E132" s="569"/>
      <c r="F132" s="569"/>
      <c r="G132" s="590"/>
      <c r="H132" s="590"/>
      <c r="I132" s="590"/>
      <c r="J132" s="590"/>
      <c r="K132" s="590"/>
      <c r="L132" s="590"/>
      <c r="M132" s="591"/>
      <c r="N132" s="1153"/>
      <c r="O132" s="1153"/>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98" priority="16" stopIfTrue="1" operator="containsText" text="超过">
      <formula>NOT(ISERROR(SEARCH("超过",F53)))</formula>
    </cfRule>
  </conditionalFormatting>
  <conditionalFormatting sqref="H55">
    <cfRule type="containsText" dxfId="197" priority="15" stopIfTrue="1" operator="containsText" text="超过">
      <formula>NOT(ISERROR(SEARCH("超过",H55)))</formula>
    </cfRule>
  </conditionalFormatting>
  <conditionalFormatting sqref="F55">
    <cfRule type="containsText" dxfId="196" priority="14" stopIfTrue="1" operator="containsText" text="超过">
      <formula>NOT(ISERROR(SEARCH("超过",F55)))</formula>
    </cfRule>
  </conditionalFormatting>
  <conditionalFormatting sqref="F54 H54">
    <cfRule type="containsText" dxfId="195" priority="13" stopIfTrue="1" operator="containsText" text="超过">
      <formula>NOT(ISERROR(SEARCH("超过",F54)))</formula>
    </cfRule>
  </conditionalFormatting>
  <conditionalFormatting sqref="E53">
    <cfRule type="expression" dxfId="194" priority="12" stopIfTrue="1">
      <formula>$F$53="超过30%"</formula>
    </cfRule>
  </conditionalFormatting>
  <conditionalFormatting sqref="E54">
    <cfRule type="expression" dxfId="193" priority="11" stopIfTrue="1">
      <formula>$F$54="超过20%"</formula>
    </cfRule>
  </conditionalFormatting>
  <conditionalFormatting sqref="E55">
    <cfRule type="expression" dxfId="192" priority="10" stopIfTrue="1">
      <formula>$F$55="超过30%"</formula>
    </cfRule>
  </conditionalFormatting>
  <conditionalFormatting sqref="G55">
    <cfRule type="expression" dxfId="191" priority="9" stopIfTrue="1">
      <formula>$H$55="超过30%"</formula>
    </cfRule>
  </conditionalFormatting>
  <conditionalFormatting sqref="G53">
    <cfRule type="expression" dxfId="190" priority="8" stopIfTrue="1">
      <formula>$H$53="超过30%"</formula>
    </cfRule>
  </conditionalFormatting>
  <conditionalFormatting sqref="G54">
    <cfRule type="expression" dxfId="189" priority="7" stopIfTrue="1">
      <formula>$H$54="超过20%"</formula>
    </cfRule>
  </conditionalFormatting>
  <conditionalFormatting sqref="J53">
    <cfRule type="containsText" dxfId="188" priority="6" stopIfTrue="1" operator="containsText" text="超过">
      <formula>NOT(ISERROR(SEARCH("超过",J53)))</formula>
    </cfRule>
  </conditionalFormatting>
  <conditionalFormatting sqref="J55">
    <cfRule type="containsText" dxfId="187" priority="5" stopIfTrue="1" operator="containsText" text="超过">
      <formula>NOT(ISERROR(SEARCH("超过",J55)))</formula>
    </cfRule>
  </conditionalFormatting>
  <conditionalFormatting sqref="J54">
    <cfRule type="containsText" dxfId="186" priority="4" stopIfTrue="1" operator="containsText" text="超过">
      <formula>NOT(ISERROR(SEARCH("超过",J54)))</formula>
    </cfRule>
  </conditionalFormatting>
  <conditionalFormatting sqref="I53">
    <cfRule type="expression" dxfId="185" priority="3" stopIfTrue="1">
      <formula>$J$53="超过30%"</formula>
    </cfRule>
  </conditionalFormatting>
  <conditionalFormatting sqref="I54">
    <cfRule type="expression" dxfId="184" priority="2" stopIfTrue="1">
      <formula>$J$53+$J$54="超过20%"</formula>
    </cfRule>
  </conditionalFormatting>
  <conditionalFormatting sqref="I55">
    <cfRule type="expression" dxfId="18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0" activePane="bottomLeft" state="frozen"/>
      <selection activeCell="C50" sqref="C50"/>
      <selection pane="bottomLeft" activeCell="S24" sqref="S24:S8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7.12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2"/>
    <col min="46" max="16384" width="9" style="138"/>
  </cols>
  <sheetData>
    <row r="1" spans="1:45" ht="14.25" customHeight="1" thickBot="1">
      <c r="A1" s="154"/>
      <c r="B1" s="1204" t="s">
        <v>3006</v>
      </c>
      <c r="C1" s="3486" t="s">
        <v>3007</v>
      </c>
      <c r="D1" s="3487"/>
      <c r="E1" s="3487"/>
      <c r="F1" s="3487"/>
      <c r="G1" s="3487"/>
      <c r="H1" s="3487"/>
      <c r="I1" s="3487"/>
      <c r="J1" s="3487"/>
      <c r="K1" s="3487"/>
      <c r="L1" s="3487"/>
      <c r="M1" s="3487"/>
      <c r="N1" s="3487"/>
      <c r="O1" s="3487"/>
      <c r="P1" s="3487"/>
      <c r="Q1" s="3487"/>
      <c r="R1" s="3487"/>
      <c r="S1" s="3488"/>
      <c r="T1" s="1204" t="s">
        <v>3008</v>
      </c>
    </row>
    <row r="2" spans="1:45" s="706" customFormat="1" ht="38.25">
      <c r="A2" s="1205"/>
      <c r="B2" s="702" t="s">
        <v>3009</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1703"/>
      <c r="J3" s="1703"/>
      <c r="K3" s="1703"/>
      <c r="L3" s="1704"/>
      <c r="M3" s="1705"/>
      <c r="N3" s="1705"/>
      <c r="O3" s="1703"/>
      <c r="P3" s="1703"/>
      <c r="Q3" s="1703"/>
      <c r="R3" s="1703"/>
      <c r="S3" s="1706"/>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98</v>
      </c>
      <c r="E4" s="559">
        <v>96</v>
      </c>
      <c r="F4" s="535">
        <v>94</v>
      </c>
      <c r="G4" s="559">
        <v>92</v>
      </c>
      <c r="H4" s="535">
        <v>90</v>
      </c>
      <c r="I4" s="1707"/>
      <c r="J4" s="1707"/>
      <c r="K4" s="1707"/>
      <c r="L4" s="1707"/>
      <c r="M4" s="1708"/>
      <c r="N4" s="1708"/>
      <c r="O4" s="1707"/>
      <c r="P4" s="1707"/>
      <c r="Q4" s="1707"/>
      <c r="R4" s="1707"/>
      <c r="S4" s="1709"/>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768" t="s">
        <v>3010</v>
      </c>
      <c r="C5" s="1216"/>
      <c r="D5" s="1217"/>
      <c r="E5" s="1217"/>
      <c r="F5" s="1710"/>
      <c r="G5" s="1710"/>
      <c r="H5" s="1710"/>
      <c r="I5" s="1710"/>
      <c r="J5" s="1710"/>
      <c r="K5" s="1710"/>
      <c r="L5" s="1711"/>
      <c r="M5" s="1712"/>
      <c r="N5" s="1712"/>
      <c r="O5" s="1710"/>
      <c r="P5" s="1710"/>
      <c r="Q5" s="1710"/>
      <c r="R5" s="1710"/>
      <c r="S5" s="1713"/>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769" t="s">
        <v>3011</v>
      </c>
      <c r="C7" s="1121"/>
      <c r="D7" s="1115"/>
      <c r="E7" s="1115"/>
      <c r="F7" s="1715"/>
      <c r="G7" s="1715"/>
      <c r="H7" s="1715"/>
      <c r="I7" s="1715"/>
      <c r="J7" s="1715"/>
      <c r="K7" s="1715"/>
      <c r="L7" s="1715"/>
      <c r="M7" s="1716"/>
      <c r="N7" s="1717"/>
      <c r="O7" s="1718"/>
      <c r="P7" s="1719"/>
      <c r="Q7" s="1720"/>
      <c r="R7" s="1721"/>
      <c r="S7" s="1722"/>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769" t="s">
        <v>3012</v>
      </c>
      <c r="C9" s="1121"/>
      <c r="D9" s="1115"/>
      <c r="E9" s="1115"/>
      <c r="F9" s="1715"/>
      <c r="G9" s="1715"/>
      <c r="H9" s="1715"/>
      <c r="I9" s="1715"/>
      <c r="J9" s="1715"/>
      <c r="K9" s="1715"/>
      <c r="L9" s="1723"/>
      <c r="M9" s="1716"/>
      <c r="N9" s="1717"/>
      <c r="O9" s="1718"/>
      <c r="P9" s="1719"/>
      <c r="Q9" s="1720"/>
      <c r="R9" s="1721"/>
      <c r="S9" s="1722"/>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4.25" customHeight="1">
      <c r="A17" s="2914" t="s">
        <v>3016</v>
      </c>
      <c r="B17" s="2915" t="s">
        <v>3017</v>
      </c>
      <c r="C17" s="3083" t="s">
        <v>3206</v>
      </c>
      <c r="D17" s="3084" t="s">
        <v>3207</v>
      </c>
      <c r="E17" s="3084" t="s">
        <v>3208</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6" customFormat="1" ht="13.5" thickBot="1">
      <c r="A18" s="1240"/>
      <c r="B18" s="1241"/>
      <c r="C18" s="1242">
        <v>100</v>
      </c>
      <c r="D18" s="1243">
        <v>95</v>
      </c>
      <c r="E18" s="1243">
        <v>80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7"/>
      <c r="B19" s="167"/>
      <c r="C19" s="167"/>
      <c r="D19" s="2916" t="s">
        <v>3018</v>
      </c>
      <c r="E19" s="1791"/>
      <c r="F19" s="1791"/>
      <c r="G19" s="1791"/>
      <c r="H19" s="1279"/>
      <c r="I19" s="167"/>
      <c r="J19" s="167"/>
      <c r="K19" s="167"/>
      <c r="L19" s="167"/>
      <c r="M19" s="167"/>
      <c r="N19" s="167"/>
      <c r="O19" s="167"/>
      <c r="P19" s="167"/>
      <c r="Q19" s="167"/>
      <c r="R19" s="785"/>
      <c r="S19" s="137"/>
    </row>
    <row r="20" spans="1:45" ht="16.5" thickBot="1">
      <c r="A20" s="712" t="s">
        <v>3019</v>
      </c>
      <c r="B20" s="337">
        <f ca="1">IF(D20="——",S22,S22-F20)</f>
        <v>70196</v>
      </c>
      <c r="C20" s="167"/>
      <c r="D20" s="2917" t="s">
        <v>3457</v>
      </c>
      <c r="E20" s="1792"/>
      <c r="F20" s="1204">
        <f ca="1">SUMIF(INDIRECT("'"&amp;H20&amp;"'"&amp;"!A:A"),"承租人权益价值",INDIRECT("'"&amp;H20&amp;"'"&amp;"!c:c"))</f>
        <v>14</v>
      </c>
      <c r="G20" s="1204" t="s">
        <v>3020</v>
      </c>
      <c r="H20" s="2918" t="s">
        <v>3418</v>
      </c>
      <c r="I20" s="167"/>
      <c r="J20" s="167"/>
      <c r="K20" s="167"/>
      <c r="L20" s="167"/>
      <c r="M20" s="167"/>
      <c r="N20" s="167"/>
      <c r="O20" s="167"/>
      <c r="P20" s="167"/>
      <c r="Q20" s="167"/>
      <c r="R20" s="785"/>
      <c r="S20" s="137"/>
    </row>
    <row r="21" spans="1:45" ht="15.75">
      <c r="A21" s="712" t="s">
        <v>3021</v>
      </c>
      <c r="B21" s="337">
        <f>R22</f>
        <v>41471</v>
      </c>
      <c r="C21" s="167"/>
      <c r="D21" s="167"/>
      <c r="E21" s="167"/>
      <c r="F21" s="167"/>
      <c r="G21" s="167"/>
      <c r="H21" s="167"/>
      <c r="I21" s="167"/>
      <c r="J21" s="167"/>
      <c r="K21" s="167"/>
      <c r="L21" s="167"/>
      <c r="M21" s="167"/>
      <c r="N21" s="167"/>
      <c r="O21" s="167"/>
      <c r="P21" s="167"/>
      <c r="Q21" s="167"/>
      <c r="R21" s="785"/>
      <c r="S21" s="137"/>
    </row>
    <row r="22" spans="1:45">
      <c r="A22" s="360" t="s">
        <v>3022</v>
      </c>
      <c r="B22" s="23">
        <f>SUM(B24:B10000)</f>
        <v>16929.979999999996</v>
      </c>
      <c r="C22" s="3428" t="s">
        <v>33</v>
      </c>
      <c r="D22" s="3429"/>
      <c r="E22" s="3429"/>
      <c r="F22" s="3429"/>
      <c r="G22" s="3429"/>
      <c r="H22" s="3429"/>
      <c r="I22" s="3429"/>
      <c r="J22" s="3429"/>
      <c r="K22" s="3429"/>
      <c r="L22" s="3429"/>
      <c r="M22" s="3429"/>
      <c r="N22" s="3429"/>
      <c r="O22" s="3429"/>
      <c r="P22" s="3429"/>
      <c r="Q22" s="3485"/>
      <c r="R22" s="713">
        <f>ROUND(S22*10000/B22,0)</f>
        <v>41471</v>
      </c>
      <c r="S22" s="23">
        <f>SUM(S24:S10000)</f>
        <v>70210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81">
        <v>1304</v>
      </c>
      <c r="B24" s="715">
        <v>169.77</v>
      </c>
      <c r="C24" s="716">
        <v>1</v>
      </c>
      <c r="D24" s="717"/>
      <c r="E24" s="716">
        <v>1</v>
      </c>
      <c r="F24" s="717"/>
      <c r="G24" s="716">
        <v>1</v>
      </c>
      <c r="H24" s="717"/>
      <c r="I24" s="716">
        <v>1</v>
      </c>
      <c r="J24" s="717"/>
      <c r="K24" s="716">
        <v>1</v>
      </c>
      <c r="L24" s="717"/>
      <c r="M24" s="716">
        <v>1</v>
      </c>
      <c r="N24" s="717"/>
      <c r="O24" s="716">
        <v>1</v>
      </c>
      <c r="P24" s="717" t="s">
        <v>3081</v>
      </c>
      <c r="Q24" s="716">
        <v>1</v>
      </c>
      <c r="R24" s="718">
        <f>'比较法-办公'!C50</f>
        <v>41561</v>
      </c>
      <c r="S24" s="716">
        <f t="shared" ref="S24:S54" si="11">ROUND(R24*B24/10000,0)</f>
        <v>706</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82">
        <v>1305</v>
      </c>
      <c r="B25" s="58">
        <v>244.49</v>
      </c>
      <c r="C25" s="23">
        <f>IF(B25="",1,(LOOKUP(B25,$3:$3,$4:$4)-LOOKUP($B$24,$3:$3,$4:$4)+100)/100)</f>
        <v>0.98</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t="s">
        <v>3081</v>
      </c>
      <c r="Q25" s="23">
        <f>(SUMIF($17:$17,P25,$18:$18)-SUMIF($17:$17,$P$24,$18:$18)+100)/100</f>
        <v>1</v>
      </c>
      <c r="R25" s="713">
        <f>IF(B25="",0,ROUND($R$24*C25*E25*G25*I25*K25*M25*O25*Q25,0))</f>
        <v>40730</v>
      </c>
      <c r="S25" s="360">
        <f t="shared" si="11"/>
        <v>996</v>
      </c>
    </row>
    <row r="26" spans="1:45">
      <c r="A26" s="3082">
        <v>1306</v>
      </c>
      <c r="B26" s="58">
        <v>321.55</v>
      </c>
      <c r="C26" s="23">
        <f t="shared" ref="C26:C89" si="12">IF(B26="",1,(LOOKUP(B26,$3:$3,$4:$4)-LOOKUP($B$24,$3:$3,$4:$4)+100)/100)</f>
        <v>0.98</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t="s">
        <v>3081</v>
      </c>
      <c r="Q26" s="23">
        <f t="shared" ref="Q26:Q89" si="19">(SUMIF($17:$17,P26,$18:$18)-SUMIF($17:$17,$P$24,$18:$18)+100)/100</f>
        <v>1</v>
      </c>
      <c r="R26" s="713">
        <f t="shared" ref="R26:R89" si="20">IF(B26="",0,ROUND($R$24*C26*E26*G26*I26*K26*M26*O26*Q26,0))</f>
        <v>40730</v>
      </c>
      <c r="S26" s="360">
        <f t="shared" si="11"/>
        <v>1310</v>
      </c>
    </row>
    <row r="27" spans="1:45">
      <c r="A27" s="3082">
        <v>1307</v>
      </c>
      <c r="B27" s="58">
        <v>231.56</v>
      </c>
      <c r="C27" s="23">
        <f t="shared" si="12"/>
        <v>0.98</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t="s">
        <v>3081</v>
      </c>
      <c r="Q27" s="23">
        <f t="shared" si="19"/>
        <v>1</v>
      </c>
      <c r="R27" s="713">
        <f t="shared" si="20"/>
        <v>40730</v>
      </c>
      <c r="S27" s="360">
        <f t="shared" si="11"/>
        <v>943</v>
      </c>
    </row>
    <row r="28" spans="1:45">
      <c r="A28" s="3082">
        <v>1308</v>
      </c>
      <c r="B28" s="58">
        <v>159.5</v>
      </c>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t="s">
        <v>3081</v>
      </c>
      <c r="Q28" s="23">
        <f t="shared" si="19"/>
        <v>1</v>
      </c>
      <c r="R28" s="713">
        <f t="shared" si="20"/>
        <v>41561</v>
      </c>
      <c r="S28" s="360">
        <f t="shared" si="11"/>
        <v>663</v>
      </c>
    </row>
    <row r="29" spans="1:45">
      <c r="A29" s="3082">
        <v>1401</v>
      </c>
      <c r="B29" s="58">
        <v>392.65</v>
      </c>
      <c r="C29" s="23">
        <f t="shared" si="12"/>
        <v>0.98</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t="s">
        <v>3081</v>
      </c>
      <c r="Q29" s="23">
        <f t="shared" si="19"/>
        <v>1</v>
      </c>
      <c r="R29" s="713">
        <f t="shared" si="20"/>
        <v>40730</v>
      </c>
      <c r="S29" s="360">
        <f t="shared" si="11"/>
        <v>1599</v>
      </c>
    </row>
    <row r="30" spans="1:45">
      <c r="A30" s="3082">
        <v>1402</v>
      </c>
      <c r="B30" s="58">
        <v>275.75</v>
      </c>
      <c r="C30" s="23">
        <f t="shared" si="12"/>
        <v>0.98</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t="s">
        <v>3081</v>
      </c>
      <c r="Q30" s="23">
        <f t="shared" si="19"/>
        <v>1</v>
      </c>
      <c r="R30" s="713">
        <f t="shared" si="20"/>
        <v>40730</v>
      </c>
      <c r="S30" s="360">
        <f t="shared" si="11"/>
        <v>1123</v>
      </c>
    </row>
    <row r="31" spans="1:45">
      <c r="A31" s="3082">
        <v>1404</v>
      </c>
      <c r="B31" s="58">
        <v>169.77</v>
      </c>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t="s">
        <v>3081</v>
      </c>
      <c r="Q31" s="23">
        <f t="shared" si="19"/>
        <v>1</v>
      </c>
      <c r="R31" s="713">
        <f t="shared" si="20"/>
        <v>41561</v>
      </c>
      <c r="S31" s="360">
        <f t="shared" si="11"/>
        <v>706</v>
      </c>
    </row>
    <row r="32" spans="1:45">
      <c r="A32" s="3082">
        <v>1405</v>
      </c>
      <c r="B32" s="58">
        <v>244.49</v>
      </c>
      <c r="C32" s="23">
        <f t="shared" si="12"/>
        <v>0.98</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t="s">
        <v>3081</v>
      </c>
      <c r="Q32" s="23">
        <f t="shared" si="19"/>
        <v>1</v>
      </c>
      <c r="R32" s="713">
        <f t="shared" si="20"/>
        <v>40730</v>
      </c>
      <c r="S32" s="360">
        <f t="shared" si="11"/>
        <v>996</v>
      </c>
    </row>
    <row r="33" spans="1:19">
      <c r="A33" s="3082">
        <v>1406</v>
      </c>
      <c r="B33" s="58">
        <v>321.55</v>
      </c>
      <c r="C33" s="23">
        <f t="shared" si="12"/>
        <v>0.98</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t="s">
        <v>3081</v>
      </c>
      <c r="Q33" s="23">
        <f t="shared" si="19"/>
        <v>1</v>
      </c>
      <c r="R33" s="713">
        <f t="shared" si="20"/>
        <v>40730</v>
      </c>
      <c r="S33" s="360">
        <f t="shared" si="11"/>
        <v>1310</v>
      </c>
    </row>
    <row r="34" spans="1:19">
      <c r="A34" s="3082">
        <v>1501</v>
      </c>
      <c r="B34" s="58">
        <v>392.65</v>
      </c>
      <c r="C34" s="23">
        <f t="shared" si="12"/>
        <v>0.98</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t="s">
        <v>3081</v>
      </c>
      <c r="Q34" s="23">
        <f t="shared" si="19"/>
        <v>1</v>
      </c>
      <c r="R34" s="713">
        <f t="shared" si="20"/>
        <v>40730</v>
      </c>
      <c r="S34" s="360">
        <f t="shared" si="11"/>
        <v>1599</v>
      </c>
    </row>
    <row r="35" spans="1:19">
      <c r="A35" s="3082">
        <v>1502</v>
      </c>
      <c r="B35" s="58">
        <v>275.75</v>
      </c>
      <c r="C35" s="23">
        <f t="shared" si="12"/>
        <v>0.98</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t="s">
        <v>3081</v>
      </c>
      <c r="Q35" s="23">
        <f t="shared" si="19"/>
        <v>1</v>
      </c>
      <c r="R35" s="713">
        <f t="shared" si="20"/>
        <v>40730</v>
      </c>
      <c r="S35" s="360">
        <f t="shared" si="11"/>
        <v>1123</v>
      </c>
    </row>
    <row r="36" spans="1:19">
      <c r="A36" s="3082">
        <v>1504</v>
      </c>
      <c r="B36" s="58">
        <v>169.77</v>
      </c>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t="s">
        <v>3081</v>
      </c>
      <c r="Q36" s="23">
        <f t="shared" si="19"/>
        <v>1</v>
      </c>
      <c r="R36" s="713">
        <f t="shared" si="20"/>
        <v>41561</v>
      </c>
      <c r="S36" s="360">
        <f t="shared" si="11"/>
        <v>706</v>
      </c>
    </row>
    <row r="37" spans="1:19">
      <c r="A37" s="3082">
        <v>1505</v>
      </c>
      <c r="B37" s="58">
        <v>244.49</v>
      </c>
      <c r="C37" s="23">
        <f t="shared" si="12"/>
        <v>0.98</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t="s">
        <v>3081</v>
      </c>
      <c r="Q37" s="23">
        <f t="shared" si="19"/>
        <v>1</v>
      </c>
      <c r="R37" s="713">
        <f t="shared" si="20"/>
        <v>40730</v>
      </c>
      <c r="S37" s="360">
        <f t="shared" si="11"/>
        <v>996</v>
      </c>
    </row>
    <row r="38" spans="1:19">
      <c r="A38" s="3082">
        <v>1506</v>
      </c>
      <c r="B38" s="58">
        <v>321.55</v>
      </c>
      <c r="C38" s="23">
        <f t="shared" si="12"/>
        <v>0.98</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t="s">
        <v>3081</v>
      </c>
      <c r="Q38" s="23">
        <f t="shared" si="19"/>
        <v>1</v>
      </c>
      <c r="R38" s="713">
        <f t="shared" si="20"/>
        <v>40730</v>
      </c>
      <c r="S38" s="360">
        <f t="shared" si="11"/>
        <v>1310</v>
      </c>
    </row>
    <row r="39" spans="1:19">
      <c r="A39" s="3082">
        <v>1508</v>
      </c>
      <c r="B39" s="58">
        <v>159.5</v>
      </c>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t="s">
        <v>3081</v>
      </c>
      <c r="Q39" s="23">
        <f t="shared" si="19"/>
        <v>1</v>
      </c>
      <c r="R39" s="713">
        <f t="shared" si="20"/>
        <v>41561</v>
      </c>
      <c r="S39" s="360">
        <f t="shared" si="11"/>
        <v>663</v>
      </c>
    </row>
    <row r="40" spans="1:19">
      <c r="A40" s="3082">
        <v>1601</v>
      </c>
      <c r="B40" s="58">
        <v>392.65</v>
      </c>
      <c r="C40" s="23">
        <f t="shared" si="12"/>
        <v>0.98</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t="s">
        <v>3081</v>
      </c>
      <c r="Q40" s="23">
        <f t="shared" si="19"/>
        <v>1</v>
      </c>
      <c r="R40" s="713">
        <f t="shared" si="20"/>
        <v>40730</v>
      </c>
      <c r="S40" s="360">
        <f t="shared" si="11"/>
        <v>1599</v>
      </c>
    </row>
    <row r="41" spans="1:19">
      <c r="A41" s="3082">
        <v>1602</v>
      </c>
      <c r="B41" s="58">
        <v>275.75</v>
      </c>
      <c r="C41" s="23">
        <f t="shared" si="12"/>
        <v>0.98</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t="s">
        <v>3081</v>
      </c>
      <c r="Q41" s="23">
        <f t="shared" si="19"/>
        <v>1</v>
      </c>
      <c r="R41" s="713">
        <f t="shared" si="20"/>
        <v>40730</v>
      </c>
      <c r="S41" s="360">
        <f t="shared" si="11"/>
        <v>1123</v>
      </c>
    </row>
    <row r="42" spans="1:19">
      <c r="A42" s="3082">
        <v>1603</v>
      </c>
      <c r="B42" s="58">
        <v>212.19</v>
      </c>
      <c r="C42" s="23">
        <f t="shared" si="12"/>
        <v>0.98</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t="s">
        <v>3081</v>
      </c>
      <c r="Q42" s="23">
        <f t="shared" si="19"/>
        <v>1</v>
      </c>
      <c r="R42" s="713">
        <f t="shared" si="20"/>
        <v>40730</v>
      </c>
      <c r="S42" s="360">
        <f t="shared" si="11"/>
        <v>864</v>
      </c>
    </row>
    <row r="43" spans="1:19">
      <c r="A43" s="3082">
        <v>1604</v>
      </c>
      <c r="B43" s="58">
        <v>169.77</v>
      </c>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t="s">
        <v>3081</v>
      </c>
      <c r="Q43" s="23">
        <f t="shared" si="19"/>
        <v>1</v>
      </c>
      <c r="R43" s="713">
        <f t="shared" si="20"/>
        <v>41561</v>
      </c>
      <c r="S43" s="360">
        <f t="shared" si="11"/>
        <v>706</v>
      </c>
    </row>
    <row r="44" spans="1:19">
      <c r="A44" s="3082">
        <v>1605</v>
      </c>
      <c r="B44" s="58">
        <v>244.49</v>
      </c>
      <c r="C44" s="23">
        <f t="shared" si="12"/>
        <v>0.98</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t="s">
        <v>3081</v>
      </c>
      <c r="Q44" s="23">
        <f t="shared" si="19"/>
        <v>1</v>
      </c>
      <c r="R44" s="713">
        <f t="shared" si="20"/>
        <v>40730</v>
      </c>
      <c r="S44" s="360">
        <f t="shared" si="11"/>
        <v>996</v>
      </c>
    </row>
    <row r="45" spans="1:19">
      <c r="A45" s="3082">
        <v>1606</v>
      </c>
      <c r="B45" s="58">
        <v>321.55</v>
      </c>
      <c r="C45" s="23">
        <f t="shared" si="12"/>
        <v>0.98</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t="s">
        <v>3081</v>
      </c>
      <c r="Q45" s="23">
        <f t="shared" si="19"/>
        <v>1</v>
      </c>
      <c r="R45" s="713">
        <f t="shared" si="20"/>
        <v>40730</v>
      </c>
      <c r="S45" s="360">
        <f t="shared" si="11"/>
        <v>1310</v>
      </c>
    </row>
    <row r="46" spans="1:19">
      <c r="A46" s="3082">
        <v>1607</v>
      </c>
      <c r="B46" s="58">
        <v>231.56</v>
      </c>
      <c r="C46" s="23">
        <f t="shared" si="12"/>
        <v>0.98</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t="s">
        <v>3081</v>
      </c>
      <c r="Q46" s="23">
        <f t="shared" si="19"/>
        <v>1</v>
      </c>
      <c r="R46" s="713">
        <f t="shared" si="20"/>
        <v>40730</v>
      </c>
      <c r="S46" s="360">
        <f t="shared" si="11"/>
        <v>943</v>
      </c>
    </row>
    <row r="47" spans="1:19">
      <c r="A47" s="3082">
        <v>1608</v>
      </c>
      <c r="B47" s="58">
        <v>159.5</v>
      </c>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t="s">
        <v>3081</v>
      </c>
      <c r="Q47" s="23">
        <f t="shared" si="19"/>
        <v>1</v>
      </c>
      <c r="R47" s="713">
        <f t="shared" si="20"/>
        <v>41561</v>
      </c>
      <c r="S47" s="360">
        <f t="shared" si="11"/>
        <v>663</v>
      </c>
    </row>
    <row r="48" spans="1:19">
      <c r="A48" s="3082">
        <v>1701</v>
      </c>
      <c r="B48" s="58">
        <v>393.62</v>
      </c>
      <c r="C48" s="23">
        <f t="shared" si="12"/>
        <v>0.98</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t="s">
        <v>3081</v>
      </c>
      <c r="Q48" s="23">
        <f t="shared" si="19"/>
        <v>1</v>
      </c>
      <c r="R48" s="713">
        <f t="shared" si="20"/>
        <v>40730</v>
      </c>
      <c r="S48" s="360">
        <f t="shared" si="11"/>
        <v>1603</v>
      </c>
    </row>
    <row r="49" spans="1:19">
      <c r="A49" s="3082">
        <v>1702</v>
      </c>
      <c r="B49" s="58">
        <v>276.3</v>
      </c>
      <c r="C49" s="23">
        <f t="shared" si="12"/>
        <v>0.98</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t="s">
        <v>3081</v>
      </c>
      <c r="Q49" s="23">
        <f t="shared" si="19"/>
        <v>1</v>
      </c>
      <c r="R49" s="713">
        <f t="shared" si="20"/>
        <v>40730</v>
      </c>
      <c r="S49" s="360">
        <f t="shared" si="11"/>
        <v>1125</v>
      </c>
    </row>
    <row r="50" spans="1:19">
      <c r="A50" s="3082">
        <v>1703</v>
      </c>
      <c r="B50" s="58">
        <v>213.49</v>
      </c>
      <c r="C50" s="23">
        <f t="shared" si="12"/>
        <v>0.98</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t="s">
        <v>3081</v>
      </c>
      <c r="Q50" s="23">
        <f t="shared" si="19"/>
        <v>1</v>
      </c>
      <c r="R50" s="713">
        <f t="shared" si="20"/>
        <v>40730</v>
      </c>
      <c r="S50" s="360">
        <f t="shared" si="11"/>
        <v>870</v>
      </c>
    </row>
    <row r="51" spans="1:19">
      <c r="A51" s="3082">
        <v>1704</v>
      </c>
      <c r="B51" s="58">
        <v>170.98</v>
      </c>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t="s">
        <v>3081</v>
      </c>
      <c r="Q51" s="23">
        <f t="shared" si="19"/>
        <v>1</v>
      </c>
      <c r="R51" s="713">
        <f t="shared" si="20"/>
        <v>41561</v>
      </c>
      <c r="S51" s="360">
        <f t="shared" si="11"/>
        <v>711</v>
      </c>
    </row>
    <row r="52" spans="1:19">
      <c r="A52" s="3082">
        <v>1705</v>
      </c>
      <c r="B52" s="58">
        <v>245.47</v>
      </c>
      <c r="C52" s="23">
        <f t="shared" si="12"/>
        <v>0.98</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t="s">
        <v>3081</v>
      </c>
      <c r="Q52" s="23">
        <f t="shared" si="19"/>
        <v>1</v>
      </c>
      <c r="R52" s="713">
        <f t="shared" si="20"/>
        <v>40730</v>
      </c>
      <c r="S52" s="360">
        <f t="shared" si="11"/>
        <v>1000</v>
      </c>
    </row>
    <row r="53" spans="1:19">
      <c r="A53" s="3082">
        <v>1706</v>
      </c>
      <c r="B53" s="58">
        <v>322.08999999999997</v>
      </c>
      <c r="C53" s="23">
        <f t="shared" si="12"/>
        <v>0.98</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t="s">
        <v>3081</v>
      </c>
      <c r="Q53" s="23">
        <f t="shared" si="19"/>
        <v>1</v>
      </c>
      <c r="R53" s="713">
        <f t="shared" si="20"/>
        <v>40730</v>
      </c>
      <c r="S53" s="360">
        <f t="shared" si="11"/>
        <v>1312</v>
      </c>
    </row>
    <row r="54" spans="1:19">
      <c r="A54" s="3082">
        <v>1707</v>
      </c>
      <c r="B54" s="58">
        <v>232.13</v>
      </c>
      <c r="C54" s="23">
        <f t="shared" si="12"/>
        <v>0.98</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t="s">
        <v>3081</v>
      </c>
      <c r="Q54" s="23">
        <f t="shared" si="19"/>
        <v>1</v>
      </c>
      <c r="R54" s="713">
        <f t="shared" si="20"/>
        <v>40730</v>
      </c>
      <c r="S54" s="360">
        <f t="shared" si="11"/>
        <v>945</v>
      </c>
    </row>
    <row r="55" spans="1:19">
      <c r="A55" s="3082">
        <v>1708</v>
      </c>
      <c r="B55" s="58">
        <v>160.58000000000001</v>
      </c>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t="s">
        <v>3081</v>
      </c>
      <c r="Q55" s="23">
        <f t="shared" si="19"/>
        <v>1</v>
      </c>
      <c r="R55" s="713">
        <f t="shared" si="20"/>
        <v>41561</v>
      </c>
      <c r="S55" s="360">
        <f t="shared" ref="S55:S77" si="21">ROUND(R55*B55/10000,0)</f>
        <v>667</v>
      </c>
    </row>
    <row r="56" spans="1:19">
      <c r="A56" s="3082">
        <v>1802</v>
      </c>
      <c r="B56" s="58">
        <v>276.3</v>
      </c>
      <c r="C56" s="23">
        <f t="shared" si="12"/>
        <v>0.98</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t="s">
        <v>3081</v>
      </c>
      <c r="Q56" s="23">
        <f t="shared" si="19"/>
        <v>1</v>
      </c>
      <c r="R56" s="713">
        <f t="shared" si="20"/>
        <v>40730</v>
      </c>
      <c r="S56" s="360">
        <f t="shared" si="21"/>
        <v>1125</v>
      </c>
    </row>
    <row r="57" spans="1:19">
      <c r="A57" s="3082">
        <v>1804</v>
      </c>
      <c r="B57" s="58">
        <v>170.98</v>
      </c>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t="s">
        <v>3081</v>
      </c>
      <c r="Q57" s="23">
        <f t="shared" si="19"/>
        <v>1</v>
      </c>
      <c r="R57" s="713">
        <f t="shared" si="20"/>
        <v>41561</v>
      </c>
      <c r="S57" s="360">
        <f t="shared" si="21"/>
        <v>711</v>
      </c>
    </row>
    <row r="58" spans="1:19">
      <c r="A58" s="3082">
        <v>1805</v>
      </c>
      <c r="B58" s="58">
        <v>245.47</v>
      </c>
      <c r="C58" s="23">
        <f t="shared" si="12"/>
        <v>0.98</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t="s">
        <v>3081</v>
      </c>
      <c r="Q58" s="23">
        <f t="shared" si="19"/>
        <v>1</v>
      </c>
      <c r="R58" s="713">
        <f t="shared" si="20"/>
        <v>40730</v>
      </c>
      <c r="S58" s="360">
        <f t="shared" si="21"/>
        <v>1000</v>
      </c>
    </row>
    <row r="59" spans="1:19">
      <c r="A59" s="3082">
        <v>1806</v>
      </c>
      <c r="B59" s="58">
        <v>322.08999999999997</v>
      </c>
      <c r="C59" s="23">
        <f t="shared" si="12"/>
        <v>0.98</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t="s">
        <v>3081</v>
      </c>
      <c r="Q59" s="23">
        <f t="shared" si="19"/>
        <v>1</v>
      </c>
      <c r="R59" s="713">
        <f t="shared" si="20"/>
        <v>40730</v>
      </c>
      <c r="S59" s="360">
        <f t="shared" si="21"/>
        <v>1312</v>
      </c>
    </row>
    <row r="60" spans="1:19">
      <c r="A60" s="3082">
        <v>1902</v>
      </c>
      <c r="B60" s="58">
        <v>276.3</v>
      </c>
      <c r="C60" s="23">
        <f t="shared" si="12"/>
        <v>0.98</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t="s">
        <v>3081</v>
      </c>
      <c r="Q60" s="23">
        <f t="shared" si="19"/>
        <v>1</v>
      </c>
      <c r="R60" s="713">
        <f t="shared" si="20"/>
        <v>40730</v>
      </c>
      <c r="S60" s="360">
        <f t="shared" si="21"/>
        <v>1125</v>
      </c>
    </row>
    <row r="61" spans="1:19">
      <c r="A61" s="3082">
        <v>1904</v>
      </c>
      <c r="B61" s="58">
        <v>170.98</v>
      </c>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t="s">
        <v>3081</v>
      </c>
      <c r="Q61" s="23">
        <f t="shared" si="19"/>
        <v>1</v>
      </c>
      <c r="R61" s="713">
        <f t="shared" si="20"/>
        <v>41561</v>
      </c>
      <c r="S61" s="360">
        <f t="shared" si="21"/>
        <v>711</v>
      </c>
    </row>
    <row r="62" spans="1:19">
      <c r="A62" s="3082">
        <v>1905</v>
      </c>
      <c r="B62" s="58">
        <v>245.47</v>
      </c>
      <c r="C62" s="23">
        <f t="shared" si="12"/>
        <v>0.98</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t="s">
        <v>3081</v>
      </c>
      <c r="Q62" s="23">
        <f t="shared" si="19"/>
        <v>1</v>
      </c>
      <c r="R62" s="713">
        <f t="shared" si="20"/>
        <v>40730</v>
      </c>
      <c r="S62" s="360">
        <f t="shared" si="21"/>
        <v>1000</v>
      </c>
    </row>
    <row r="63" spans="1:19">
      <c r="A63" s="3082">
        <v>1906</v>
      </c>
      <c r="B63" s="58">
        <v>322.08999999999997</v>
      </c>
      <c r="C63" s="23">
        <f t="shared" si="12"/>
        <v>0.98</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t="s">
        <v>3081</v>
      </c>
      <c r="Q63" s="23">
        <f t="shared" si="19"/>
        <v>1</v>
      </c>
      <c r="R63" s="713">
        <f t="shared" si="20"/>
        <v>40730</v>
      </c>
      <c r="S63" s="360">
        <f t="shared" si="21"/>
        <v>1312</v>
      </c>
    </row>
    <row r="64" spans="1:19">
      <c r="A64" s="3082">
        <v>2002</v>
      </c>
      <c r="B64" s="58">
        <v>276.3</v>
      </c>
      <c r="C64" s="23">
        <f t="shared" si="12"/>
        <v>0.98</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t="s">
        <v>3080</v>
      </c>
      <c r="Q64" s="23">
        <f t="shared" si="19"/>
        <v>1.05</v>
      </c>
      <c r="R64" s="713">
        <f t="shared" si="20"/>
        <v>42766</v>
      </c>
      <c r="S64" s="360">
        <f t="shared" si="21"/>
        <v>1182</v>
      </c>
    </row>
    <row r="65" spans="1:19">
      <c r="A65" s="3082">
        <v>2004</v>
      </c>
      <c r="B65" s="58">
        <v>170.98</v>
      </c>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t="s">
        <v>3080</v>
      </c>
      <c r="Q65" s="23">
        <f t="shared" si="19"/>
        <v>1.05</v>
      </c>
      <c r="R65" s="713">
        <f t="shared" si="20"/>
        <v>43639</v>
      </c>
      <c r="S65" s="360">
        <f t="shared" si="21"/>
        <v>746</v>
      </c>
    </row>
    <row r="66" spans="1:19">
      <c r="A66" s="3082">
        <v>2005</v>
      </c>
      <c r="B66" s="58">
        <v>245.47</v>
      </c>
      <c r="C66" s="23">
        <f t="shared" si="12"/>
        <v>0.98</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t="s">
        <v>3080</v>
      </c>
      <c r="Q66" s="23">
        <f t="shared" si="19"/>
        <v>1.05</v>
      </c>
      <c r="R66" s="713">
        <f t="shared" si="20"/>
        <v>42766</v>
      </c>
      <c r="S66" s="360">
        <f t="shared" si="21"/>
        <v>1050</v>
      </c>
    </row>
    <row r="67" spans="1:19">
      <c r="A67" s="3082">
        <v>2006</v>
      </c>
      <c r="B67" s="58">
        <v>322.08999999999997</v>
      </c>
      <c r="C67" s="23">
        <f t="shared" si="12"/>
        <v>0.98</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t="s">
        <v>3080</v>
      </c>
      <c r="Q67" s="23">
        <f t="shared" si="19"/>
        <v>1.05</v>
      </c>
      <c r="R67" s="713">
        <f t="shared" si="20"/>
        <v>42766</v>
      </c>
      <c r="S67" s="360">
        <f t="shared" si="21"/>
        <v>1377</v>
      </c>
    </row>
    <row r="68" spans="1:19">
      <c r="A68" s="3082">
        <v>2102</v>
      </c>
      <c r="B68" s="58">
        <v>276.3</v>
      </c>
      <c r="C68" s="23">
        <f t="shared" si="12"/>
        <v>0.98</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t="s">
        <v>3080</v>
      </c>
      <c r="Q68" s="23">
        <f t="shared" si="19"/>
        <v>1.05</v>
      </c>
      <c r="R68" s="713">
        <f t="shared" si="20"/>
        <v>42766</v>
      </c>
      <c r="S68" s="360">
        <f t="shared" si="21"/>
        <v>1182</v>
      </c>
    </row>
    <row r="69" spans="1:19">
      <c r="A69" s="3082">
        <v>2104</v>
      </c>
      <c r="B69" s="58">
        <v>170.98</v>
      </c>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t="s">
        <v>3080</v>
      </c>
      <c r="Q69" s="23">
        <f t="shared" si="19"/>
        <v>1.05</v>
      </c>
      <c r="R69" s="713">
        <f t="shared" si="20"/>
        <v>43639</v>
      </c>
      <c r="S69" s="360">
        <f t="shared" si="21"/>
        <v>746</v>
      </c>
    </row>
    <row r="70" spans="1:19">
      <c r="A70" s="3082">
        <v>2105</v>
      </c>
      <c r="B70" s="58">
        <v>245.47</v>
      </c>
      <c r="C70" s="23">
        <f t="shared" si="12"/>
        <v>0.98</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t="s">
        <v>3080</v>
      </c>
      <c r="Q70" s="23">
        <f t="shared" si="19"/>
        <v>1.05</v>
      </c>
      <c r="R70" s="713">
        <f t="shared" si="20"/>
        <v>42766</v>
      </c>
      <c r="S70" s="360">
        <f t="shared" si="21"/>
        <v>1050</v>
      </c>
    </row>
    <row r="71" spans="1:19">
      <c r="A71" s="3082">
        <v>2106</v>
      </c>
      <c r="B71" s="58">
        <v>322.08999999999997</v>
      </c>
      <c r="C71" s="23">
        <f t="shared" si="12"/>
        <v>0.98</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t="s">
        <v>3080</v>
      </c>
      <c r="Q71" s="23">
        <f t="shared" si="19"/>
        <v>1.05</v>
      </c>
      <c r="R71" s="713">
        <f t="shared" si="20"/>
        <v>42766</v>
      </c>
      <c r="S71" s="360">
        <f t="shared" si="21"/>
        <v>1377</v>
      </c>
    </row>
    <row r="72" spans="1:19">
      <c r="A72" s="3082">
        <v>2202</v>
      </c>
      <c r="B72" s="58">
        <v>276.3</v>
      </c>
      <c r="C72" s="23">
        <f t="shared" si="12"/>
        <v>0.98</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t="s">
        <v>3080</v>
      </c>
      <c r="Q72" s="23">
        <f t="shared" si="19"/>
        <v>1.05</v>
      </c>
      <c r="R72" s="713">
        <f t="shared" si="20"/>
        <v>42766</v>
      </c>
      <c r="S72" s="360">
        <f t="shared" si="21"/>
        <v>1182</v>
      </c>
    </row>
    <row r="73" spans="1:19">
      <c r="A73" s="3082">
        <v>2204</v>
      </c>
      <c r="B73" s="58">
        <v>170.98</v>
      </c>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t="s">
        <v>3080</v>
      </c>
      <c r="Q73" s="23">
        <f t="shared" si="19"/>
        <v>1.05</v>
      </c>
      <c r="R73" s="713">
        <f t="shared" si="20"/>
        <v>43639</v>
      </c>
      <c r="S73" s="360">
        <f t="shared" si="21"/>
        <v>746</v>
      </c>
    </row>
    <row r="74" spans="1:19">
      <c r="A74" s="3082">
        <v>2205</v>
      </c>
      <c r="B74" s="58">
        <v>245.47</v>
      </c>
      <c r="C74" s="23">
        <f t="shared" si="12"/>
        <v>0.98</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t="s">
        <v>3080</v>
      </c>
      <c r="Q74" s="23">
        <f t="shared" si="19"/>
        <v>1.05</v>
      </c>
      <c r="R74" s="713">
        <f t="shared" si="20"/>
        <v>42766</v>
      </c>
      <c r="S74" s="360">
        <f t="shared" si="21"/>
        <v>1050</v>
      </c>
    </row>
    <row r="75" spans="1:19">
      <c r="A75" s="3082">
        <v>2206</v>
      </c>
      <c r="B75" s="58">
        <v>322.08999999999997</v>
      </c>
      <c r="C75" s="23">
        <f t="shared" si="12"/>
        <v>0.98</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t="s">
        <v>3080</v>
      </c>
      <c r="Q75" s="23">
        <f t="shared" si="19"/>
        <v>1.05</v>
      </c>
      <c r="R75" s="713">
        <f t="shared" si="20"/>
        <v>42766</v>
      </c>
      <c r="S75" s="360">
        <f t="shared" si="21"/>
        <v>1377</v>
      </c>
    </row>
    <row r="76" spans="1:19">
      <c r="A76" s="3082">
        <v>2403</v>
      </c>
      <c r="B76" s="58">
        <v>465.51</v>
      </c>
      <c r="C76" s="23">
        <f t="shared" si="12"/>
        <v>0.96</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t="s">
        <v>3080</v>
      </c>
      <c r="Q76" s="23">
        <f t="shared" si="19"/>
        <v>1.05</v>
      </c>
      <c r="R76" s="713">
        <f t="shared" si="20"/>
        <v>41893</v>
      </c>
      <c r="S76" s="360">
        <f t="shared" si="21"/>
        <v>1950</v>
      </c>
    </row>
    <row r="77" spans="1:19">
      <c r="A77" s="3082">
        <v>2503</v>
      </c>
      <c r="B77" s="58">
        <v>465.51</v>
      </c>
      <c r="C77" s="23">
        <f t="shared" si="12"/>
        <v>0.96</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t="s">
        <v>3080</v>
      </c>
      <c r="Q77" s="23">
        <f t="shared" si="19"/>
        <v>1.05</v>
      </c>
      <c r="R77" s="713">
        <f t="shared" si="20"/>
        <v>41893</v>
      </c>
      <c r="S77" s="360">
        <f t="shared" si="21"/>
        <v>1950</v>
      </c>
    </row>
    <row r="78" spans="1:19">
      <c r="A78" s="3082">
        <v>2603</v>
      </c>
      <c r="B78" s="58">
        <v>467.2</v>
      </c>
      <c r="C78" s="23">
        <f t="shared" si="12"/>
        <v>0.96</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t="s">
        <v>3080</v>
      </c>
      <c r="Q78" s="23">
        <f t="shared" si="19"/>
        <v>1.05</v>
      </c>
      <c r="R78" s="713">
        <f t="shared" si="20"/>
        <v>41893</v>
      </c>
      <c r="S78" s="360">
        <f t="shared" ref="S78:S122" si="22">ROUND(R78*B78/10000,0)</f>
        <v>1957</v>
      </c>
    </row>
    <row r="79" spans="1:19">
      <c r="A79" s="3082">
        <v>2703</v>
      </c>
      <c r="B79" s="58">
        <v>467.2</v>
      </c>
      <c r="C79" s="23">
        <f t="shared" si="12"/>
        <v>0.96</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t="s">
        <v>3080</v>
      </c>
      <c r="Q79" s="23">
        <f t="shared" si="19"/>
        <v>1.05</v>
      </c>
      <c r="R79" s="713">
        <f t="shared" si="20"/>
        <v>41893</v>
      </c>
      <c r="S79" s="360">
        <f t="shared" si="22"/>
        <v>1957</v>
      </c>
    </row>
    <row r="80" spans="1:19">
      <c r="A80" s="3082">
        <v>2803</v>
      </c>
      <c r="B80" s="58">
        <v>467.2</v>
      </c>
      <c r="C80" s="23">
        <f t="shared" si="12"/>
        <v>0.96</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t="s">
        <v>3080</v>
      </c>
      <c r="Q80" s="23">
        <f t="shared" si="19"/>
        <v>1.05</v>
      </c>
      <c r="R80" s="713">
        <f t="shared" si="20"/>
        <v>41893</v>
      </c>
      <c r="S80" s="360">
        <f t="shared" si="22"/>
        <v>1957</v>
      </c>
    </row>
    <row r="81" spans="1:19">
      <c r="A81" s="3082">
        <v>3103</v>
      </c>
      <c r="B81" s="58">
        <v>468.75</v>
      </c>
      <c r="C81" s="23">
        <f t="shared" si="12"/>
        <v>0.96</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t="s">
        <v>3080</v>
      </c>
      <c r="Q81" s="23">
        <f t="shared" si="19"/>
        <v>1.05</v>
      </c>
      <c r="R81" s="713">
        <f t="shared" si="20"/>
        <v>41893</v>
      </c>
      <c r="S81" s="360">
        <f t="shared" si="22"/>
        <v>1964</v>
      </c>
    </row>
    <row r="82" spans="1:19">
      <c r="A82" s="3082">
        <v>3203</v>
      </c>
      <c r="B82" s="58">
        <v>468.75</v>
      </c>
      <c r="C82" s="23">
        <f t="shared" si="12"/>
        <v>0.96</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t="s">
        <v>3080</v>
      </c>
      <c r="Q82" s="23">
        <f t="shared" si="19"/>
        <v>1.05</v>
      </c>
      <c r="R82" s="713">
        <f t="shared" si="20"/>
        <v>41893</v>
      </c>
      <c r="S82" s="360">
        <f t="shared" si="22"/>
        <v>1964</v>
      </c>
    </row>
    <row r="83" spans="1:19">
      <c r="A83" s="3082">
        <v>3303</v>
      </c>
      <c r="B83" s="58">
        <v>468.75</v>
      </c>
      <c r="C83" s="23">
        <f t="shared" si="12"/>
        <v>0.96</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t="s">
        <v>3080</v>
      </c>
      <c r="Q83" s="23">
        <f t="shared" si="19"/>
        <v>1.05</v>
      </c>
      <c r="R83" s="713">
        <f t="shared" si="20"/>
        <v>41893</v>
      </c>
      <c r="S83" s="360">
        <f t="shared" si="22"/>
        <v>1964</v>
      </c>
    </row>
    <row r="84" spans="1:19">
      <c r="A84" s="158"/>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0.05</v>
      </c>
      <c r="R84" s="713">
        <f t="shared" si="20"/>
        <v>0</v>
      </c>
      <c r="S84" s="360">
        <f t="shared" si="22"/>
        <v>0</v>
      </c>
    </row>
    <row r="85" spans="1:19">
      <c r="A85" s="158"/>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0.05</v>
      </c>
      <c r="R85" s="713">
        <f t="shared" si="20"/>
        <v>0</v>
      </c>
      <c r="S85" s="360">
        <f t="shared" si="22"/>
        <v>0</v>
      </c>
    </row>
    <row r="86" spans="1:19">
      <c r="A86" s="158"/>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0.05</v>
      </c>
      <c r="R86" s="713">
        <f t="shared" si="20"/>
        <v>0</v>
      </c>
      <c r="S86" s="360">
        <f t="shared" si="22"/>
        <v>0</v>
      </c>
    </row>
    <row r="87" spans="1:19">
      <c r="A87" s="158"/>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0.05</v>
      </c>
      <c r="R87" s="713">
        <f t="shared" si="20"/>
        <v>0</v>
      </c>
      <c r="S87" s="360">
        <f t="shared" si="22"/>
        <v>0</v>
      </c>
    </row>
    <row r="88" spans="1:19">
      <c r="A88" s="158"/>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0.05</v>
      </c>
      <c r="R88" s="713">
        <f t="shared" si="20"/>
        <v>0</v>
      </c>
      <c r="S88" s="360">
        <f t="shared" si="22"/>
        <v>0</v>
      </c>
    </row>
    <row r="89" spans="1:19">
      <c r="A89" s="158"/>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0.05</v>
      </c>
      <c r="R89" s="713">
        <f t="shared" si="20"/>
        <v>0</v>
      </c>
      <c r="S89" s="360">
        <f t="shared" si="22"/>
        <v>0</v>
      </c>
    </row>
    <row r="90" spans="1:19">
      <c r="A90" s="158"/>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0.05</v>
      </c>
      <c r="R90" s="713">
        <f t="shared" ref="R90:R153" si="31">IF(B90="",0,ROUND($R$24*C90*E90*G90*I90*K90*M90*O90*Q90,0))</f>
        <v>0</v>
      </c>
      <c r="S90" s="360">
        <f t="shared" si="22"/>
        <v>0</v>
      </c>
    </row>
    <row r="91" spans="1:19">
      <c r="A91" s="158"/>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0.05</v>
      </c>
      <c r="R91" s="713">
        <f t="shared" si="31"/>
        <v>0</v>
      </c>
      <c r="S91" s="360">
        <f t="shared" si="22"/>
        <v>0</v>
      </c>
    </row>
    <row r="92" spans="1:19">
      <c r="A92" s="158"/>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0.05</v>
      </c>
      <c r="R92" s="713">
        <f t="shared" si="31"/>
        <v>0</v>
      </c>
      <c r="S92" s="360">
        <f t="shared" si="22"/>
        <v>0</v>
      </c>
    </row>
    <row r="93" spans="1:19">
      <c r="A93" s="158"/>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0.05</v>
      </c>
      <c r="R93" s="713">
        <f t="shared" si="31"/>
        <v>0</v>
      </c>
      <c r="S93" s="360">
        <f t="shared" si="22"/>
        <v>0</v>
      </c>
    </row>
    <row r="94" spans="1:19">
      <c r="A94" s="158"/>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0.05</v>
      </c>
      <c r="R94" s="713">
        <f t="shared" si="31"/>
        <v>0</v>
      </c>
      <c r="S94" s="360">
        <f t="shared" si="22"/>
        <v>0</v>
      </c>
    </row>
    <row r="95" spans="1:19">
      <c r="A95" s="158"/>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0.05</v>
      </c>
      <c r="R95" s="713">
        <f t="shared" si="31"/>
        <v>0</v>
      </c>
      <c r="S95" s="360">
        <f t="shared" si="22"/>
        <v>0</v>
      </c>
    </row>
    <row r="96" spans="1:19">
      <c r="A96" s="158"/>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0.05</v>
      </c>
      <c r="R96" s="713">
        <f t="shared" si="31"/>
        <v>0</v>
      </c>
      <c r="S96" s="360">
        <f t="shared" si="22"/>
        <v>0</v>
      </c>
    </row>
    <row r="97" spans="1:19">
      <c r="A97" s="158"/>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0.05</v>
      </c>
      <c r="R97" s="713">
        <f t="shared" si="31"/>
        <v>0</v>
      </c>
      <c r="S97" s="360">
        <f t="shared" si="22"/>
        <v>0</v>
      </c>
    </row>
    <row r="98" spans="1:19">
      <c r="A98" s="158"/>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0.05</v>
      </c>
      <c r="R98" s="713">
        <f t="shared" si="31"/>
        <v>0</v>
      </c>
      <c r="S98" s="360">
        <f t="shared" si="22"/>
        <v>0</v>
      </c>
    </row>
    <row r="99" spans="1:19">
      <c r="A99" s="158"/>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0.05</v>
      </c>
      <c r="R99" s="713">
        <f t="shared" si="31"/>
        <v>0</v>
      </c>
      <c r="S99" s="360">
        <f t="shared" si="22"/>
        <v>0</v>
      </c>
    </row>
    <row r="100" spans="1:19">
      <c r="A100" s="158"/>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0.05</v>
      </c>
      <c r="R100" s="713">
        <f t="shared" si="31"/>
        <v>0</v>
      </c>
      <c r="S100" s="360">
        <f t="shared" si="22"/>
        <v>0</v>
      </c>
    </row>
    <row r="101" spans="1:19">
      <c r="A101" s="158"/>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0.05</v>
      </c>
      <c r="R101" s="713">
        <f t="shared" si="31"/>
        <v>0</v>
      </c>
      <c r="S101" s="360">
        <f t="shared" si="22"/>
        <v>0</v>
      </c>
    </row>
    <row r="102" spans="1:19">
      <c r="A102" s="158"/>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0.05</v>
      </c>
      <c r="R102" s="713">
        <f t="shared" si="31"/>
        <v>0</v>
      </c>
      <c r="S102" s="360">
        <f t="shared" si="22"/>
        <v>0</v>
      </c>
    </row>
    <row r="103" spans="1:19">
      <c r="A103" s="158"/>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0.05</v>
      </c>
      <c r="R103" s="713">
        <f t="shared" si="31"/>
        <v>0</v>
      </c>
      <c r="S103" s="360">
        <f t="shared" si="22"/>
        <v>0</v>
      </c>
    </row>
    <row r="104" spans="1:19">
      <c r="A104" s="158"/>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0.05</v>
      </c>
      <c r="R104" s="713">
        <f t="shared" si="31"/>
        <v>0</v>
      </c>
      <c r="S104" s="360">
        <f t="shared" si="22"/>
        <v>0</v>
      </c>
    </row>
    <row r="105" spans="1:19">
      <c r="A105" s="158"/>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0.05</v>
      </c>
      <c r="R105" s="713">
        <f t="shared" si="31"/>
        <v>0</v>
      </c>
      <c r="S105" s="360">
        <f t="shared" si="22"/>
        <v>0</v>
      </c>
    </row>
    <row r="106" spans="1:19">
      <c r="A106" s="158"/>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0.05</v>
      </c>
      <c r="R106" s="713">
        <f t="shared" si="31"/>
        <v>0</v>
      </c>
      <c r="S106" s="360">
        <f t="shared" si="22"/>
        <v>0</v>
      </c>
    </row>
    <row r="107" spans="1:19">
      <c r="A107" s="158"/>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0.05</v>
      </c>
      <c r="R107" s="713">
        <f t="shared" si="31"/>
        <v>0</v>
      </c>
      <c r="S107" s="360">
        <f t="shared" si="22"/>
        <v>0</v>
      </c>
    </row>
    <row r="108" spans="1:19">
      <c r="A108" s="158"/>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0.05</v>
      </c>
      <c r="R108" s="713">
        <f t="shared" si="31"/>
        <v>0</v>
      </c>
      <c r="S108" s="360">
        <f t="shared" si="22"/>
        <v>0</v>
      </c>
    </row>
    <row r="109" spans="1:19">
      <c r="A109" s="158"/>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0.05</v>
      </c>
      <c r="R109" s="713">
        <f t="shared" si="31"/>
        <v>0</v>
      </c>
      <c r="S109" s="360">
        <f t="shared" si="22"/>
        <v>0</v>
      </c>
    </row>
    <row r="110" spans="1:19">
      <c r="A110" s="158"/>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0.05</v>
      </c>
      <c r="R110" s="713">
        <f t="shared" si="31"/>
        <v>0</v>
      </c>
      <c r="S110" s="360">
        <f t="shared" si="22"/>
        <v>0</v>
      </c>
    </row>
    <row r="111" spans="1:19">
      <c r="A111" s="158"/>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0.05</v>
      </c>
      <c r="R111" s="713">
        <f t="shared" si="31"/>
        <v>0</v>
      </c>
      <c r="S111" s="360">
        <f t="shared" si="22"/>
        <v>0</v>
      </c>
    </row>
    <row r="112" spans="1:19">
      <c r="A112" s="158"/>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0.05</v>
      </c>
      <c r="R112" s="713">
        <f t="shared" si="31"/>
        <v>0</v>
      </c>
      <c r="S112" s="360">
        <f t="shared" si="22"/>
        <v>0</v>
      </c>
    </row>
    <row r="113" spans="1:19">
      <c r="A113" s="158"/>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0.05</v>
      </c>
      <c r="R113" s="713">
        <f t="shared" si="31"/>
        <v>0</v>
      </c>
      <c r="S113" s="360">
        <f t="shared" si="22"/>
        <v>0</v>
      </c>
    </row>
    <row r="114" spans="1:19">
      <c r="A114" s="158"/>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0.05</v>
      </c>
      <c r="R114" s="713">
        <f t="shared" si="31"/>
        <v>0</v>
      </c>
      <c r="S114" s="360">
        <f t="shared" si="22"/>
        <v>0</v>
      </c>
    </row>
    <row r="115" spans="1:19">
      <c r="A115" s="158"/>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0.05</v>
      </c>
      <c r="R115" s="713">
        <f t="shared" si="31"/>
        <v>0</v>
      </c>
      <c r="S115" s="360">
        <f t="shared" si="22"/>
        <v>0</v>
      </c>
    </row>
    <row r="116" spans="1:19">
      <c r="A116" s="158"/>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0.05</v>
      </c>
      <c r="R116" s="713">
        <f t="shared" si="31"/>
        <v>0</v>
      </c>
      <c r="S116" s="360">
        <f t="shared" si="22"/>
        <v>0</v>
      </c>
    </row>
    <row r="117" spans="1:19">
      <c r="A117" s="158"/>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0.05</v>
      </c>
      <c r="R117" s="713">
        <f t="shared" si="31"/>
        <v>0</v>
      </c>
      <c r="S117" s="360">
        <f t="shared" si="22"/>
        <v>0</v>
      </c>
    </row>
    <row r="118" spans="1:19">
      <c r="A118" s="158"/>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0.05</v>
      </c>
      <c r="R118" s="713">
        <f t="shared" si="31"/>
        <v>0</v>
      </c>
      <c r="S118" s="360">
        <f t="shared" si="22"/>
        <v>0</v>
      </c>
    </row>
    <row r="119" spans="1:19">
      <c r="A119" s="158"/>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0.05</v>
      </c>
      <c r="R119" s="713">
        <f t="shared" si="31"/>
        <v>0</v>
      </c>
      <c r="S119" s="360">
        <f t="shared" si="22"/>
        <v>0</v>
      </c>
    </row>
    <row r="120" spans="1:19">
      <c r="A120" s="158"/>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0.05</v>
      </c>
      <c r="R120" s="713">
        <f t="shared" si="31"/>
        <v>0</v>
      </c>
      <c r="S120" s="360">
        <f t="shared" si="22"/>
        <v>0</v>
      </c>
    </row>
    <row r="121" spans="1:19">
      <c r="A121" s="158"/>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0.05</v>
      </c>
      <c r="R121" s="713">
        <f t="shared" si="31"/>
        <v>0</v>
      </c>
      <c r="S121" s="360">
        <f t="shared" si="22"/>
        <v>0</v>
      </c>
    </row>
    <row r="122" spans="1:19">
      <c r="A122" s="158"/>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0.05</v>
      </c>
      <c r="R122" s="713">
        <f t="shared" si="31"/>
        <v>0</v>
      </c>
      <c r="S122" s="360">
        <f t="shared" si="22"/>
        <v>0</v>
      </c>
    </row>
    <row r="123" spans="1:19">
      <c r="A123" s="158"/>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0.05</v>
      </c>
      <c r="R123" s="713">
        <f t="shared" si="31"/>
        <v>0</v>
      </c>
      <c r="S123" s="360">
        <f t="shared" ref="S123:S186" si="32">ROUND(R123*B123/10000,0)</f>
        <v>0</v>
      </c>
    </row>
    <row r="124" spans="1:19">
      <c r="A124" s="158"/>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0.05</v>
      </c>
      <c r="R124" s="713">
        <f t="shared" si="31"/>
        <v>0</v>
      </c>
      <c r="S124" s="360">
        <f t="shared" si="32"/>
        <v>0</v>
      </c>
    </row>
    <row r="125" spans="1:19">
      <c r="A125" s="158"/>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0.05</v>
      </c>
      <c r="R125" s="713">
        <f t="shared" si="31"/>
        <v>0</v>
      </c>
      <c r="S125" s="360">
        <f t="shared" si="32"/>
        <v>0</v>
      </c>
    </row>
    <row r="126" spans="1:19">
      <c r="A126" s="158"/>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0.05</v>
      </c>
      <c r="R126" s="713">
        <f t="shared" si="31"/>
        <v>0</v>
      </c>
      <c r="S126" s="360">
        <f t="shared" si="32"/>
        <v>0</v>
      </c>
    </row>
    <row r="127" spans="1:19">
      <c r="A127" s="158"/>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0.05</v>
      </c>
      <c r="R127" s="713">
        <f t="shared" si="31"/>
        <v>0</v>
      </c>
      <c r="S127" s="360">
        <f t="shared" si="32"/>
        <v>0</v>
      </c>
    </row>
    <row r="128" spans="1:19">
      <c r="A128" s="158"/>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0.05</v>
      </c>
      <c r="R128" s="713">
        <f t="shared" si="31"/>
        <v>0</v>
      </c>
      <c r="S128" s="360">
        <f t="shared" si="32"/>
        <v>0</v>
      </c>
    </row>
    <row r="129" spans="1:19">
      <c r="A129" s="158"/>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0.05</v>
      </c>
      <c r="R129" s="713">
        <f t="shared" si="31"/>
        <v>0</v>
      </c>
      <c r="S129" s="360">
        <f t="shared" si="32"/>
        <v>0</v>
      </c>
    </row>
    <row r="130" spans="1:19">
      <c r="A130" s="158"/>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0.05</v>
      </c>
      <c r="R130" s="713">
        <f t="shared" si="31"/>
        <v>0</v>
      </c>
      <c r="S130" s="360">
        <f t="shared" si="32"/>
        <v>0</v>
      </c>
    </row>
    <row r="131" spans="1:19">
      <c r="A131" s="158"/>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0.05</v>
      </c>
      <c r="R131" s="713">
        <f t="shared" si="31"/>
        <v>0</v>
      </c>
      <c r="S131" s="360">
        <f t="shared" si="32"/>
        <v>0</v>
      </c>
    </row>
    <row r="132" spans="1:19">
      <c r="A132" s="158"/>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0.05</v>
      </c>
      <c r="R132" s="713">
        <f t="shared" si="31"/>
        <v>0</v>
      </c>
      <c r="S132" s="360">
        <f t="shared" si="32"/>
        <v>0</v>
      </c>
    </row>
    <row r="133" spans="1:19">
      <c r="A133" s="158"/>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0.05</v>
      </c>
      <c r="R133" s="713">
        <f t="shared" si="31"/>
        <v>0</v>
      </c>
      <c r="S133" s="360">
        <f t="shared" si="32"/>
        <v>0</v>
      </c>
    </row>
    <row r="134" spans="1:19">
      <c r="A134" s="158"/>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0.05</v>
      </c>
      <c r="R134" s="713">
        <f t="shared" si="31"/>
        <v>0</v>
      </c>
      <c r="S134" s="360">
        <f t="shared" si="32"/>
        <v>0</v>
      </c>
    </row>
    <row r="135" spans="1:19">
      <c r="A135" s="158"/>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0.05</v>
      </c>
      <c r="R135" s="713">
        <f t="shared" si="31"/>
        <v>0</v>
      </c>
      <c r="S135" s="360">
        <f t="shared" si="32"/>
        <v>0</v>
      </c>
    </row>
    <row r="136" spans="1:19">
      <c r="A136" s="158"/>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0.05</v>
      </c>
      <c r="R136" s="713">
        <f t="shared" si="31"/>
        <v>0</v>
      </c>
      <c r="S136" s="360">
        <f t="shared" si="32"/>
        <v>0</v>
      </c>
    </row>
    <row r="137" spans="1:19">
      <c r="A137" s="158"/>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0.05</v>
      </c>
      <c r="R137" s="713">
        <f t="shared" si="31"/>
        <v>0</v>
      </c>
      <c r="S137" s="360">
        <f t="shared" si="32"/>
        <v>0</v>
      </c>
    </row>
    <row r="138" spans="1:19">
      <c r="A138" s="158"/>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0.05</v>
      </c>
      <c r="R138" s="713">
        <f t="shared" si="31"/>
        <v>0</v>
      </c>
      <c r="S138" s="360">
        <f t="shared" si="32"/>
        <v>0</v>
      </c>
    </row>
    <row r="139" spans="1:19">
      <c r="A139" s="158"/>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0.05</v>
      </c>
      <c r="R139" s="713">
        <f t="shared" si="31"/>
        <v>0</v>
      </c>
      <c r="S139" s="360">
        <f t="shared" si="32"/>
        <v>0</v>
      </c>
    </row>
    <row r="140" spans="1:19">
      <c r="A140" s="158"/>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0.05</v>
      </c>
      <c r="R140" s="713">
        <f t="shared" si="31"/>
        <v>0</v>
      </c>
      <c r="S140" s="360">
        <f t="shared" si="32"/>
        <v>0</v>
      </c>
    </row>
    <row r="141" spans="1:19">
      <c r="A141" s="158"/>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0.05</v>
      </c>
      <c r="R141" s="713">
        <f t="shared" si="31"/>
        <v>0</v>
      </c>
      <c r="S141" s="360">
        <f t="shared" si="32"/>
        <v>0</v>
      </c>
    </row>
    <row r="142" spans="1:19">
      <c r="A142" s="158"/>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0.05</v>
      </c>
      <c r="R142" s="713">
        <f t="shared" si="31"/>
        <v>0</v>
      </c>
      <c r="S142" s="360">
        <f t="shared" si="32"/>
        <v>0</v>
      </c>
    </row>
    <row r="143" spans="1:19">
      <c r="A143" s="158"/>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0.05</v>
      </c>
      <c r="R143" s="713">
        <f t="shared" si="31"/>
        <v>0</v>
      </c>
      <c r="S143" s="360">
        <f t="shared" si="32"/>
        <v>0</v>
      </c>
    </row>
    <row r="144" spans="1:19">
      <c r="A144" s="158"/>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0.05</v>
      </c>
      <c r="R144" s="713">
        <f t="shared" si="31"/>
        <v>0</v>
      </c>
      <c r="S144" s="360">
        <f t="shared" si="32"/>
        <v>0</v>
      </c>
    </row>
    <row r="145" spans="1:19">
      <c r="A145" s="158"/>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0.05</v>
      </c>
      <c r="R145" s="713">
        <f t="shared" si="31"/>
        <v>0</v>
      </c>
      <c r="S145" s="360">
        <f t="shared" si="32"/>
        <v>0</v>
      </c>
    </row>
    <row r="146" spans="1:19">
      <c r="A146" s="158"/>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0.05</v>
      </c>
      <c r="R146" s="713">
        <f t="shared" si="31"/>
        <v>0</v>
      </c>
      <c r="S146" s="360">
        <f t="shared" si="32"/>
        <v>0</v>
      </c>
    </row>
    <row r="147" spans="1:19">
      <c r="A147" s="158"/>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0.05</v>
      </c>
      <c r="R147" s="713">
        <f t="shared" si="31"/>
        <v>0</v>
      </c>
      <c r="S147" s="360">
        <f t="shared" si="32"/>
        <v>0</v>
      </c>
    </row>
    <row r="148" spans="1:19">
      <c r="A148" s="158"/>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0.05</v>
      </c>
      <c r="R148" s="713">
        <f t="shared" si="31"/>
        <v>0</v>
      </c>
      <c r="S148" s="360">
        <f t="shared" si="32"/>
        <v>0</v>
      </c>
    </row>
    <row r="149" spans="1:19">
      <c r="A149" s="158"/>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0.05</v>
      </c>
      <c r="R149" s="713">
        <f t="shared" si="31"/>
        <v>0</v>
      </c>
      <c r="S149" s="360">
        <f t="shared" si="32"/>
        <v>0</v>
      </c>
    </row>
    <row r="150" spans="1:19">
      <c r="A150" s="158"/>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0.05</v>
      </c>
      <c r="R150" s="713">
        <f t="shared" si="31"/>
        <v>0</v>
      </c>
      <c r="S150" s="360">
        <f t="shared" si="32"/>
        <v>0</v>
      </c>
    </row>
    <row r="151" spans="1:19">
      <c r="A151" s="158"/>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0.05</v>
      </c>
      <c r="R151" s="713">
        <f t="shared" si="31"/>
        <v>0</v>
      </c>
      <c r="S151" s="360">
        <f t="shared" si="32"/>
        <v>0</v>
      </c>
    </row>
    <row r="152" spans="1:19">
      <c r="A152" s="158"/>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0.05</v>
      </c>
      <c r="R152" s="713">
        <f t="shared" si="31"/>
        <v>0</v>
      </c>
      <c r="S152" s="360">
        <f t="shared" si="32"/>
        <v>0</v>
      </c>
    </row>
    <row r="153" spans="1:19">
      <c r="A153" s="158"/>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0.05</v>
      </c>
      <c r="R153" s="713">
        <f t="shared" si="31"/>
        <v>0</v>
      </c>
      <c r="S153" s="360">
        <f t="shared" si="32"/>
        <v>0</v>
      </c>
    </row>
    <row r="154" spans="1:19">
      <c r="A154" s="158"/>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0.05</v>
      </c>
      <c r="R154" s="713">
        <f t="shared" ref="R154:R217" si="41">IF(B154="",0,ROUND($R$24*C154*E154*G154*I154*K154*M154*O154*Q154,0))</f>
        <v>0</v>
      </c>
      <c r="S154" s="360">
        <f t="shared" si="32"/>
        <v>0</v>
      </c>
    </row>
    <row r="155" spans="1:19">
      <c r="A155" s="158"/>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0.05</v>
      </c>
      <c r="R155" s="713">
        <f t="shared" si="41"/>
        <v>0</v>
      </c>
      <c r="S155" s="360">
        <f t="shared" si="32"/>
        <v>0</v>
      </c>
    </row>
    <row r="156" spans="1:19">
      <c r="A156" s="158"/>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0.05</v>
      </c>
      <c r="R156" s="713">
        <f t="shared" si="41"/>
        <v>0</v>
      </c>
      <c r="S156" s="360">
        <f t="shared" si="32"/>
        <v>0</v>
      </c>
    </row>
    <row r="157" spans="1:19">
      <c r="A157" s="158"/>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0.05</v>
      </c>
      <c r="R157" s="713">
        <f t="shared" si="41"/>
        <v>0</v>
      </c>
      <c r="S157" s="360">
        <f t="shared" si="32"/>
        <v>0</v>
      </c>
    </row>
    <row r="158" spans="1:19">
      <c r="A158" s="158"/>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0.05</v>
      </c>
      <c r="R158" s="713">
        <f t="shared" si="41"/>
        <v>0</v>
      </c>
      <c r="S158" s="360">
        <f t="shared" si="32"/>
        <v>0</v>
      </c>
    </row>
    <row r="159" spans="1:19">
      <c r="A159" s="158"/>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0.05</v>
      </c>
      <c r="R159" s="713">
        <f t="shared" si="41"/>
        <v>0</v>
      </c>
      <c r="S159" s="360">
        <f t="shared" si="32"/>
        <v>0</v>
      </c>
    </row>
    <row r="160" spans="1:19">
      <c r="A160" s="158"/>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0.05</v>
      </c>
      <c r="R160" s="713">
        <f t="shared" si="41"/>
        <v>0</v>
      </c>
      <c r="S160" s="360">
        <f t="shared" si="32"/>
        <v>0</v>
      </c>
    </row>
    <row r="161" spans="1:19">
      <c r="A161" s="158"/>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0.05</v>
      </c>
      <c r="R161" s="713">
        <f t="shared" si="41"/>
        <v>0</v>
      </c>
      <c r="S161" s="360">
        <f t="shared" si="32"/>
        <v>0</v>
      </c>
    </row>
    <row r="162" spans="1:19">
      <c r="A162" s="158"/>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0.05</v>
      </c>
      <c r="R162" s="713">
        <f t="shared" si="41"/>
        <v>0</v>
      </c>
      <c r="S162" s="360">
        <f t="shared" si="32"/>
        <v>0</v>
      </c>
    </row>
    <row r="163" spans="1:19">
      <c r="A163" s="158"/>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0.05</v>
      </c>
      <c r="R163" s="713">
        <f t="shared" si="41"/>
        <v>0</v>
      </c>
      <c r="S163" s="360">
        <f t="shared" si="32"/>
        <v>0</v>
      </c>
    </row>
    <row r="164" spans="1:19">
      <c r="A164" s="158"/>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0.05</v>
      </c>
      <c r="R164" s="713">
        <f t="shared" si="41"/>
        <v>0</v>
      </c>
      <c r="S164" s="360">
        <f t="shared" si="32"/>
        <v>0</v>
      </c>
    </row>
    <row r="165" spans="1:19">
      <c r="A165" s="158"/>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0.05</v>
      </c>
      <c r="R165" s="713">
        <f t="shared" si="41"/>
        <v>0</v>
      </c>
      <c r="S165" s="360">
        <f t="shared" si="32"/>
        <v>0</v>
      </c>
    </row>
    <row r="166" spans="1:19">
      <c r="A166" s="158"/>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0.05</v>
      </c>
      <c r="R166" s="713">
        <f t="shared" si="41"/>
        <v>0</v>
      </c>
      <c r="S166" s="360">
        <f t="shared" si="32"/>
        <v>0</v>
      </c>
    </row>
    <row r="167" spans="1:19">
      <c r="A167" s="158"/>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0.05</v>
      </c>
      <c r="R167" s="713">
        <f t="shared" si="41"/>
        <v>0</v>
      </c>
      <c r="S167" s="360">
        <f t="shared" si="32"/>
        <v>0</v>
      </c>
    </row>
    <row r="168" spans="1:19">
      <c r="A168" s="158"/>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0.05</v>
      </c>
      <c r="R168" s="713">
        <f t="shared" si="41"/>
        <v>0</v>
      </c>
      <c r="S168" s="360">
        <f t="shared" si="32"/>
        <v>0</v>
      </c>
    </row>
    <row r="169" spans="1:19">
      <c r="A169" s="158"/>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0.05</v>
      </c>
      <c r="R169" s="713">
        <f t="shared" si="41"/>
        <v>0</v>
      </c>
      <c r="S169" s="360">
        <f t="shared" si="32"/>
        <v>0</v>
      </c>
    </row>
    <row r="170" spans="1:19">
      <c r="A170" s="158"/>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0.05</v>
      </c>
      <c r="R170" s="713">
        <f t="shared" si="41"/>
        <v>0</v>
      </c>
      <c r="S170" s="360">
        <f t="shared" si="32"/>
        <v>0</v>
      </c>
    </row>
    <row r="171" spans="1:19">
      <c r="A171" s="158"/>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0.05</v>
      </c>
      <c r="R171" s="713">
        <f t="shared" si="41"/>
        <v>0</v>
      </c>
      <c r="S171" s="360">
        <f t="shared" si="32"/>
        <v>0</v>
      </c>
    </row>
    <row r="172" spans="1:19">
      <c r="A172" s="158"/>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0.05</v>
      </c>
      <c r="R172" s="713">
        <f t="shared" si="41"/>
        <v>0</v>
      </c>
      <c r="S172" s="360">
        <f t="shared" si="32"/>
        <v>0</v>
      </c>
    </row>
    <row r="173" spans="1:19">
      <c r="A173" s="158"/>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0.05</v>
      </c>
      <c r="R173" s="713">
        <f t="shared" si="41"/>
        <v>0</v>
      </c>
      <c r="S173" s="360">
        <f t="shared" si="32"/>
        <v>0</v>
      </c>
    </row>
    <row r="174" spans="1:19">
      <c r="A174" s="158"/>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0.05</v>
      </c>
      <c r="R174" s="713">
        <f t="shared" si="41"/>
        <v>0</v>
      </c>
      <c r="S174" s="360">
        <f t="shared" si="32"/>
        <v>0</v>
      </c>
    </row>
    <row r="175" spans="1:19">
      <c r="A175" s="158"/>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0.05</v>
      </c>
      <c r="R175" s="713">
        <f t="shared" si="41"/>
        <v>0</v>
      </c>
      <c r="S175" s="360">
        <f t="shared" si="32"/>
        <v>0</v>
      </c>
    </row>
    <row r="176" spans="1:19">
      <c r="A176" s="158"/>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0.05</v>
      </c>
      <c r="R176" s="713">
        <f t="shared" si="41"/>
        <v>0</v>
      </c>
      <c r="S176" s="360">
        <f t="shared" si="32"/>
        <v>0</v>
      </c>
    </row>
    <row r="177" spans="1:19">
      <c r="A177" s="158"/>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0.05</v>
      </c>
      <c r="R177" s="713">
        <f t="shared" si="41"/>
        <v>0</v>
      </c>
      <c r="S177" s="360">
        <f t="shared" si="32"/>
        <v>0</v>
      </c>
    </row>
    <row r="178" spans="1:19">
      <c r="A178" s="158"/>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0.05</v>
      </c>
      <c r="R178" s="713">
        <f t="shared" si="41"/>
        <v>0</v>
      </c>
      <c r="S178" s="360">
        <f t="shared" si="32"/>
        <v>0</v>
      </c>
    </row>
    <row r="179" spans="1:19">
      <c r="A179" s="158"/>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0.05</v>
      </c>
      <c r="R179" s="713">
        <f t="shared" si="41"/>
        <v>0</v>
      </c>
      <c r="S179" s="360">
        <f t="shared" si="32"/>
        <v>0</v>
      </c>
    </row>
    <row r="180" spans="1:19">
      <c r="A180" s="158"/>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0.05</v>
      </c>
      <c r="R180" s="713">
        <f t="shared" si="41"/>
        <v>0</v>
      </c>
      <c r="S180" s="360">
        <f t="shared" si="32"/>
        <v>0</v>
      </c>
    </row>
    <row r="181" spans="1:19">
      <c r="A181" s="158"/>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0.05</v>
      </c>
      <c r="R181" s="713">
        <f t="shared" si="41"/>
        <v>0</v>
      </c>
      <c r="S181" s="360">
        <f t="shared" si="32"/>
        <v>0</v>
      </c>
    </row>
    <row r="182" spans="1:19">
      <c r="A182" s="158"/>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0.05</v>
      </c>
      <c r="R182" s="713">
        <f t="shared" si="41"/>
        <v>0</v>
      </c>
      <c r="S182" s="360">
        <f t="shared" si="32"/>
        <v>0</v>
      </c>
    </row>
    <row r="183" spans="1:19">
      <c r="A183" s="158"/>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0.05</v>
      </c>
      <c r="R183" s="713">
        <f t="shared" si="41"/>
        <v>0</v>
      </c>
      <c r="S183" s="360">
        <f t="shared" si="32"/>
        <v>0</v>
      </c>
    </row>
    <row r="184" spans="1:19">
      <c r="A184" s="158"/>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0.05</v>
      </c>
      <c r="R184" s="713">
        <f t="shared" si="41"/>
        <v>0</v>
      </c>
      <c r="S184" s="360">
        <f t="shared" si="32"/>
        <v>0</v>
      </c>
    </row>
    <row r="185" spans="1:19">
      <c r="A185" s="158"/>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0.05</v>
      </c>
      <c r="R185" s="713">
        <f t="shared" si="41"/>
        <v>0</v>
      </c>
      <c r="S185" s="360">
        <f t="shared" si="32"/>
        <v>0</v>
      </c>
    </row>
    <row r="186" spans="1:19">
      <c r="A186" s="158"/>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0.05</v>
      </c>
      <c r="R186" s="713">
        <f t="shared" si="41"/>
        <v>0</v>
      </c>
      <c r="S186" s="360">
        <f t="shared" si="32"/>
        <v>0</v>
      </c>
    </row>
    <row r="187" spans="1:19">
      <c r="A187" s="158"/>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0.05</v>
      </c>
      <c r="R187" s="713">
        <f t="shared" si="41"/>
        <v>0</v>
      </c>
      <c r="S187" s="360">
        <f t="shared" ref="S187:S222" si="42">ROUND(R187*B187/10000,0)</f>
        <v>0</v>
      </c>
    </row>
    <row r="188" spans="1:19">
      <c r="A188" s="158"/>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0.05</v>
      </c>
      <c r="R188" s="713">
        <f t="shared" si="41"/>
        <v>0</v>
      </c>
      <c r="S188" s="360">
        <f t="shared" si="42"/>
        <v>0</v>
      </c>
    </row>
    <row r="189" spans="1:19">
      <c r="A189" s="158"/>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0.05</v>
      </c>
      <c r="R189" s="713">
        <f t="shared" si="41"/>
        <v>0</v>
      </c>
      <c r="S189" s="360">
        <f t="shared" si="42"/>
        <v>0</v>
      </c>
    </row>
    <row r="190" spans="1:19">
      <c r="A190" s="158"/>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0.05</v>
      </c>
      <c r="R190" s="713">
        <f t="shared" si="41"/>
        <v>0</v>
      </c>
      <c r="S190" s="360">
        <f t="shared" si="42"/>
        <v>0</v>
      </c>
    </row>
    <row r="191" spans="1:19">
      <c r="A191" s="158"/>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0.05</v>
      </c>
      <c r="R191" s="713">
        <f t="shared" si="41"/>
        <v>0</v>
      </c>
      <c r="S191" s="360">
        <f t="shared" si="42"/>
        <v>0</v>
      </c>
    </row>
    <row r="192" spans="1:19">
      <c r="A192" s="158"/>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0.05</v>
      </c>
      <c r="R192" s="713">
        <f t="shared" si="41"/>
        <v>0</v>
      </c>
      <c r="S192" s="360">
        <f t="shared" si="42"/>
        <v>0</v>
      </c>
    </row>
    <row r="193" spans="1:19">
      <c r="A193" s="158"/>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0.05</v>
      </c>
      <c r="R193" s="713">
        <f t="shared" si="41"/>
        <v>0</v>
      </c>
      <c r="S193" s="360">
        <f t="shared" si="42"/>
        <v>0</v>
      </c>
    </row>
    <row r="194" spans="1:19">
      <c r="A194" s="158"/>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0.05</v>
      </c>
      <c r="R194" s="713">
        <f t="shared" si="41"/>
        <v>0</v>
      </c>
      <c r="S194" s="360">
        <f t="shared" si="42"/>
        <v>0</v>
      </c>
    </row>
    <row r="195" spans="1:19">
      <c r="A195" s="158"/>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0.05</v>
      </c>
      <c r="R195" s="713">
        <f t="shared" si="41"/>
        <v>0</v>
      </c>
      <c r="S195" s="360">
        <f t="shared" si="42"/>
        <v>0</v>
      </c>
    </row>
    <row r="196" spans="1:19">
      <c r="A196" s="158"/>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0.05</v>
      </c>
      <c r="R196" s="713">
        <f t="shared" si="41"/>
        <v>0</v>
      </c>
      <c r="S196" s="360">
        <f t="shared" si="42"/>
        <v>0</v>
      </c>
    </row>
    <row r="197" spans="1:19">
      <c r="A197" s="158"/>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0.05</v>
      </c>
      <c r="R197" s="713">
        <f t="shared" si="41"/>
        <v>0</v>
      </c>
      <c r="S197" s="360">
        <f t="shared" si="42"/>
        <v>0</v>
      </c>
    </row>
    <row r="198" spans="1:19">
      <c r="A198" s="158"/>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0.05</v>
      </c>
      <c r="R198" s="713">
        <f t="shared" si="41"/>
        <v>0</v>
      </c>
      <c r="S198" s="360">
        <f t="shared" si="42"/>
        <v>0</v>
      </c>
    </row>
    <row r="199" spans="1:19">
      <c r="A199" s="158"/>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0.05</v>
      </c>
      <c r="R199" s="713">
        <f t="shared" si="41"/>
        <v>0</v>
      </c>
      <c r="S199" s="360">
        <f t="shared" si="42"/>
        <v>0</v>
      </c>
    </row>
    <row r="200" spans="1:19">
      <c r="A200" s="158"/>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0.05</v>
      </c>
      <c r="R200" s="713">
        <f t="shared" si="41"/>
        <v>0</v>
      </c>
      <c r="S200" s="360">
        <f t="shared" si="42"/>
        <v>0</v>
      </c>
    </row>
    <row r="201" spans="1:19">
      <c r="A201" s="158"/>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0.05</v>
      </c>
      <c r="R201" s="713">
        <f t="shared" si="41"/>
        <v>0</v>
      </c>
      <c r="S201" s="360">
        <f t="shared" si="42"/>
        <v>0</v>
      </c>
    </row>
    <row r="202" spans="1:19">
      <c r="A202" s="158"/>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0.05</v>
      </c>
      <c r="R202" s="713">
        <f t="shared" si="41"/>
        <v>0</v>
      </c>
      <c r="S202" s="360">
        <f t="shared" si="42"/>
        <v>0</v>
      </c>
    </row>
    <row r="203" spans="1:19">
      <c r="A203" s="158"/>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0.05</v>
      </c>
      <c r="R203" s="713">
        <f t="shared" si="41"/>
        <v>0</v>
      </c>
      <c r="S203" s="360">
        <f t="shared" si="42"/>
        <v>0</v>
      </c>
    </row>
    <row r="204" spans="1:19">
      <c r="A204" s="158"/>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0.05</v>
      </c>
      <c r="R204" s="713">
        <f t="shared" si="41"/>
        <v>0</v>
      </c>
      <c r="S204" s="360">
        <f t="shared" si="42"/>
        <v>0</v>
      </c>
    </row>
    <row r="205" spans="1:19">
      <c r="A205" s="158"/>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0.05</v>
      </c>
      <c r="R205" s="713">
        <f t="shared" si="41"/>
        <v>0</v>
      </c>
      <c r="S205" s="360">
        <f t="shared" si="42"/>
        <v>0</v>
      </c>
    </row>
    <row r="206" spans="1:19">
      <c r="A206" s="158"/>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0.05</v>
      </c>
      <c r="R206" s="713">
        <f t="shared" si="41"/>
        <v>0</v>
      </c>
      <c r="S206" s="360">
        <f t="shared" si="42"/>
        <v>0</v>
      </c>
    </row>
    <row r="207" spans="1:19">
      <c r="A207" s="158"/>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0.05</v>
      </c>
      <c r="R207" s="713">
        <f t="shared" si="41"/>
        <v>0</v>
      </c>
      <c r="S207" s="360">
        <f t="shared" si="42"/>
        <v>0</v>
      </c>
    </row>
    <row r="208" spans="1:19">
      <c r="A208" s="158"/>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0.05</v>
      </c>
      <c r="R208" s="713">
        <f t="shared" si="41"/>
        <v>0</v>
      </c>
      <c r="S208" s="360">
        <f t="shared" si="42"/>
        <v>0</v>
      </c>
    </row>
    <row r="209" spans="1:19">
      <c r="A209" s="158"/>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0.05</v>
      </c>
      <c r="R209" s="713">
        <f t="shared" si="41"/>
        <v>0</v>
      </c>
      <c r="S209" s="360">
        <f t="shared" si="42"/>
        <v>0</v>
      </c>
    </row>
    <row r="210" spans="1:19">
      <c r="A210" s="158"/>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0.05</v>
      </c>
      <c r="R210" s="713">
        <f t="shared" si="41"/>
        <v>0</v>
      </c>
      <c r="S210" s="360">
        <f t="shared" si="42"/>
        <v>0</v>
      </c>
    </row>
    <row r="211" spans="1:19">
      <c r="A211" s="158"/>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0.05</v>
      </c>
      <c r="R211" s="713">
        <f t="shared" si="41"/>
        <v>0</v>
      </c>
      <c r="S211" s="360">
        <f t="shared" si="42"/>
        <v>0</v>
      </c>
    </row>
    <row r="212" spans="1:19">
      <c r="A212" s="158"/>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0.05</v>
      </c>
      <c r="R212" s="713">
        <f t="shared" si="41"/>
        <v>0</v>
      </c>
      <c r="S212" s="360">
        <f t="shared" si="42"/>
        <v>0</v>
      </c>
    </row>
    <row r="213" spans="1:19">
      <c r="A213" s="158"/>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0.05</v>
      </c>
      <c r="R213" s="713">
        <f t="shared" si="41"/>
        <v>0</v>
      </c>
      <c r="S213" s="360">
        <f t="shared" si="42"/>
        <v>0</v>
      </c>
    </row>
    <row r="214" spans="1:19">
      <c r="A214" s="158"/>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0.05</v>
      </c>
      <c r="R214" s="713">
        <f t="shared" si="41"/>
        <v>0</v>
      </c>
      <c r="S214" s="360">
        <f t="shared" si="42"/>
        <v>0</v>
      </c>
    </row>
    <row r="215" spans="1:19">
      <c r="A215" s="158"/>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0.05</v>
      </c>
      <c r="R215" s="713">
        <f t="shared" si="41"/>
        <v>0</v>
      </c>
      <c r="S215" s="360">
        <f t="shared" si="42"/>
        <v>0</v>
      </c>
    </row>
    <row r="216" spans="1:19">
      <c r="A216" s="158"/>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0.05</v>
      </c>
      <c r="R216" s="713">
        <f t="shared" si="41"/>
        <v>0</v>
      </c>
      <c r="S216" s="360">
        <f t="shared" si="42"/>
        <v>0</v>
      </c>
    </row>
    <row r="217" spans="1:19">
      <c r="A217" s="158"/>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0.05</v>
      </c>
      <c r="R217" s="713">
        <f t="shared" si="41"/>
        <v>0</v>
      </c>
      <c r="S217" s="360">
        <f t="shared" si="42"/>
        <v>0</v>
      </c>
    </row>
    <row r="218" spans="1:19">
      <c r="A218" s="158"/>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0.05</v>
      </c>
      <c r="R218" s="713">
        <f t="shared" ref="R218:R281" si="51">IF(B218="",0,ROUND($R$24*C218*E218*G218*I218*K218*M218*O218*Q218,0))</f>
        <v>0</v>
      </c>
      <c r="S218" s="360">
        <f t="shared" si="42"/>
        <v>0</v>
      </c>
    </row>
    <row r="219" spans="1:19">
      <c r="A219" s="158"/>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0.05</v>
      </c>
      <c r="R219" s="713">
        <f t="shared" si="51"/>
        <v>0</v>
      </c>
      <c r="S219" s="360">
        <f t="shared" si="42"/>
        <v>0</v>
      </c>
    </row>
    <row r="220" spans="1:19">
      <c r="A220" s="158"/>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0.05</v>
      </c>
      <c r="R220" s="713">
        <f t="shared" si="51"/>
        <v>0</v>
      </c>
      <c r="S220" s="360">
        <f t="shared" si="42"/>
        <v>0</v>
      </c>
    </row>
    <row r="221" spans="1:19">
      <c r="A221" s="158"/>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0.05</v>
      </c>
      <c r="R221" s="713">
        <f t="shared" si="51"/>
        <v>0</v>
      </c>
      <c r="S221" s="360">
        <f t="shared" si="42"/>
        <v>0</v>
      </c>
    </row>
    <row r="222" spans="1:19">
      <c r="A222" s="158"/>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0.05</v>
      </c>
      <c r="R222" s="713">
        <f t="shared" si="51"/>
        <v>0</v>
      </c>
      <c r="S222" s="360">
        <f t="shared" si="42"/>
        <v>0</v>
      </c>
    </row>
    <row r="223" spans="1:19">
      <c r="A223" s="158"/>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0.05</v>
      </c>
      <c r="R223" s="713">
        <f t="shared" si="51"/>
        <v>0</v>
      </c>
      <c r="S223" s="360">
        <f t="shared" ref="S223:S286" si="52">ROUND(R223*B223/10000,0)</f>
        <v>0</v>
      </c>
    </row>
    <row r="224" spans="1:19">
      <c r="A224" s="158"/>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0.05</v>
      </c>
      <c r="R224" s="713">
        <f t="shared" si="51"/>
        <v>0</v>
      </c>
      <c r="S224" s="360">
        <f t="shared" si="52"/>
        <v>0</v>
      </c>
    </row>
    <row r="225" spans="1:19">
      <c r="A225" s="158"/>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0.05</v>
      </c>
      <c r="R225" s="713">
        <f t="shared" si="51"/>
        <v>0</v>
      </c>
      <c r="S225" s="360">
        <f t="shared" si="52"/>
        <v>0</v>
      </c>
    </row>
    <row r="226" spans="1:19">
      <c r="A226" s="158"/>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0.05</v>
      </c>
      <c r="R226" s="713">
        <f t="shared" si="51"/>
        <v>0</v>
      </c>
      <c r="S226" s="360">
        <f t="shared" si="52"/>
        <v>0</v>
      </c>
    </row>
    <row r="227" spans="1:19">
      <c r="A227" s="158"/>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0.05</v>
      </c>
      <c r="R227" s="713">
        <f t="shared" si="51"/>
        <v>0</v>
      </c>
      <c r="S227" s="360">
        <f t="shared" si="52"/>
        <v>0</v>
      </c>
    </row>
    <row r="228" spans="1:19">
      <c r="A228" s="158"/>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0.05</v>
      </c>
      <c r="R228" s="713">
        <f t="shared" si="51"/>
        <v>0</v>
      </c>
      <c r="S228" s="360">
        <f t="shared" si="52"/>
        <v>0</v>
      </c>
    </row>
    <row r="229" spans="1:19">
      <c r="A229" s="158"/>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0.05</v>
      </c>
      <c r="R229" s="713">
        <f t="shared" si="51"/>
        <v>0</v>
      </c>
      <c r="S229" s="360">
        <f t="shared" si="52"/>
        <v>0</v>
      </c>
    </row>
    <row r="230" spans="1:19">
      <c r="A230" s="158"/>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0.05</v>
      </c>
      <c r="R230" s="713">
        <f t="shared" si="51"/>
        <v>0</v>
      </c>
      <c r="S230" s="360">
        <f t="shared" si="52"/>
        <v>0</v>
      </c>
    </row>
    <row r="231" spans="1:19">
      <c r="A231" s="158"/>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0.05</v>
      </c>
      <c r="R231" s="713">
        <f t="shared" si="51"/>
        <v>0</v>
      </c>
      <c r="S231" s="360">
        <f t="shared" si="52"/>
        <v>0</v>
      </c>
    </row>
    <row r="232" spans="1:19">
      <c r="A232" s="158"/>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0.05</v>
      </c>
      <c r="R232" s="713">
        <f t="shared" si="51"/>
        <v>0</v>
      </c>
      <c r="S232" s="360">
        <f t="shared" si="52"/>
        <v>0</v>
      </c>
    </row>
    <row r="233" spans="1:19">
      <c r="A233" s="158"/>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0.05</v>
      </c>
      <c r="R233" s="713">
        <f t="shared" si="51"/>
        <v>0</v>
      </c>
      <c r="S233" s="360">
        <f t="shared" si="52"/>
        <v>0</v>
      </c>
    </row>
    <row r="234" spans="1:19">
      <c r="A234" s="158"/>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0.05</v>
      </c>
      <c r="R234" s="713">
        <f t="shared" si="51"/>
        <v>0</v>
      </c>
      <c r="S234" s="360">
        <f t="shared" si="52"/>
        <v>0</v>
      </c>
    </row>
    <row r="235" spans="1:19">
      <c r="A235" s="158"/>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0.05</v>
      </c>
      <c r="R235" s="713">
        <f t="shared" si="51"/>
        <v>0</v>
      </c>
      <c r="S235" s="360">
        <f t="shared" si="52"/>
        <v>0</v>
      </c>
    </row>
    <row r="236" spans="1:19">
      <c r="A236" s="158"/>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0.05</v>
      </c>
      <c r="R236" s="713">
        <f t="shared" si="51"/>
        <v>0</v>
      </c>
      <c r="S236" s="360">
        <f t="shared" si="52"/>
        <v>0</v>
      </c>
    </row>
    <row r="237" spans="1:19">
      <c r="A237" s="158"/>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0.05</v>
      </c>
      <c r="R237" s="713">
        <f t="shared" si="51"/>
        <v>0</v>
      </c>
      <c r="S237" s="360">
        <f t="shared" si="52"/>
        <v>0</v>
      </c>
    </row>
    <row r="238" spans="1:19">
      <c r="A238" s="158"/>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0.05</v>
      </c>
      <c r="R238" s="713">
        <f t="shared" si="51"/>
        <v>0</v>
      </c>
      <c r="S238" s="360">
        <f t="shared" si="52"/>
        <v>0</v>
      </c>
    </row>
    <row r="239" spans="1:19">
      <c r="A239" s="158"/>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0.05</v>
      </c>
      <c r="R239" s="713">
        <f t="shared" si="51"/>
        <v>0</v>
      </c>
      <c r="S239" s="360">
        <f t="shared" si="52"/>
        <v>0</v>
      </c>
    </row>
    <row r="240" spans="1:19">
      <c r="A240" s="158"/>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0.05</v>
      </c>
      <c r="R240" s="713">
        <f t="shared" si="51"/>
        <v>0</v>
      </c>
      <c r="S240" s="360">
        <f t="shared" si="52"/>
        <v>0</v>
      </c>
    </row>
    <row r="241" spans="1:19">
      <c r="A241" s="158"/>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0.05</v>
      </c>
      <c r="R241" s="713">
        <f t="shared" si="51"/>
        <v>0</v>
      </c>
      <c r="S241" s="360">
        <f t="shared" si="52"/>
        <v>0</v>
      </c>
    </row>
    <row r="242" spans="1:19">
      <c r="A242" s="158"/>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0.05</v>
      </c>
      <c r="R242" s="713">
        <f t="shared" si="51"/>
        <v>0</v>
      </c>
      <c r="S242" s="360">
        <f t="shared" si="52"/>
        <v>0</v>
      </c>
    </row>
    <row r="243" spans="1:19">
      <c r="A243" s="158"/>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0.05</v>
      </c>
      <c r="R243" s="713">
        <f t="shared" si="51"/>
        <v>0</v>
      </c>
      <c r="S243" s="360">
        <f t="shared" si="52"/>
        <v>0</v>
      </c>
    </row>
    <row r="244" spans="1:19">
      <c r="A244" s="158"/>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0.05</v>
      </c>
      <c r="R244" s="713">
        <f t="shared" si="51"/>
        <v>0</v>
      </c>
      <c r="S244" s="360">
        <f t="shared" si="52"/>
        <v>0</v>
      </c>
    </row>
    <row r="245" spans="1:19">
      <c r="A245" s="158"/>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0.05</v>
      </c>
      <c r="R245" s="713">
        <f t="shared" si="51"/>
        <v>0</v>
      </c>
      <c r="S245" s="360">
        <f t="shared" si="52"/>
        <v>0</v>
      </c>
    </row>
    <row r="246" spans="1:19">
      <c r="A246" s="158"/>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0.05</v>
      </c>
      <c r="R246" s="713">
        <f t="shared" si="51"/>
        <v>0</v>
      </c>
      <c r="S246" s="360">
        <f t="shared" si="52"/>
        <v>0</v>
      </c>
    </row>
    <row r="247" spans="1:19">
      <c r="A247" s="158"/>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0.05</v>
      </c>
      <c r="R247" s="713">
        <f t="shared" si="51"/>
        <v>0</v>
      </c>
      <c r="S247" s="360">
        <f t="shared" si="52"/>
        <v>0</v>
      </c>
    </row>
    <row r="248" spans="1:19">
      <c r="A248" s="158"/>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0.05</v>
      </c>
      <c r="R248" s="713">
        <f t="shared" si="51"/>
        <v>0</v>
      </c>
      <c r="S248" s="360">
        <f t="shared" si="52"/>
        <v>0</v>
      </c>
    </row>
    <row r="249" spans="1:19">
      <c r="A249" s="158"/>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0.05</v>
      </c>
      <c r="R249" s="713">
        <f t="shared" si="51"/>
        <v>0</v>
      </c>
      <c r="S249" s="360">
        <f t="shared" si="52"/>
        <v>0</v>
      </c>
    </row>
    <row r="250" spans="1:19">
      <c r="A250" s="158"/>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0.05</v>
      </c>
      <c r="R250" s="713">
        <f t="shared" si="51"/>
        <v>0</v>
      </c>
      <c r="S250" s="360">
        <f t="shared" si="52"/>
        <v>0</v>
      </c>
    </row>
    <row r="251" spans="1:19">
      <c r="A251" s="158"/>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0.05</v>
      </c>
      <c r="R251" s="713">
        <f t="shared" si="51"/>
        <v>0</v>
      </c>
      <c r="S251" s="360">
        <f t="shared" si="52"/>
        <v>0</v>
      </c>
    </row>
    <row r="252" spans="1:19">
      <c r="A252" s="158"/>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0.05</v>
      </c>
      <c r="R252" s="713">
        <f t="shared" si="51"/>
        <v>0</v>
      </c>
      <c r="S252" s="360">
        <f t="shared" si="52"/>
        <v>0</v>
      </c>
    </row>
    <row r="253" spans="1:19">
      <c r="A253" s="158"/>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0.05</v>
      </c>
      <c r="R253" s="713">
        <f t="shared" si="51"/>
        <v>0</v>
      </c>
      <c r="S253" s="360">
        <f t="shared" si="52"/>
        <v>0</v>
      </c>
    </row>
    <row r="254" spans="1:19">
      <c r="A254" s="158"/>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0.05</v>
      </c>
      <c r="R254" s="713">
        <f t="shared" si="51"/>
        <v>0</v>
      </c>
      <c r="S254" s="360">
        <f t="shared" si="52"/>
        <v>0</v>
      </c>
    </row>
    <row r="255" spans="1:19">
      <c r="A255" s="158"/>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0.05</v>
      </c>
      <c r="R255" s="713">
        <f t="shared" si="51"/>
        <v>0</v>
      </c>
      <c r="S255" s="360">
        <f t="shared" si="52"/>
        <v>0</v>
      </c>
    </row>
    <row r="256" spans="1:19">
      <c r="A256" s="158"/>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0.05</v>
      </c>
      <c r="R256" s="713">
        <f t="shared" si="51"/>
        <v>0</v>
      </c>
      <c r="S256" s="360">
        <f t="shared" si="52"/>
        <v>0</v>
      </c>
    </row>
    <row r="257" spans="1:19">
      <c r="A257" s="158"/>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0.05</v>
      </c>
      <c r="R257" s="713">
        <f t="shared" si="51"/>
        <v>0</v>
      </c>
      <c r="S257" s="360">
        <f t="shared" si="52"/>
        <v>0</v>
      </c>
    </row>
    <row r="258" spans="1:19">
      <c r="A258" s="158"/>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0.05</v>
      </c>
      <c r="R258" s="713">
        <f t="shared" si="51"/>
        <v>0</v>
      </c>
      <c r="S258" s="360">
        <f t="shared" si="52"/>
        <v>0</v>
      </c>
    </row>
    <row r="259" spans="1:19">
      <c r="A259" s="158"/>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0.05</v>
      </c>
      <c r="R259" s="713">
        <f t="shared" si="51"/>
        <v>0</v>
      </c>
      <c r="S259" s="360">
        <f t="shared" si="52"/>
        <v>0</v>
      </c>
    </row>
    <row r="260" spans="1:19">
      <c r="A260" s="158"/>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0.05</v>
      </c>
      <c r="R260" s="713">
        <f t="shared" si="51"/>
        <v>0</v>
      </c>
      <c r="S260" s="360">
        <f t="shared" si="52"/>
        <v>0</v>
      </c>
    </row>
    <row r="261" spans="1:19">
      <c r="A261" s="158"/>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0.05</v>
      </c>
      <c r="R261" s="713">
        <f t="shared" si="51"/>
        <v>0</v>
      </c>
      <c r="S261" s="360">
        <f t="shared" si="52"/>
        <v>0</v>
      </c>
    </row>
    <row r="262" spans="1:19">
      <c r="A262" s="158"/>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0.05</v>
      </c>
      <c r="R262" s="713">
        <f t="shared" si="51"/>
        <v>0</v>
      </c>
      <c r="S262" s="360">
        <f t="shared" si="52"/>
        <v>0</v>
      </c>
    </row>
    <row r="263" spans="1:19">
      <c r="A263" s="158"/>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0.05</v>
      </c>
      <c r="R263" s="713">
        <f t="shared" si="51"/>
        <v>0</v>
      </c>
      <c r="S263" s="360">
        <f t="shared" si="52"/>
        <v>0</v>
      </c>
    </row>
    <row r="264" spans="1:19">
      <c r="A264" s="158"/>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0.05</v>
      </c>
      <c r="R264" s="713">
        <f t="shared" si="51"/>
        <v>0</v>
      </c>
      <c r="S264" s="360">
        <f t="shared" si="52"/>
        <v>0</v>
      </c>
    </row>
    <row r="265" spans="1:19">
      <c r="A265" s="158"/>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0.05</v>
      </c>
      <c r="R265" s="713">
        <f t="shared" si="51"/>
        <v>0</v>
      </c>
      <c r="S265" s="360">
        <f t="shared" si="52"/>
        <v>0</v>
      </c>
    </row>
    <row r="266" spans="1:19">
      <c r="A266" s="158"/>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0.05</v>
      </c>
      <c r="R266" s="713">
        <f t="shared" si="51"/>
        <v>0</v>
      </c>
      <c r="S266" s="360">
        <f t="shared" si="52"/>
        <v>0</v>
      </c>
    </row>
    <row r="267" spans="1:19">
      <c r="A267" s="158"/>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0.05</v>
      </c>
      <c r="R267" s="713">
        <f t="shared" si="51"/>
        <v>0</v>
      </c>
      <c r="S267" s="360">
        <f t="shared" si="52"/>
        <v>0</v>
      </c>
    </row>
    <row r="268" spans="1:19">
      <c r="A268" s="158"/>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0.05</v>
      </c>
      <c r="R268" s="713">
        <f t="shared" si="51"/>
        <v>0</v>
      </c>
      <c r="S268" s="360">
        <f t="shared" si="52"/>
        <v>0</v>
      </c>
    </row>
    <row r="269" spans="1:19">
      <c r="A269" s="158"/>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0.05</v>
      </c>
      <c r="R269" s="713">
        <f t="shared" si="51"/>
        <v>0</v>
      </c>
      <c r="S269" s="360">
        <f t="shared" si="52"/>
        <v>0</v>
      </c>
    </row>
    <row r="270" spans="1:19">
      <c r="A270" s="158"/>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0.05</v>
      </c>
      <c r="R270" s="713">
        <f t="shared" si="51"/>
        <v>0</v>
      </c>
      <c r="S270" s="360">
        <f t="shared" si="52"/>
        <v>0</v>
      </c>
    </row>
    <row r="271" spans="1:19">
      <c r="A271" s="158"/>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0.05</v>
      </c>
      <c r="R271" s="713">
        <f t="shared" si="51"/>
        <v>0</v>
      </c>
      <c r="S271" s="360">
        <f t="shared" si="52"/>
        <v>0</v>
      </c>
    </row>
    <row r="272" spans="1:19">
      <c r="A272" s="158"/>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0.05</v>
      </c>
      <c r="R272" s="713">
        <f t="shared" si="51"/>
        <v>0</v>
      </c>
      <c r="S272" s="360">
        <f t="shared" si="52"/>
        <v>0</v>
      </c>
    </row>
    <row r="273" spans="1:19">
      <c r="A273" s="158"/>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0.05</v>
      </c>
      <c r="R273" s="713">
        <f t="shared" si="51"/>
        <v>0</v>
      </c>
      <c r="S273" s="360">
        <f t="shared" si="52"/>
        <v>0</v>
      </c>
    </row>
    <row r="274" spans="1:19">
      <c r="A274" s="158"/>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0.05</v>
      </c>
      <c r="R274" s="713">
        <f t="shared" si="51"/>
        <v>0</v>
      </c>
      <c r="S274" s="360">
        <f t="shared" si="52"/>
        <v>0</v>
      </c>
    </row>
    <row r="275" spans="1:19">
      <c r="A275" s="158"/>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0.05</v>
      </c>
      <c r="R275" s="713">
        <f t="shared" si="51"/>
        <v>0</v>
      </c>
      <c r="S275" s="360">
        <f t="shared" si="52"/>
        <v>0</v>
      </c>
    </row>
    <row r="276" spans="1:19">
      <c r="A276" s="158"/>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0.05</v>
      </c>
      <c r="R276" s="713">
        <f t="shared" si="51"/>
        <v>0</v>
      </c>
      <c r="S276" s="360">
        <f t="shared" si="52"/>
        <v>0</v>
      </c>
    </row>
    <row r="277" spans="1:19">
      <c r="A277" s="158"/>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0.05</v>
      </c>
      <c r="R277" s="713">
        <f t="shared" si="51"/>
        <v>0</v>
      </c>
      <c r="S277" s="360">
        <f t="shared" si="52"/>
        <v>0</v>
      </c>
    </row>
    <row r="278" spans="1:19">
      <c r="A278" s="158"/>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0.05</v>
      </c>
      <c r="R278" s="713">
        <f t="shared" si="51"/>
        <v>0</v>
      </c>
      <c r="S278" s="360">
        <f t="shared" si="52"/>
        <v>0</v>
      </c>
    </row>
    <row r="279" spans="1:19">
      <c r="A279" s="158"/>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0.05</v>
      </c>
      <c r="R279" s="713">
        <f t="shared" si="51"/>
        <v>0</v>
      </c>
      <c r="S279" s="360">
        <f t="shared" si="52"/>
        <v>0</v>
      </c>
    </row>
    <row r="280" spans="1:19">
      <c r="A280" s="158"/>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0.05</v>
      </c>
      <c r="R280" s="713">
        <f t="shared" si="51"/>
        <v>0</v>
      </c>
      <c r="S280" s="360">
        <f t="shared" si="52"/>
        <v>0</v>
      </c>
    </row>
    <row r="281" spans="1:19">
      <c r="A281" s="158"/>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0.05</v>
      </c>
      <c r="R281" s="713">
        <f t="shared" si="51"/>
        <v>0</v>
      </c>
      <c r="S281" s="360">
        <f t="shared" si="52"/>
        <v>0</v>
      </c>
    </row>
    <row r="282" spans="1:19">
      <c r="A282" s="158"/>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0.05</v>
      </c>
      <c r="R282" s="713">
        <f t="shared" ref="R282:R345" si="61">IF(B282="",0,ROUND($R$24*C282*E282*G282*I282*K282*M282*O282*Q282,0))</f>
        <v>0</v>
      </c>
      <c r="S282" s="360">
        <f t="shared" si="52"/>
        <v>0</v>
      </c>
    </row>
    <row r="283" spans="1:19">
      <c r="A283" s="158"/>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0.05</v>
      </c>
      <c r="R283" s="713">
        <f t="shared" si="61"/>
        <v>0</v>
      </c>
      <c r="S283" s="360">
        <f t="shared" si="52"/>
        <v>0</v>
      </c>
    </row>
    <row r="284" spans="1:19">
      <c r="A284" s="158"/>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0.05</v>
      </c>
      <c r="R284" s="713">
        <f t="shared" si="61"/>
        <v>0</v>
      </c>
      <c r="S284" s="360">
        <f t="shared" si="52"/>
        <v>0</v>
      </c>
    </row>
    <row r="285" spans="1:19">
      <c r="A285" s="158"/>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0.05</v>
      </c>
      <c r="R285" s="713">
        <f t="shared" si="61"/>
        <v>0</v>
      </c>
      <c r="S285" s="360">
        <f t="shared" si="52"/>
        <v>0</v>
      </c>
    </row>
    <row r="286" spans="1:19">
      <c r="A286" s="158"/>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0.05</v>
      </c>
      <c r="R286" s="713">
        <f t="shared" si="61"/>
        <v>0</v>
      </c>
      <c r="S286" s="360">
        <f t="shared" si="52"/>
        <v>0</v>
      </c>
    </row>
    <row r="287" spans="1:19">
      <c r="A287" s="158"/>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0.05</v>
      </c>
      <c r="R287" s="713">
        <f t="shared" si="61"/>
        <v>0</v>
      </c>
      <c r="S287" s="360">
        <f t="shared" ref="S287:S320" si="62">ROUND(R287*B287/10000,0)</f>
        <v>0</v>
      </c>
    </row>
    <row r="288" spans="1:19">
      <c r="A288" s="158"/>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0.05</v>
      </c>
      <c r="R288" s="713">
        <f t="shared" si="61"/>
        <v>0</v>
      </c>
      <c r="S288" s="360">
        <f t="shared" si="62"/>
        <v>0</v>
      </c>
    </row>
    <row r="289" spans="1:19">
      <c r="A289" s="158"/>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0.05</v>
      </c>
      <c r="R289" s="713">
        <f t="shared" si="61"/>
        <v>0</v>
      </c>
      <c r="S289" s="360">
        <f t="shared" si="62"/>
        <v>0</v>
      </c>
    </row>
    <row r="290" spans="1:19">
      <c r="A290" s="158"/>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0.05</v>
      </c>
      <c r="R290" s="713">
        <f t="shared" si="61"/>
        <v>0</v>
      </c>
      <c r="S290" s="360">
        <f t="shared" si="62"/>
        <v>0</v>
      </c>
    </row>
    <row r="291" spans="1:19">
      <c r="A291" s="158"/>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0.05</v>
      </c>
      <c r="R291" s="713">
        <f t="shared" si="61"/>
        <v>0</v>
      </c>
      <c r="S291" s="360">
        <f t="shared" si="62"/>
        <v>0</v>
      </c>
    </row>
    <row r="292" spans="1:19">
      <c r="A292" s="158"/>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0.05</v>
      </c>
      <c r="R292" s="713">
        <f t="shared" si="61"/>
        <v>0</v>
      </c>
      <c r="S292" s="360">
        <f t="shared" si="62"/>
        <v>0</v>
      </c>
    </row>
    <row r="293" spans="1:19">
      <c r="A293" s="158"/>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0.05</v>
      </c>
      <c r="R293" s="713">
        <f t="shared" si="61"/>
        <v>0</v>
      </c>
      <c r="S293" s="360">
        <f t="shared" si="62"/>
        <v>0</v>
      </c>
    </row>
    <row r="294" spans="1:19">
      <c r="A294" s="158"/>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0.05</v>
      </c>
      <c r="R294" s="713">
        <f t="shared" si="61"/>
        <v>0</v>
      </c>
      <c r="S294" s="360">
        <f t="shared" si="62"/>
        <v>0</v>
      </c>
    </row>
    <row r="295" spans="1:19">
      <c r="A295" s="158"/>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0.05</v>
      </c>
      <c r="R295" s="713">
        <f t="shared" si="61"/>
        <v>0</v>
      </c>
      <c r="S295" s="360">
        <f t="shared" si="62"/>
        <v>0</v>
      </c>
    </row>
    <row r="296" spans="1:19">
      <c r="A296" s="158"/>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0.05</v>
      </c>
      <c r="R296" s="713">
        <f t="shared" si="61"/>
        <v>0</v>
      </c>
      <c r="S296" s="360">
        <f t="shared" si="62"/>
        <v>0</v>
      </c>
    </row>
    <row r="297" spans="1:19">
      <c r="A297" s="158"/>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0.05</v>
      </c>
      <c r="R297" s="713">
        <f t="shared" si="61"/>
        <v>0</v>
      </c>
      <c r="S297" s="360">
        <f t="shared" si="62"/>
        <v>0</v>
      </c>
    </row>
    <row r="298" spans="1:19">
      <c r="A298" s="158"/>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0.05</v>
      </c>
      <c r="R298" s="713">
        <f t="shared" si="61"/>
        <v>0</v>
      </c>
      <c r="S298" s="360">
        <f t="shared" si="62"/>
        <v>0</v>
      </c>
    </row>
    <row r="299" spans="1:19">
      <c r="A299" s="158"/>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0.05</v>
      </c>
      <c r="R299" s="713">
        <f t="shared" si="61"/>
        <v>0</v>
      </c>
      <c r="S299" s="360">
        <f t="shared" si="62"/>
        <v>0</v>
      </c>
    </row>
    <row r="300" spans="1:19">
      <c r="A300" s="158"/>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0.05</v>
      </c>
      <c r="R300" s="713">
        <f t="shared" si="61"/>
        <v>0</v>
      </c>
      <c r="S300" s="360">
        <f t="shared" si="62"/>
        <v>0</v>
      </c>
    </row>
    <row r="301" spans="1:19">
      <c r="A301" s="158"/>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0.05</v>
      </c>
      <c r="R301" s="713">
        <f t="shared" si="61"/>
        <v>0</v>
      </c>
      <c r="S301" s="360">
        <f t="shared" si="62"/>
        <v>0</v>
      </c>
    </row>
    <row r="302" spans="1:19">
      <c r="A302" s="158"/>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0.05</v>
      </c>
      <c r="R302" s="713">
        <f t="shared" si="61"/>
        <v>0</v>
      </c>
      <c r="S302" s="360">
        <f t="shared" si="62"/>
        <v>0</v>
      </c>
    </row>
    <row r="303" spans="1:19">
      <c r="A303" s="158"/>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0.05</v>
      </c>
      <c r="R303" s="713">
        <f t="shared" si="61"/>
        <v>0</v>
      </c>
      <c r="S303" s="360">
        <f t="shared" si="62"/>
        <v>0</v>
      </c>
    </row>
    <row r="304" spans="1:19">
      <c r="A304" s="158"/>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0.05</v>
      </c>
      <c r="R304" s="713">
        <f t="shared" si="61"/>
        <v>0</v>
      </c>
      <c r="S304" s="360">
        <f t="shared" si="62"/>
        <v>0</v>
      </c>
    </row>
    <row r="305" spans="1:19">
      <c r="A305" s="158"/>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0.05</v>
      </c>
      <c r="R305" s="713">
        <f t="shared" si="61"/>
        <v>0</v>
      </c>
      <c r="S305" s="360">
        <f t="shared" si="62"/>
        <v>0</v>
      </c>
    </row>
    <row r="306" spans="1:19">
      <c r="A306" s="158"/>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0.05</v>
      </c>
      <c r="R306" s="713">
        <f t="shared" si="61"/>
        <v>0</v>
      </c>
      <c r="S306" s="360">
        <f t="shared" si="62"/>
        <v>0</v>
      </c>
    </row>
    <row r="307" spans="1:19">
      <c r="A307" s="158"/>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0.05</v>
      </c>
      <c r="R307" s="713">
        <f t="shared" si="61"/>
        <v>0</v>
      </c>
      <c r="S307" s="360">
        <f t="shared" si="62"/>
        <v>0</v>
      </c>
    </row>
    <row r="308" spans="1:19">
      <c r="A308" s="158"/>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0.05</v>
      </c>
      <c r="R308" s="713">
        <f t="shared" si="61"/>
        <v>0</v>
      </c>
      <c r="S308" s="360">
        <f t="shared" si="62"/>
        <v>0</v>
      </c>
    </row>
    <row r="309" spans="1:19">
      <c r="A309" s="158"/>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0.05</v>
      </c>
      <c r="R309" s="713">
        <f t="shared" si="61"/>
        <v>0</v>
      </c>
      <c r="S309" s="360">
        <f t="shared" si="62"/>
        <v>0</v>
      </c>
    </row>
    <row r="310" spans="1:19">
      <c r="A310" s="158"/>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0.05</v>
      </c>
      <c r="R310" s="713">
        <f t="shared" si="61"/>
        <v>0</v>
      </c>
      <c r="S310" s="360">
        <f t="shared" si="62"/>
        <v>0</v>
      </c>
    </row>
    <row r="311" spans="1:19">
      <c r="A311" s="158"/>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0.05</v>
      </c>
      <c r="R311" s="713">
        <f t="shared" si="61"/>
        <v>0</v>
      </c>
      <c r="S311" s="360">
        <f t="shared" si="62"/>
        <v>0</v>
      </c>
    </row>
    <row r="312" spans="1:19">
      <c r="A312" s="158"/>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0.05</v>
      </c>
      <c r="R312" s="713">
        <f t="shared" si="61"/>
        <v>0</v>
      </c>
      <c r="S312" s="360">
        <f t="shared" si="62"/>
        <v>0</v>
      </c>
    </row>
    <row r="313" spans="1:19">
      <c r="A313" s="158"/>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0.05</v>
      </c>
      <c r="R313" s="713">
        <f t="shared" si="61"/>
        <v>0</v>
      </c>
      <c r="S313" s="360">
        <f t="shared" si="62"/>
        <v>0</v>
      </c>
    </row>
    <row r="314" spans="1:19">
      <c r="A314" s="158"/>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0.05</v>
      </c>
      <c r="R314" s="713">
        <f t="shared" si="61"/>
        <v>0</v>
      </c>
      <c r="S314" s="360">
        <f t="shared" si="62"/>
        <v>0</v>
      </c>
    </row>
    <row r="315" spans="1:19">
      <c r="A315" s="158"/>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0.05</v>
      </c>
      <c r="R315" s="713">
        <f t="shared" si="61"/>
        <v>0</v>
      </c>
      <c r="S315" s="360">
        <f t="shared" si="62"/>
        <v>0</v>
      </c>
    </row>
    <row r="316" spans="1:19">
      <c r="A316" s="158"/>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0.05</v>
      </c>
      <c r="R316" s="713">
        <f t="shared" si="61"/>
        <v>0</v>
      </c>
      <c r="S316" s="360">
        <f t="shared" si="62"/>
        <v>0</v>
      </c>
    </row>
    <row r="317" spans="1:19">
      <c r="A317" s="158"/>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0.05</v>
      </c>
      <c r="R317" s="713">
        <f t="shared" si="61"/>
        <v>0</v>
      </c>
      <c r="S317" s="360">
        <f t="shared" si="62"/>
        <v>0</v>
      </c>
    </row>
    <row r="318" spans="1:19">
      <c r="A318" s="158"/>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0.05</v>
      </c>
      <c r="R318" s="713">
        <f t="shared" si="61"/>
        <v>0</v>
      </c>
      <c r="S318" s="360">
        <f t="shared" si="62"/>
        <v>0</v>
      </c>
    </row>
    <row r="319" spans="1:19">
      <c r="A319" s="158"/>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0.05</v>
      </c>
      <c r="R319" s="713">
        <f t="shared" si="61"/>
        <v>0</v>
      </c>
      <c r="S319" s="360">
        <f t="shared" si="62"/>
        <v>0</v>
      </c>
    </row>
    <row r="320" spans="1:19">
      <c r="A320" s="158"/>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0.05</v>
      </c>
      <c r="R320" s="713">
        <f t="shared" si="61"/>
        <v>0</v>
      </c>
      <c r="S320" s="360">
        <f t="shared" si="62"/>
        <v>0</v>
      </c>
    </row>
    <row r="321" spans="1:19">
      <c r="A321" s="158"/>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0.05</v>
      </c>
      <c r="R321" s="713">
        <f t="shared" si="61"/>
        <v>0</v>
      </c>
      <c r="S321" s="360">
        <f t="shared" ref="S321:S384" si="63">ROUND(R321*B321/10000,0)</f>
        <v>0</v>
      </c>
    </row>
    <row r="322" spans="1:19">
      <c r="A322" s="158"/>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0.05</v>
      </c>
      <c r="R322" s="713">
        <f t="shared" si="61"/>
        <v>0</v>
      </c>
      <c r="S322" s="360">
        <f t="shared" si="63"/>
        <v>0</v>
      </c>
    </row>
    <row r="323" spans="1:19">
      <c r="A323" s="158"/>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0.05</v>
      </c>
      <c r="R323" s="713">
        <f t="shared" si="61"/>
        <v>0</v>
      </c>
      <c r="S323" s="360">
        <f t="shared" si="63"/>
        <v>0</v>
      </c>
    </row>
    <row r="324" spans="1:19">
      <c r="A324" s="158"/>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0.05</v>
      </c>
      <c r="R324" s="713">
        <f t="shared" si="61"/>
        <v>0</v>
      </c>
      <c r="S324" s="360">
        <f t="shared" si="63"/>
        <v>0</v>
      </c>
    </row>
    <row r="325" spans="1:19">
      <c r="A325" s="158"/>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0.05</v>
      </c>
      <c r="R325" s="713">
        <f t="shared" si="61"/>
        <v>0</v>
      </c>
      <c r="S325" s="360">
        <f t="shared" si="63"/>
        <v>0</v>
      </c>
    </row>
    <row r="326" spans="1:19">
      <c r="A326" s="158"/>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0.05</v>
      </c>
      <c r="R326" s="713">
        <f t="shared" si="61"/>
        <v>0</v>
      </c>
      <c r="S326" s="360">
        <f t="shared" si="63"/>
        <v>0</v>
      </c>
    </row>
    <row r="327" spans="1:19">
      <c r="A327" s="158"/>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0.05</v>
      </c>
      <c r="R327" s="713">
        <f t="shared" si="61"/>
        <v>0</v>
      </c>
      <c r="S327" s="360">
        <f t="shared" si="63"/>
        <v>0</v>
      </c>
    </row>
    <row r="328" spans="1:19">
      <c r="A328" s="158"/>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0.05</v>
      </c>
      <c r="R328" s="713">
        <f t="shared" si="61"/>
        <v>0</v>
      </c>
      <c r="S328" s="360">
        <f t="shared" si="63"/>
        <v>0</v>
      </c>
    </row>
    <row r="329" spans="1:19">
      <c r="A329" s="158"/>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0.05</v>
      </c>
      <c r="R329" s="713">
        <f t="shared" si="61"/>
        <v>0</v>
      </c>
      <c r="S329" s="360">
        <f t="shared" si="63"/>
        <v>0</v>
      </c>
    </row>
    <row r="330" spans="1:19">
      <c r="A330" s="158"/>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0.05</v>
      </c>
      <c r="R330" s="713">
        <f t="shared" si="61"/>
        <v>0</v>
      </c>
      <c r="S330" s="360">
        <f t="shared" si="63"/>
        <v>0</v>
      </c>
    </row>
    <row r="331" spans="1:19">
      <c r="A331" s="158"/>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0.05</v>
      </c>
      <c r="R331" s="713">
        <f t="shared" si="61"/>
        <v>0</v>
      </c>
      <c r="S331" s="360">
        <f t="shared" si="63"/>
        <v>0</v>
      </c>
    </row>
    <row r="332" spans="1:19">
      <c r="A332" s="158"/>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0.05</v>
      </c>
      <c r="R332" s="713">
        <f t="shared" si="61"/>
        <v>0</v>
      </c>
      <c r="S332" s="360">
        <f t="shared" si="63"/>
        <v>0</v>
      </c>
    </row>
    <row r="333" spans="1:19">
      <c r="A333" s="158"/>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0.05</v>
      </c>
      <c r="R333" s="713">
        <f t="shared" si="61"/>
        <v>0</v>
      </c>
      <c r="S333" s="360">
        <f t="shared" si="63"/>
        <v>0</v>
      </c>
    </row>
    <row r="334" spans="1:19">
      <c r="A334" s="158"/>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0.05</v>
      </c>
      <c r="R334" s="713">
        <f t="shared" si="61"/>
        <v>0</v>
      </c>
      <c r="S334" s="360">
        <f t="shared" si="63"/>
        <v>0</v>
      </c>
    </row>
    <row r="335" spans="1:19">
      <c r="A335" s="158"/>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0.05</v>
      </c>
      <c r="R335" s="713">
        <f t="shared" si="61"/>
        <v>0</v>
      </c>
      <c r="S335" s="360">
        <f t="shared" si="63"/>
        <v>0</v>
      </c>
    </row>
    <row r="336" spans="1:19">
      <c r="A336" s="158"/>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0.05</v>
      </c>
      <c r="R336" s="713">
        <f t="shared" si="61"/>
        <v>0</v>
      </c>
      <c r="S336" s="360">
        <f t="shared" si="63"/>
        <v>0</v>
      </c>
    </row>
    <row r="337" spans="1:19">
      <c r="A337" s="158"/>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0.05</v>
      </c>
      <c r="R337" s="713">
        <f t="shared" si="61"/>
        <v>0</v>
      </c>
      <c r="S337" s="360">
        <f t="shared" si="63"/>
        <v>0</v>
      </c>
    </row>
    <row r="338" spans="1:19">
      <c r="A338" s="158"/>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0.05</v>
      </c>
      <c r="R338" s="713">
        <f t="shared" si="61"/>
        <v>0</v>
      </c>
      <c r="S338" s="360">
        <f t="shared" si="63"/>
        <v>0</v>
      </c>
    </row>
    <row r="339" spans="1:19">
      <c r="A339" s="158"/>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0.05</v>
      </c>
      <c r="R339" s="713">
        <f t="shared" si="61"/>
        <v>0</v>
      </c>
      <c r="S339" s="360">
        <f t="shared" si="63"/>
        <v>0</v>
      </c>
    </row>
    <row r="340" spans="1:19">
      <c r="A340" s="158"/>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0.05</v>
      </c>
      <c r="R340" s="713">
        <f t="shared" si="61"/>
        <v>0</v>
      </c>
      <c r="S340" s="360">
        <f t="shared" si="63"/>
        <v>0</v>
      </c>
    </row>
    <row r="341" spans="1:19">
      <c r="A341" s="158"/>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0.05</v>
      </c>
      <c r="R341" s="713">
        <f t="shared" si="61"/>
        <v>0</v>
      </c>
      <c r="S341" s="360">
        <f t="shared" si="63"/>
        <v>0</v>
      </c>
    </row>
    <row r="342" spans="1:19">
      <c r="A342" s="158"/>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0.05</v>
      </c>
      <c r="R342" s="713">
        <f t="shared" si="61"/>
        <v>0</v>
      </c>
      <c r="S342" s="360">
        <f t="shared" si="63"/>
        <v>0</v>
      </c>
    </row>
    <row r="343" spans="1:19">
      <c r="A343" s="158"/>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0.05</v>
      </c>
      <c r="R343" s="713">
        <f t="shared" si="61"/>
        <v>0</v>
      </c>
      <c r="S343" s="360">
        <f t="shared" si="63"/>
        <v>0</v>
      </c>
    </row>
    <row r="344" spans="1:19">
      <c r="A344" s="158"/>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0.05</v>
      </c>
      <c r="R344" s="713">
        <f t="shared" si="61"/>
        <v>0</v>
      </c>
      <c r="S344" s="360">
        <f t="shared" si="63"/>
        <v>0</v>
      </c>
    </row>
    <row r="345" spans="1:19">
      <c r="A345" s="158"/>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0.05</v>
      </c>
      <c r="R345" s="713">
        <f t="shared" si="61"/>
        <v>0</v>
      </c>
      <c r="S345" s="360">
        <f t="shared" si="63"/>
        <v>0</v>
      </c>
    </row>
    <row r="346" spans="1:19">
      <c r="A346" s="158"/>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0.05</v>
      </c>
      <c r="R346" s="713">
        <f t="shared" ref="R346:R409" si="72">IF(B346="",0,ROUND($R$24*C346*E346*G346*I346*K346*M346*O346*Q346,0))</f>
        <v>0</v>
      </c>
      <c r="S346" s="360">
        <f t="shared" si="63"/>
        <v>0</v>
      </c>
    </row>
    <row r="347" spans="1:19">
      <c r="A347" s="158"/>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0.05</v>
      </c>
      <c r="R347" s="713">
        <f t="shared" si="72"/>
        <v>0</v>
      </c>
      <c r="S347" s="360">
        <f t="shared" si="63"/>
        <v>0</v>
      </c>
    </row>
    <row r="348" spans="1:19">
      <c r="A348" s="158"/>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0.05</v>
      </c>
      <c r="R348" s="713">
        <f t="shared" si="72"/>
        <v>0</v>
      </c>
      <c r="S348" s="360">
        <f t="shared" si="63"/>
        <v>0</v>
      </c>
    </row>
    <row r="349" spans="1:19">
      <c r="A349" s="158"/>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0.05</v>
      </c>
      <c r="R349" s="713">
        <f t="shared" si="72"/>
        <v>0</v>
      </c>
      <c r="S349" s="360">
        <f t="shared" si="63"/>
        <v>0</v>
      </c>
    </row>
    <row r="350" spans="1:19">
      <c r="A350" s="158"/>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0.05</v>
      </c>
      <c r="R350" s="713">
        <f t="shared" si="72"/>
        <v>0</v>
      </c>
      <c r="S350" s="360">
        <f t="shared" si="63"/>
        <v>0</v>
      </c>
    </row>
    <row r="351" spans="1:19">
      <c r="A351" s="158"/>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0.05</v>
      </c>
      <c r="R351" s="713">
        <f t="shared" si="72"/>
        <v>0</v>
      </c>
      <c r="S351" s="360">
        <f t="shared" si="63"/>
        <v>0</v>
      </c>
    </row>
    <row r="352" spans="1:19">
      <c r="A352" s="158"/>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0.05</v>
      </c>
      <c r="R352" s="713">
        <f t="shared" si="72"/>
        <v>0</v>
      </c>
      <c r="S352" s="360">
        <f t="shared" si="63"/>
        <v>0</v>
      </c>
    </row>
    <row r="353" spans="1:19">
      <c r="A353" s="158"/>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0.05</v>
      </c>
      <c r="R353" s="713">
        <f t="shared" si="72"/>
        <v>0</v>
      </c>
      <c r="S353" s="360">
        <f t="shared" si="63"/>
        <v>0</v>
      </c>
    </row>
    <row r="354" spans="1:19">
      <c r="A354" s="158"/>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0.05</v>
      </c>
      <c r="R354" s="713">
        <f t="shared" si="72"/>
        <v>0</v>
      </c>
      <c r="S354" s="360">
        <f t="shared" si="63"/>
        <v>0</v>
      </c>
    </row>
    <row r="355" spans="1:19">
      <c r="A355" s="158"/>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0.05</v>
      </c>
      <c r="R355" s="713">
        <f t="shared" si="72"/>
        <v>0</v>
      </c>
      <c r="S355" s="360">
        <f t="shared" si="63"/>
        <v>0</v>
      </c>
    </row>
    <row r="356" spans="1:19">
      <c r="A356" s="158"/>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0.05</v>
      </c>
      <c r="R356" s="713">
        <f t="shared" si="72"/>
        <v>0</v>
      </c>
      <c r="S356" s="360">
        <f t="shared" si="63"/>
        <v>0</v>
      </c>
    </row>
    <row r="357" spans="1:19">
      <c r="A357" s="158"/>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0.05</v>
      </c>
      <c r="R357" s="713">
        <f t="shared" si="72"/>
        <v>0</v>
      </c>
      <c r="S357" s="360">
        <f t="shared" si="63"/>
        <v>0</v>
      </c>
    </row>
    <row r="358" spans="1:19">
      <c r="A358" s="158"/>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0.05</v>
      </c>
      <c r="R358" s="713">
        <f t="shared" si="72"/>
        <v>0</v>
      </c>
      <c r="S358" s="360">
        <f t="shared" si="63"/>
        <v>0</v>
      </c>
    </row>
    <row r="359" spans="1:19">
      <c r="A359" s="158"/>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0.05</v>
      </c>
      <c r="R359" s="713">
        <f t="shared" si="72"/>
        <v>0</v>
      </c>
      <c r="S359" s="360">
        <f t="shared" si="63"/>
        <v>0</v>
      </c>
    </row>
    <row r="360" spans="1:19">
      <c r="A360" s="158"/>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0.05</v>
      </c>
      <c r="R360" s="713">
        <f t="shared" si="72"/>
        <v>0</v>
      </c>
      <c r="S360" s="360">
        <f t="shared" si="63"/>
        <v>0</v>
      </c>
    </row>
    <row r="361" spans="1:19">
      <c r="A361" s="158"/>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0.05</v>
      </c>
      <c r="R361" s="713">
        <f t="shared" si="72"/>
        <v>0</v>
      </c>
      <c r="S361" s="360">
        <f t="shared" si="63"/>
        <v>0</v>
      </c>
    </row>
    <row r="362" spans="1:19">
      <c r="A362" s="158"/>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0.05</v>
      </c>
      <c r="R362" s="713">
        <f t="shared" si="72"/>
        <v>0</v>
      </c>
      <c r="S362" s="360">
        <f t="shared" si="63"/>
        <v>0</v>
      </c>
    </row>
    <row r="363" spans="1:19">
      <c r="A363" s="158"/>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0.05</v>
      </c>
      <c r="R363" s="713">
        <f t="shared" si="72"/>
        <v>0</v>
      </c>
      <c r="S363" s="360">
        <f t="shared" si="63"/>
        <v>0</v>
      </c>
    </row>
    <row r="364" spans="1:19">
      <c r="A364" s="158"/>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0.05</v>
      </c>
      <c r="R364" s="713">
        <f t="shared" si="72"/>
        <v>0</v>
      </c>
      <c r="S364" s="360">
        <f t="shared" si="63"/>
        <v>0</v>
      </c>
    </row>
    <row r="365" spans="1:19">
      <c r="A365" s="158"/>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0.05</v>
      </c>
      <c r="R365" s="713">
        <f t="shared" si="72"/>
        <v>0</v>
      </c>
      <c r="S365" s="360">
        <f t="shared" si="63"/>
        <v>0</v>
      </c>
    </row>
    <row r="366" spans="1:19">
      <c r="A366" s="158"/>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0.05</v>
      </c>
      <c r="R366" s="713">
        <f t="shared" si="72"/>
        <v>0</v>
      </c>
      <c r="S366" s="360">
        <f t="shared" si="63"/>
        <v>0</v>
      </c>
    </row>
    <row r="367" spans="1:19">
      <c r="A367" s="158"/>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0.05</v>
      </c>
      <c r="R367" s="713">
        <f t="shared" si="72"/>
        <v>0</v>
      </c>
      <c r="S367" s="360">
        <f t="shared" si="63"/>
        <v>0</v>
      </c>
    </row>
    <row r="368" spans="1:19">
      <c r="A368" s="158"/>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0.05</v>
      </c>
      <c r="R368" s="713">
        <f t="shared" si="72"/>
        <v>0</v>
      </c>
      <c r="S368" s="360">
        <f t="shared" si="63"/>
        <v>0</v>
      </c>
    </row>
    <row r="369" spans="1:19">
      <c r="A369" s="158"/>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0.05</v>
      </c>
      <c r="R369" s="713">
        <f t="shared" si="72"/>
        <v>0</v>
      </c>
      <c r="S369" s="360">
        <f t="shared" si="63"/>
        <v>0</v>
      </c>
    </row>
    <row r="370" spans="1:19">
      <c r="A370" s="158"/>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0.05</v>
      </c>
      <c r="R370" s="713">
        <f t="shared" si="72"/>
        <v>0</v>
      </c>
      <c r="S370" s="360">
        <f t="shared" si="63"/>
        <v>0</v>
      </c>
    </row>
    <row r="371" spans="1:19">
      <c r="A371" s="158"/>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0.05</v>
      </c>
      <c r="R371" s="713">
        <f t="shared" si="72"/>
        <v>0</v>
      </c>
      <c r="S371" s="360">
        <f t="shared" si="63"/>
        <v>0</v>
      </c>
    </row>
    <row r="372" spans="1:19">
      <c r="A372" s="158"/>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0.05</v>
      </c>
      <c r="R372" s="713">
        <f t="shared" si="72"/>
        <v>0</v>
      </c>
      <c r="S372" s="360">
        <f t="shared" si="63"/>
        <v>0</v>
      </c>
    </row>
    <row r="373" spans="1:19">
      <c r="A373" s="158"/>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0.05</v>
      </c>
      <c r="R373" s="713">
        <f t="shared" si="72"/>
        <v>0</v>
      </c>
      <c r="S373" s="360">
        <f t="shared" si="63"/>
        <v>0</v>
      </c>
    </row>
    <row r="374" spans="1:19">
      <c r="A374" s="158"/>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0.05</v>
      </c>
      <c r="R374" s="713">
        <f t="shared" si="72"/>
        <v>0</v>
      </c>
      <c r="S374" s="360">
        <f t="shared" si="63"/>
        <v>0</v>
      </c>
    </row>
    <row r="375" spans="1:19">
      <c r="A375" s="158"/>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0.05</v>
      </c>
      <c r="R375" s="713">
        <f t="shared" si="72"/>
        <v>0</v>
      </c>
      <c r="S375" s="360">
        <f t="shared" si="63"/>
        <v>0</v>
      </c>
    </row>
    <row r="376" spans="1:19">
      <c r="A376" s="158"/>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0.05</v>
      </c>
      <c r="R376" s="713">
        <f t="shared" si="72"/>
        <v>0</v>
      </c>
      <c r="S376" s="360">
        <f t="shared" si="63"/>
        <v>0</v>
      </c>
    </row>
    <row r="377" spans="1:19">
      <c r="A377" s="158"/>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0.05</v>
      </c>
      <c r="R377" s="713">
        <f t="shared" si="72"/>
        <v>0</v>
      </c>
      <c r="S377" s="360">
        <f t="shared" si="63"/>
        <v>0</v>
      </c>
    </row>
    <row r="378" spans="1:19">
      <c r="A378" s="158"/>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0.05</v>
      </c>
      <c r="R378" s="713">
        <f t="shared" si="72"/>
        <v>0</v>
      </c>
      <c r="S378" s="360">
        <f t="shared" si="63"/>
        <v>0</v>
      </c>
    </row>
    <row r="379" spans="1:19">
      <c r="A379" s="158"/>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0.05</v>
      </c>
      <c r="R379" s="713">
        <f t="shared" si="72"/>
        <v>0</v>
      </c>
      <c r="S379" s="360">
        <f t="shared" si="63"/>
        <v>0</v>
      </c>
    </row>
    <row r="380" spans="1:19">
      <c r="A380" s="158"/>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0.05</v>
      </c>
      <c r="R380" s="713">
        <f t="shared" si="72"/>
        <v>0</v>
      </c>
      <c r="S380" s="360">
        <f t="shared" si="63"/>
        <v>0</v>
      </c>
    </row>
    <row r="381" spans="1:19">
      <c r="A381" s="158"/>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0.05</v>
      </c>
      <c r="R381" s="713">
        <f t="shared" si="72"/>
        <v>0</v>
      </c>
      <c r="S381" s="360">
        <f t="shared" si="63"/>
        <v>0</v>
      </c>
    </row>
    <row r="382" spans="1:19">
      <c r="A382" s="158"/>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0.05</v>
      </c>
      <c r="R382" s="713">
        <f t="shared" si="72"/>
        <v>0</v>
      </c>
      <c r="S382" s="360">
        <f t="shared" si="63"/>
        <v>0</v>
      </c>
    </row>
    <row r="383" spans="1:19">
      <c r="A383" s="158"/>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0.05</v>
      </c>
      <c r="R383" s="713">
        <f t="shared" si="72"/>
        <v>0</v>
      </c>
      <c r="S383" s="360">
        <f t="shared" si="63"/>
        <v>0</v>
      </c>
    </row>
    <row r="384" spans="1:19">
      <c r="A384" s="158"/>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0.05</v>
      </c>
      <c r="R384" s="713">
        <f t="shared" si="72"/>
        <v>0</v>
      </c>
      <c r="S384" s="360">
        <f t="shared" si="63"/>
        <v>0</v>
      </c>
    </row>
    <row r="385" spans="1:19">
      <c r="A385" s="158"/>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0.05</v>
      </c>
      <c r="R385" s="713">
        <f t="shared" si="72"/>
        <v>0</v>
      </c>
      <c r="S385" s="360">
        <f t="shared" ref="S385:S422" si="73">ROUND(R385*B385/10000,0)</f>
        <v>0</v>
      </c>
    </row>
    <row r="386" spans="1:19">
      <c r="A386" s="158"/>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0.05</v>
      </c>
      <c r="R386" s="713">
        <f t="shared" si="72"/>
        <v>0</v>
      </c>
      <c r="S386" s="360">
        <f t="shared" si="73"/>
        <v>0</v>
      </c>
    </row>
    <row r="387" spans="1:19">
      <c r="A387" s="158"/>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0.05</v>
      </c>
      <c r="R387" s="713">
        <f t="shared" si="72"/>
        <v>0</v>
      </c>
      <c r="S387" s="360">
        <f t="shared" si="73"/>
        <v>0</v>
      </c>
    </row>
    <row r="388" spans="1:19">
      <c r="A388" s="158"/>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0.05</v>
      </c>
      <c r="R388" s="713">
        <f t="shared" si="72"/>
        <v>0</v>
      </c>
      <c r="S388" s="360">
        <f t="shared" si="73"/>
        <v>0</v>
      </c>
    </row>
    <row r="389" spans="1:19">
      <c r="A389" s="158"/>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0.05</v>
      </c>
      <c r="R389" s="713">
        <f t="shared" si="72"/>
        <v>0</v>
      </c>
      <c r="S389" s="360">
        <f t="shared" si="73"/>
        <v>0</v>
      </c>
    </row>
    <row r="390" spans="1:19">
      <c r="A390" s="158"/>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0.05</v>
      </c>
      <c r="R390" s="713">
        <f t="shared" si="72"/>
        <v>0</v>
      </c>
      <c r="S390" s="360">
        <f t="shared" si="73"/>
        <v>0</v>
      </c>
    </row>
    <row r="391" spans="1:19">
      <c r="A391" s="158"/>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0.05</v>
      </c>
      <c r="R391" s="713">
        <f t="shared" si="72"/>
        <v>0</v>
      </c>
      <c r="S391" s="360">
        <f t="shared" si="73"/>
        <v>0</v>
      </c>
    </row>
    <row r="392" spans="1:19">
      <c r="A392" s="158"/>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0.05</v>
      </c>
      <c r="R392" s="713">
        <f t="shared" si="72"/>
        <v>0</v>
      </c>
      <c r="S392" s="360">
        <f t="shared" si="73"/>
        <v>0</v>
      </c>
    </row>
    <row r="393" spans="1:19">
      <c r="A393" s="158"/>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0.05</v>
      </c>
      <c r="R393" s="713">
        <f t="shared" si="72"/>
        <v>0</v>
      </c>
      <c r="S393" s="360">
        <f t="shared" si="73"/>
        <v>0</v>
      </c>
    </row>
    <row r="394" spans="1:19">
      <c r="A394" s="158"/>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0.05</v>
      </c>
      <c r="R394" s="713">
        <f t="shared" si="72"/>
        <v>0</v>
      </c>
      <c r="S394" s="360">
        <f t="shared" si="73"/>
        <v>0</v>
      </c>
    </row>
    <row r="395" spans="1:19">
      <c r="A395" s="158"/>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0.05</v>
      </c>
      <c r="R395" s="713">
        <f t="shared" si="72"/>
        <v>0</v>
      </c>
      <c r="S395" s="360">
        <f t="shared" si="73"/>
        <v>0</v>
      </c>
    </row>
    <row r="396" spans="1:19">
      <c r="A396" s="158"/>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0.05</v>
      </c>
      <c r="R396" s="713">
        <f t="shared" si="72"/>
        <v>0</v>
      </c>
      <c r="S396" s="360">
        <f t="shared" si="73"/>
        <v>0</v>
      </c>
    </row>
    <row r="397" spans="1:19">
      <c r="A397" s="158"/>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0.05</v>
      </c>
      <c r="R397" s="713">
        <f t="shared" si="72"/>
        <v>0</v>
      </c>
      <c r="S397" s="360">
        <f t="shared" si="73"/>
        <v>0</v>
      </c>
    </row>
    <row r="398" spans="1:19">
      <c r="A398" s="158"/>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0.05</v>
      </c>
      <c r="R398" s="713">
        <f t="shared" si="72"/>
        <v>0</v>
      </c>
      <c r="S398" s="360">
        <f t="shared" si="73"/>
        <v>0</v>
      </c>
    </row>
    <row r="399" spans="1:19">
      <c r="A399" s="158"/>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0.05</v>
      </c>
      <c r="R399" s="713">
        <f t="shared" si="72"/>
        <v>0</v>
      </c>
      <c r="S399" s="360">
        <f t="shared" si="73"/>
        <v>0</v>
      </c>
    </row>
    <row r="400" spans="1:19">
      <c r="A400" s="158"/>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0.05</v>
      </c>
      <c r="R400" s="713">
        <f t="shared" si="72"/>
        <v>0</v>
      </c>
      <c r="S400" s="360">
        <f t="shared" si="73"/>
        <v>0</v>
      </c>
    </row>
    <row r="401" spans="1:19">
      <c r="A401" s="158"/>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0.05</v>
      </c>
      <c r="R401" s="713">
        <f t="shared" si="72"/>
        <v>0</v>
      </c>
      <c r="S401" s="360">
        <f t="shared" si="73"/>
        <v>0</v>
      </c>
    </row>
    <row r="402" spans="1:19">
      <c r="A402" s="158"/>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0.05</v>
      </c>
      <c r="R402" s="713">
        <f t="shared" si="72"/>
        <v>0</v>
      </c>
      <c r="S402" s="360">
        <f t="shared" si="73"/>
        <v>0</v>
      </c>
    </row>
    <row r="403" spans="1:19">
      <c r="A403" s="158"/>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0.05</v>
      </c>
      <c r="R403" s="713">
        <f t="shared" si="72"/>
        <v>0</v>
      </c>
      <c r="S403" s="360">
        <f t="shared" si="73"/>
        <v>0</v>
      </c>
    </row>
    <row r="404" spans="1:19">
      <c r="A404" s="158"/>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0.05</v>
      </c>
      <c r="R404" s="713">
        <f t="shared" si="72"/>
        <v>0</v>
      </c>
      <c r="S404" s="360">
        <f t="shared" si="73"/>
        <v>0</v>
      </c>
    </row>
    <row r="405" spans="1:19">
      <c r="A405" s="158"/>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0.05</v>
      </c>
      <c r="R405" s="713">
        <f t="shared" si="72"/>
        <v>0</v>
      </c>
      <c r="S405" s="360">
        <f t="shared" si="73"/>
        <v>0</v>
      </c>
    </row>
    <row r="406" spans="1:19">
      <c r="A406" s="158"/>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0.05</v>
      </c>
      <c r="R406" s="713">
        <f t="shared" si="72"/>
        <v>0</v>
      </c>
      <c r="S406" s="360">
        <f t="shared" si="73"/>
        <v>0</v>
      </c>
    </row>
    <row r="407" spans="1:19">
      <c r="A407" s="158"/>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0.05</v>
      </c>
      <c r="R407" s="713">
        <f t="shared" si="72"/>
        <v>0</v>
      </c>
      <c r="S407" s="360">
        <f t="shared" si="73"/>
        <v>0</v>
      </c>
    </row>
    <row r="408" spans="1:19">
      <c r="A408" s="158"/>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0.05</v>
      </c>
      <c r="R408" s="713">
        <f t="shared" si="72"/>
        <v>0</v>
      </c>
      <c r="S408" s="360">
        <f t="shared" si="73"/>
        <v>0</v>
      </c>
    </row>
    <row r="409" spans="1:19">
      <c r="A409" s="158"/>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0.05</v>
      </c>
      <c r="R409" s="713">
        <f t="shared" si="72"/>
        <v>0</v>
      </c>
      <c r="S409" s="360">
        <f t="shared" si="73"/>
        <v>0</v>
      </c>
    </row>
    <row r="410" spans="1:19">
      <c r="A410" s="158"/>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0.05</v>
      </c>
      <c r="R410" s="713">
        <f t="shared" ref="R410:R473" si="82">IF(B410="",0,ROUND($R$24*C410*E410*G410*I410*K410*M410*O410*Q410,0))</f>
        <v>0</v>
      </c>
      <c r="S410" s="360">
        <f t="shared" si="73"/>
        <v>0</v>
      </c>
    </row>
    <row r="411" spans="1:19">
      <c r="A411" s="158"/>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0.05</v>
      </c>
      <c r="R411" s="713">
        <f t="shared" si="82"/>
        <v>0</v>
      </c>
      <c r="S411" s="360">
        <f t="shared" si="73"/>
        <v>0</v>
      </c>
    </row>
    <row r="412" spans="1:19">
      <c r="A412" s="158"/>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0.05</v>
      </c>
      <c r="R412" s="713">
        <f t="shared" si="82"/>
        <v>0</v>
      </c>
      <c r="S412" s="360">
        <f t="shared" si="73"/>
        <v>0</v>
      </c>
    </row>
    <row r="413" spans="1:19">
      <c r="A413" s="158"/>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0.05</v>
      </c>
      <c r="R413" s="713">
        <f t="shared" si="82"/>
        <v>0</v>
      </c>
      <c r="S413" s="360">
        <f t="shared" si="73"/>
        <v>0</v>
      </c>
    </row>
    <row r="414" spans="1:19">
      <c r="A414" s="158"/>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0.05</v>
      </c>
      <c r="R414" s="713">
        <f t="shared" si="82"/>
        <v>0</v>
      </c>
      <c r="S414" s="360">
        <f t="shared" si="73"/>
        <v>0</v>
      </c>
    </row>
    <row r="415" spans="1:19">
      <c r="A415" s="158"/>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0.05</v>
      </c>
      <c r="R415" s="713">
        <f t="shared" si="82"/>
        <v>0</v>
      </c>
      <c r="S415" s="360">
        <f t="shared" si="73"/>
        <v>0</v>
      </c>
    </row>
    <row r="416" spans="1:19">
      <c r="A416" s="158"/>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0.05</v>
      </c>
      <c r="R416" s="713">
        <f t="shared" si="82"/>
        <v>0</v>
      </c>
      <c r="S416" s="360">
        <f t="shared" si="73"/>
        <v>0</v>
      </c>
    </row>
    <row r="417" spans="1:19">
      <c r="A417" s="158"/>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0.05</v>
      </c>
      <c r="R417" s="713">
        <f t="shared" si="82"/>
        <v>0</v>
      </c>
      <c r="S417" s="360">
        <f t="shared" si="73"/>
        <v>0</v>
      </c>
    </row>
    <row r="418" spans="1:19">
      <c r="A418" s="158"/>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0.05</v>
      </c>
      <c r="R418" s="713">
        <f t="shared" si="82"/>
        <v>0</v>
      </c>
      <c r="S418" s="360">
        <f t="shared" si="73"/>
        <v>0</v>
      </c>
    </row>
    <row r="419" spans="1:19">
      <c r="A419" s="158"/>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0.05</v>
      </c>
      <c r="R419" s="713">
        <f t="shared" si="82"/>
        <v>0</v>
      </c>
      <c r="S419" s="360">
        <f t="shared" si="73"/>
        <v>0</v>
      </c>
    </row>
    <row r="420" spans="1:19">
      <c r="A420" s="158"/>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0.05</v>
      </c>
      <c r="R420" s="713">
        <f t="shared" si="82"/>
        <v>0</v>
      </c>
      <c r="S420" s="360">
        <f t="shared" si="73"/>
        <v>0</v>
      </c>
    </row>
    <row r="421" spans="1:19">
      <c r="A421" s="158"/>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0.05</v>
      </c>
      <c r="R421" s="713">
        <f t="shared" si="82"/>
        <v>0</v>
      </c>
      <c r="S421" s="360">
        <f t="shared" si="73"/>
        <v>0</v>
      </c>
    </row>
    <row r="422" spans="1:19">
      <c r="A422" s="158"/>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0.05</v>
      </c>
      <c r="R422" s="713">
        <f t="shared" si="82"/>
        <v>0</v>
      </c>
      <c r="S422" s="360">
        <f t="shared" si="73"/>
        <v>0</v>
      </c>
    </row>
    <row r="423" spans="1:19">
      <c r="A423" s="158"/>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0.05</v>
      </c>
      <c r="R423" s="713">
        <f t="shared" si="82"/>
        <v>0</v>
      </c>
      <c r="S423" s="360">
        <f t="shared" ref="S423:S467" si="83">ROUND(R423*B423/10000,0)</f>
        <v>0</v>
      </c>
    </row>
    <row r="424" spans="1:19">
      <c r="A424" s="158"/>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0.05</v>
      </c>
      <c r="R424" s="713">
        <f t="shared" si="82"/>
        <v>0</v>
      </c>
      <c r="S424" s="360">
        <f t="shared" si="83"/>
        <v>0</v>
      </c>
    </row>
    <row r="425" spans="1:19">
      <c r="A425" s="158"/>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0.05</v>
      </c>
      <c r="R425" s="713">
        <f t="shared" si="82"/>
        <v>0</v>
      </c>
      <c r="S425" s="360">
        <f t="shared" si="83"/>
        <v>0</v>
      </c>
    </row>
    <row r="426" spans="1:19">
      <c r="A426" s="158"/>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0.05</v>
      </c>
      <c r="R426" s="713">
        <f t="shared" si="82"/>
        <v>0</v>
      </c>
      <c r="S426" s="360">
        <f t="shared" si="83"/>
        <v>0</v>
      </c>
    </row>
    <row r="427" spans="1:19">
      <c r="A427" s="158"/>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0.05</v>
      </c>
      <c r="R427" s="713">
        <f t="shared" si="82"/>
        <v>0</v>
      </c>
      <c r="S427" s="360">
        <f t="shared" si="83"/>
        <v>0</v>
      </c>
    </row>
    <row r="428" spans="1:19">
      <c r="A428" s="158"/>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0.05</v>
      </c>
      <c r="R428" s="713">
        <f t="shared" si="82"/>
        <v>0</v>
      </c>
      <c r="S428" s="360">
        <f t="shared" si="83"/>
        <v>0</v>
      </c>
    </row>
    <row r="429" spans="1:19">
      <c r="A429" s="158"/>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0.05</v>
      </c>
      <c r="R429" s="713">
        <f t="shared" si="82"/>
        <v>0</v>
      </c>
      <c r="S429" s="360">
        <f t="shared" si="83"/>
        <v>0</v>
      </c>
    </row>
    <row r="430" spans="1:19">
      <c r="A430" s="158"/>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0.05</v>
      </c>
      <c r="R430" s="713">
        <f t="shared" si="82"/>
        <v>0</v>
      </c>
      <c r="S430" s="360">
        <f t="shared" si="83"/>
        <v>0</v>
      </c>
    </row>
    <row r="431" spans="1:19">
      <c r="A431" s="158"/>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0.05</v>
      </c>
      <c r="R431" s="713">
        <f t="shared" si="82"/>
        <v>0</v>
      </c>
      <c r="S431" s="360">
        <f t="shared" si="83"/>
        <v>0</v>
      </c>
    </row>
    <row r="432" spans="1:19">
      <c r="A432" s="158"/>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0.05</v>
      </c>
      <c r="R432" s="713">
        <f t="shared" si="82"/>
        <v>0</v>
      </c>
      <c r="S432" s="360">
        <f t="shared" si="83"/>
        <v>0</v>
      </c>
    </row>
    <row r="433" spans="1:19">
      <c r="A433" s="158"/>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0.05</v>
      </c>
      <c r="R433" s="713">
        <f t="shared" si="82"/>
        <v>0</v>
      </c>
      <c r="S433" s="360">
        <f t="shared" si="83"/>
        <v>0</v>
      </c>
    </row>
    <row r="434" spans="1:19">
      <c r="A434" s="158"/>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0.05</v>
      </c>
      <c r="R434" s="713">
        <f t="shared" si="82"/>
        <v>0</v>
      </c>
      <c r="S434" s="360">
        <f t="shared" si="83"/>
        <v>0</v>
      </c>
    </row>
    <row r="435" spans="1:19">
      <c r="A435" s="158"/>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0.05</v>
      </c>
      <c r="R435" s="713">
        <f t="shared" si="82"/>
        <v>0</v>
      </c>
      <c r="S435" s="360">
        <f t="shared" si="83"/>
        <v>0</v>
      </c>
    </row>
    <row r="436" spans="1:19">
      <c r="A436" s="158"/>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0.05</v>
      </c>
      <c r="R436" s="713">
        <f t="shared" si="82"/>
        <v>0</v>
      </c>
      <c r="S436" s="360">
        <f t="shared" si="83"/>
        <v>0</v>
      </c>
    </row>
    <row r="437" spans="1:19">
      <c r="A437" s="158"/>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0.05</v>
      </c>
      <c r="R437" s="713">
        <f t="shared" si="82"/>
        <v>0</v>
      </c>
      <c r="S437" s="360">
        <f t="shared" si="83"/>
        <v>0</v>
      </c>
    </row>
    <row r="438" spans="1:19">
      <c r="A438" s="158"/>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0.05</v>
      </c>
      <c r="R438" s="713">
        <f t="shared" si="82"/>
        <v>0</v>
      </c>
      <c r="S438" s="360">
        <f t="shared" si="83"/>
        <v>0</v>
      </c>
    </row>
    <row r="439" spans="1:19">
      <c r="A439" s="158"/>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0.05</v>
      </c>
      <c r="R439" s="713">
        <f t="shared" si="82"/>
        <v>0</v>
      </c>
      <c r="S439" s="360">
        <f t="shared" si="83"/>
        <v>0</v>
      </c>
    </row>
    <row r="440" spans="1:19">
      <c r="A440" s="158"/>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0.05</v>
      </c>
      <c r="R440" s="713">
        <f t="shared" si="82"/>
        <v>0</v>
      </c>
      <c r="S440" s="360">
        <f t="shared" si="83"/>
        <v>0</v>
      </c>
    </row>
    <row r="441" spans="1:19">
      <c r="A441" s="158"/>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0.05</v>
      </c>
      <c r="R441" s="713">
        <f t="shared" si="82"/>
        <v>0</v>
      </c>
      <c r="S441" s="360">
        <f t="shared" si="83"/>
        <v>0</v>
      </c>
    </row>
    <row r="442" spans="1:19">
      <c r="A442" s="158"/>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0.05</v>
      </c>
      <c r="R442" s="713">
        <f t="shared" si="82"/>
        <v>0</v>
      </c>
      <c r="S442" s="360">
        <f t="shared" si="83"/>
        <v>0</v>
      </c>
    </row>
    <row r="443" spans="1:19">
      <c r="A443" s="158"/>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0.05</v>
      </c>
      <c r="R443" s="713">
        <f t="shared" si="82"/>
        <v>0</v>
      </c>
      <c r="S443" s="360">
        <f t="shared" si="83"/>
        <v>0</v>
      </c>
    </row>
    <row r="444" spans="1:19">
      <c r="A444" s="158"/>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0.05</v>
      </c>
      <c r="R444" s="713">
        <f t="shared" si="82"/>
        <v>0</v>
      </c>
      <c r="S444" s="360">
        <f t="shared" si="83"/>
        <v>0</v>
      </c>
    </row>
    <row r="445" spans="1:19">
      <c r="A445" s="158"/>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0.05</v>
      </c>
      <c r="R445" s="713">
        <f t="shared" si="82"/>
        <v>0</v>
      </c>
      <c r="S445" s="360">
        <f t="shared" si="83"/>
        <v>0</v>
      </c>
    </row>
    <row r="446" spans="1:19">
      <c r="A446" s="158"/>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0.05</v>
      </c>
      <c r="R446" s="713">
        <f t="shared" si="82"/>
        <v>0</v>
      </c>
      <c r="S446" s="360">
        <f t="shared" si="83"/>
        <v>0</v>
      </c>
    </row>
    <row r="447" spans="1:19">
      <c r="A447" s="158"/>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0.05</v>
      </c>
      <c r="R447" s="713">
        <f t="shared" si="82"/>
        <v>0</v>
      </c>
      <c r="S447" s="360">
        <f t="shared" si="83"/>
        <v>0</v>
      </c>
    </row>
    <row r="448" spans="1:19">
      <c r="A448" s="158"/>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0.05</v>
      </c>
      <c r="R448" s="713">
        <f t="shared" si="82"/>
        <v>0</v>
      </c>
      <c r="S448" s="360">
        <f t="shared" si="83"/>
        <v>0</v>
      </c>
    </row>
    <row r="449" spans="1:19">
      <c r="A449" s="158"/>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0.05</v>
      </c>
      <c r="R449" s="713">
        <f t="shared" si="82"/>
        <v>0</v>
      </c>
      <c r="S449" s="360">
        <f t="shared" si="83"/>
        <v>0</v>
      </c>
    </row>
    <row r="450" spans="1:19">
      <c r="A450" s="158"/>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0.05</v>
      </c>
      <c r="R450" s="713">
        <f t="shared" si="82"/>
        <v>0</v>
      </c>
      <c r="S450" s="360">
        <f t="shared" si="83"/>
        <v>0</v>
      </c>
    </row>
    <row r="451" spans="1:19">
      <c r="A451" s="158"/>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0.05</v>
      </c>
      <c r="R451" s="713">
        <f t="shared" si="82"/>
        <v>0</v>
      </c>
      <c r="S451" s="360">
        <f t="shared" si="83"/>
        <v>0</v>
      </c>
    </row>
    <row r="452" spans="1:19">
      <c r="A452" s="158"/>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0.05</v>
      </c>
      <c r="R452" s="713">
        <f t="shared" si="82"/>
        <v>0</v>
      </c>
      <c r="S452" s="360">
        <f t="shared" si="83"/>
        <v>0</v>
      </c>
    </row>
    <row r="453" spans="1:19">
      <c r="A453" s="158"/>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0.05</v>
      </c>
      <c r="R453" s="713">
        <f t="shared" si="82"/>
        <v>0</v>
      </c>
      <c r="S453" s="360">
        <f t="shared" si="83"/>
        <v>0</v>
      </c>
    </row>
    <row r="454" spans="1:19">
      <c r="A454" s="158"/>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0.05</v>
      </c>
      <c r="R454" s="713">
        <f t="shared" si="82"/>
        <v>0</v>
      </c>
      <c r="S454" s="360">
        <f t="shared" si="83"/>
        <v>0</v>
      </c>
    </row>
    <row r="455" spans="1:19">
      <c r="A455" s="158"/>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0.05</v>
      </c>
      <c r="R455" s="713">
        <f t="shared" si="82"/>
        <v>0</v>
      </c>
      <c r="S455" s="360">
        <f t="shared" si="83"/>
        <v>0</v>
      </c>
    </row>
    <row r="456" spans="1:19">
      <c r="A456" s="158"/>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0.05</v>
      </c>
      <c r="R456" s="713">
        <f t="shared" si="82"/>
        <v>0</v>
      </c>
      <c r="S456" s="360">
        <f t="shared" si="83"/>
        <v>0</v>
      </c>
    </row>
    <row r="457" spans="1:19">
      <c r="A457" s="158"/>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0.05</v>
      </c>
      <c r="R457" s="713">
        <f t="shared" si="82"/>
        <v>0</v>
      </c>
      <c r="S457" s="360">
        <f t="shared" si="83"/>
        <v>0</v>
      </c>
    </row>
    <row r="458" spans="1:19">
      <c r="A458" s="158"/>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0.05</v>
      </c>
      <c r="R458" s="713">
        <f t="shared" si="82"/>
        <v>0</v>
      </c>
      <c r="S458" s="360">
        <f t="shared" si="83"/>
        <v>0</v>
      </c>
    </row>
    <row r="459" spans="1:19">
      <c r="A459" s="158"/>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0.05</v>
      </c>
      <c r="R459" s="713">
        <f t="shared" si="82"/>
        <v>0</v>
      </c>
      <c r="S459" s="360">
        <f t="shared" si="83"/>
        <v>0</v>
      </c>
    </row>
    <row r="460" spans="1:19">
      <c r="A460" s="158"/>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0.05</v>
      </c>
      <c r="R460" s="713">
        <f t="shared" si="82"/>
        <v>0</v>
      </c>
      <c r="S460" s="360">
        <f t="shared" si="83"/>
        <v>0</v>
      </c>
    </row>
    <row r="461" spans="1:19">
      <c r="A461" s="158"/>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0.05</v>
      </c>
      <c r="R461" s="713">
        <f t="shared" si="82"/>
        <v>0</v>
      </c>
      <c r="S461" s="360">
        <f t="shared" si="83"/>
        <v>0</v>
      </c>
    </row>
    <row r="462" spans="1:19">
      <c r="A462" s="158"/>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0.05</v>
      </c>
      <c r="R462" s="713">
        <f t="shared" si="82"/>
        <v>0</v>
      </c>
      <c r="S462" s="360">
        <f t="shared" si="83"/>
        <v>0</v>
      </c>
    </row>
    <row r="463" spans="1:19">
      <c r="A463" s="158"/>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0.05</v>
      </c>
      <c r="R463" s="713">
        <f t="shared" si="82"/>
        <v>0</v>
      </c>
      <c r="S463" s="360">
        <f t="shared" si="83"/>
        <v>0</v>
      </c>
    </row>
    <row r="464" spans="1:19">
      <c r="A464" s="158"/>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0.05</v>
      </c>
      <c r="R464" s="713">
        <f t="shared" si="82"/>
        <v>0</v>
      </c>
      <c r="S464" s="360">
        <f t="shared" si="83"/>
        <v>0</v>
      </c>
    </row>
    <row r="465" spans="1:19">
      <c r="A465" s="158"/>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0.05</v>
      </c>
      <c r="R465" s="713">
        <f t="shared" si="82"/>
        <v>0</v>
      </c>
      <c r="S465" s="360">
        <f t="shared" si="83"/>
        <v>0</v>
      </c>
    </row>
    <row r="466" spans="1:19">
      <c r="A466" s="158"/>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0.05</v>
      </c>
      <c r="R466" s="713">
        <f t="shared" si="82"/>
        <v>0</v>
      </c>
      <c r="S466" s="360">
        <f t="shared" si="83"/>
        <v>0</v>
      </c>
    </row>
    <row r="467" spans="1:19">
      <c r="A467" s="158"/>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0.05</v>
      </c>
      <c r="R467" s="713">
        <f t="shared" si="82"/>
        <v>0</v>
      </c>
      <c r="S467" s="360">
        <f t="shared" si="83"/>
        <v>0</v>
      </c>
    </row>
    <row r="468" spans="1:19">
      <c r="A468" s="158"/>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0.05</v>
      </c>
      <c r="R468" s="713">
        <f t="shared" si="82"/>
        <v>0</v>
      </c>
      <c r="S468" s="360">
        <f t="shared" ref="S468:S497" si="84">ROUND(R468*B468/10000,0)</f>
        <v>0</v>
      </c>
    </row>
    <row r="469" spans="1:19">
      <c r="A469" s="158"/>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0.05</v>
      </c>
      <c r="R469" s="713">
        <f t="shared" si="82"/>
        <v>0</v>
      </c>
      <c r="S469" s="360">
        <f t="shared" si="84"/>
        <v>0</v>
      </c>
    </row>
    <row r="470" spans="1:19">
      <c r="A470" s="158"/>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0.05</v>
      </c>
      <c r="R470" s="713">
        <f t="shared" si="82"/>
        <v>0</v>
      </c>
      <c r="S470" s="360">
        <f t="shared" si="84"/>
        <v>0</v>
      </c>
    </row>
    <row r="471" spans="1:19">
      <c r="A471" s="158"/>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0.05</v>
      </c>
      <c r="R471" s="713">
        <f t="shared" si="82"/>
        <v>0</v>
      </c>
      <c r="S471" s="360">
        <f t="shared" si="84"/>
        <v>0</v>
      </c>
    </row>
    <row r="472" spans="1:19">
      <c r="A472" s="158"/>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0.05</v>
      </c>
      <c r="R472" s="713">
        <f t="shared" si="82"/>
        <v>0</v>
      </c>
      <c r="S472" s="360">
        <f t="shared" si="84"/>
        <v>0</v>
      </c>
    </row>
    <row r="473" spans="1:19">
      <c r="A473" s="158"/>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0.05</v>
      </c>
      <c r="R473" s="713">
        <f t="shared" si="82"/>
        <v>0</v>
      </c>
      <c r="S473" s="360">
        <f t="shared" si="84"/>
        <v>0</v>
      </c>
    </row>
    <row r="474" spans="1:19">
      <c r="A474" s="158"/>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0.05</v>
      </c>
      <c r="R474" s="713">
        <f t="shared" ref="R474:R524" si="93">IF(B474="",0,ROUND($R$24*C474*E474*G474*I474*K474*M474*O474*Q474,0))</f>
        <v>0</v>
      </c>
      <c r="S474" s="360">
        <f t="shared" si="84"/>
        <v>0</v>
      </c>
    </row>
    <row r="475" spans="1:19">
      <c r="A475" s="158"/>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0.05</v>
      </c>
      <c r="R475" s="713">
        <f t="shared" si="93"/>
        <v>0</v>
      </c>
      <c r="S475" s="360">
        <f t="shared" si="84"/>
        <v>0</v>
      </c>
    </row>
    <row r="476" spans="1:19">
      <c r="A476" s="158"/>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0.05</v>
      </c>
      <c r="R476" s="713">
        <f t="shared" si="93"/>
        <v>0</v>
      </c>
      <c r="S476" s="360">
        <f t="shared" si="84"/>
        <v>0</v>
      </c>
    </row>
    <row r="477" spans="1:19">
      <c r="A477" s="158"/>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0.05</v>
      </c>
      <c r="R477" s="713">
        <f t="shared" si="93"/>
        <v>0</v>
      </c>
      <c r="S477" s="360">
        <f t="shared" si="84"/>
        <v>0</v>
      </c>
    </row>
    <row r="478" spans="1:19">
      <c r="A478" s="158"/>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0.05</v>
      </c>
      <c r="R478" s="713">
        <f t="shared" si="93"/>
        <v>0</v>
      </c>
      <c r="S478" s="360">
        <f t="shared" si="84"/>
        <v>0</v>
      </c>
    </row>
    <row r="479" spans="1:19">
      <c r="A479" s="158"/>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0.05</v>
      </c>
      <c r="R479" s="713">
        <f t="shared" si="93"/>
        <v>0</v>
      </c>
      <c r="S479" s="360">
        <f t="shared" si="84"/>
        <v>0</v>
      </c>
    </row>
    <row r="480" spans="1:19">
      <c r="A480" s="158"/>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0.05</v>
      </c>
      <c r="R480" s="713">
        <f t="shared" si="93"/>
        <v>0</v>
      </c>
      <c r="S480" s="360">
        <f t="shared" si="84"/>
        <v>0</v>
      </c>
    </row>
    <row r="481" spans="1:19">
      <c r="A481" s="158"/>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0.05</v>
      </c>
      <c r="R481" s="713">
        <f t="shared" si="93"/>
        <v>0</v>
      </c>
      <c r="S481" s="360">
        <f t="shared" si="84"/>
        <v>0</v>
      </c>
    </row>
    <row r="482" spans="1:19">
      <c r="A482" s="158"/>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0.05</v>
      </c>
      <c r="R482" s="713">
        <f t="shared" si="93"/>
        <v>0</v>
      </c>
      <c r="S482" s="360">
        <f t="shared" si="84"/>
        <v>0</v>
      </c>
    </row>
    <row r="483" spans="1:19">
      <c r="A483" s="158"/>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0.05</v>
      </c>
      <c r="R483" s="713">
        <f t="shared" si="93"/>
        <v>0</v>
      </c>
      <c r="S483" s="360">
        <f t="shared" si="84"/>
        <v>0</v>
      </c>
    </row>
    <row r="484" spans="1:19">
      <c r="A484" s="158"/>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0.05</v>
      </c>
      <c r="R484" s="713">
        <f t="shared" si="93"/>
        <v>0</v>
      </c>
      <c r="S484" s="360">
        <f t="shared" si="84"/>
        <v>0</v>
      </c>
    </row>
    <row r="485" spans="1:19">
      <c r="A485" s="158"/>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0.05</v>
      </c>
      <c r="R485" s="713">
        <f t="shared" si="93"/>
        <v>0</v>
      </c>
      <c r="S485" s="360">
        <f t="shared" si="84"/>
        <v>0</v>
      </c>
    </row>
    <row r="486" spans="1:19">
      <c r="A486" s="158"/>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0.05</v>
      </c>
      <c r="R486" s="713">
        <f t="shared" si="93"/>
        <v>0</v>
      </c>
      <c r="S486" s="360">
        <f t="shared" si="84"/>
        <v>0</v>
      </c>
    </row>
    <row r="487" spans="1:19">
      <c r="A487" s="158"/>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0.05</v>
      </c>
      <c r="R487" s="713">
        <f t="shared" si="93"/>
        <v>0</v>
      </c>
      <c r="S487" s="360">
        <f t="shared" si="84"/>
        <v>0</v>
      </c>
    </row>
    <row r="488" spans="1:19">
      <c r="A488" s="158"/>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0.05</v>
      </c>
      <c r="R488" s="713">
        <f t="shared" si="93"/>
        <v>0</v>
      </c>
      <c r="S488" s="360">
        <f t="shared" si="84"/>
        <v>0</v>
      </c>
    </row>
    <row r="489" spans="1:19">
      <c r="A489" s="158"/>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0.05</v>
      </c>
      <c r="R489" s="713">
        <f t="shared" si="93"/>
        <v>0</v>
      </c>
      <c r="S489" s="360">
        <f t="shared" si="84"/>
        <v>0</v>
      </c>
    </row>
    <row r="490" spans="1:19">
      <c r="A490" s="158"/>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0.05</v>
      </c>
      <c r="R490" s="713">
        <f t="shared" si="93"/>
        <v>0</v>
      </c>
      <c r="S490" s="360">
        <f t="shared" si="84"/>
        <v>0</v>
      </c>
    </row>
    <row r="491" spans="1:19">
      <c r="A491" s="158"/>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0.05</v>
      </c>
      <c r="R491" s="713">
        <f t="shared" si="93"/>
        <v>0</v>
      </c>
      <c r="S491" s="360">
        <f t="shared" si="84"/>
        <v>0</v>
      </c>
    </row>
    <row r="492" spans="1:19">
      <c r="A492" s="158"/>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0.05</v>
      </c>
      <c r="R492" s="713">
        <f t="shared" si="93"/>
        <v>0</v>
      </c>
      <c r="S492" s="360">
        <f t="shared" si="84"/>
        <v>0</v>
      </c>
    </row>
    <row r="493" spans="1:19">
      <c r="A493" s="158"/>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0.05</v>
      </c>
      <c r="R493" s="713">
        <f t="shared" si="93"/>
        <v>0</v>
      </c>
      <c r="S493" s="360">
        <f t="shared" si="84"/>
        <v>0</v>
      </c>
    </row>
    <row r="494" spans="1:19">
      <c r="A494" s="158"/>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0.05</v>
      </c>
      <c r="R494" s="713">
        <f t="shared" si="93"/>
        <v>0</v>
      </c>
      <c r="S494" s="360">
        <f t="shared" si="84"/>
        <v>0</v>
      </c>
    </row>
    <row r="495" spans="1:19">
      <c r="A495" s="158"/>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0.05</v>
      </c>
      <c r="R495" s="713">
        <f t="shared" si="93"/>
        <v>0</v>
      </c>
      <c r="S495" s="360">
        <f t="shared" si="84"/>
        <v>0</v>
      </c>
    </row>
    <row r="496" spans="1:19">
      <c r="A496" s="158"/>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0.05</v>
      </c>
      <c r="R496" s="713">
        <f t="shared" si="93"/>
        <v>0</v>
      </c>
      <c r="S496" s="360">
        <f t="shared" si="84"/>
        <v>0</v>
      </c>
    </row>
    <row r="497" spans="1:19">
      <c r="A497" s="158"/>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0.05</v>
      </c>
      <c r="R497" s="713">
        <f t="shared" si="93"/>
        <v>0</v>
      </c>
      <c r="S497" s="360">
        <f t="shared" si="84"/>
        <v>0</v>
      </c>
    </row>
    <row r="498" spans="1:19">
      <c r="A498" s="158"/>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0.05</v>
      </c>
      <c r="R498" s="713">
        <f t="shared" si="93"/>
        <v>0</v>
      </c>
      <c r="S498" s="360">
        <f t="shared" ref="S498:S524" si="94">ROUND(R498*B498/10000,0)</f>
        <v>0</v>
      </c>
    </row>
    <row r="499" spans="1:19">
      <c r="A499" s="158"/>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0.05</v>
      </c>
      <c r="R499" s="713">
        <f t="shared" si="93"/>
        <v>0</v>
      </c>
      <c r="S499" s="360">
        <f t="shared" si="94"/>
        <v>0</v>
      </c>
    </row>
    <row r="500" spans="1:19">
      <c r="A500" s="158"/>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0.05</v>
      </c>
      <c r="R500" s="713">
        <f t="shared" si="93"/>
        <v>0</v>
      </c>
      <c r="S500" s="360">
        <f t="shared" si="94"/>
        <v>0</v>
      </c>
    </row>
    <row r="501" spans="1:19">
      <c r="A501" s="158"/>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0.05</v>
      </c>
      <c r="R501" s="713">
        <f t="shared" si="93"/>
        <v>0</v>
      </c>
      <c r="S501" s="360">
        <f t="shared" si="94"/>
        <v>0</v>
      </c>
    </row>
    <row r="502" spans="1:19">
      <c r="A502" s="158"/>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0.05</v>
      </c>
      <c r="R502" s="713">
        <f t="shared" si="93"/>
        <v>0</v>
      </c>
      <c r="S502" s="360">
        <f t="shared" si="94"/>
        <v>0</v>
      </c>
    </row>
    <row r="503" spans="1:19">
      <c r="A503" s="158"/>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0.05</v>
      </c>
      <c r="R503" s="713">
        <f t="shared" si="93"/>
        <v>0</v>
      </c>
      <c r="S503" s="360">
        <f t="shared" si="94"/>
        <v>0</v>
      </c>
    </row>
    <row r="504" spans="1:19">
      <c r="A504" s="158"/>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0.05</v>
      </c>
      <c r="R504" s="713">
        <f t="shared" si="93"/>
        <v>0</v>
      </c>
      <c r="S504" s="360">
        <f t="shared" si="94"/>
        <v>0</v>
      </c>
    </row>
    <row r="505" spans="1:19">
      <c r="A505" s="158"/>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0.05</v>
      </c>
      <c r="R505" s="713">
        <f t="shared" si="93"/>
        <v>0</v>
      </c>
      <c r="S505" s="360">
        <f t="shared" si="94"/>
        <v>0</v>
      </c>
    </row>
    <row r="506" spans="1:19">
      <c r="A506" s="158"/>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0.05</v>
      </c>
      <c r="R506" s="713">
        <f t="shared" si="93"/>
        <v>0</v>
      </c>
      <c r="S506" s="360">
        <f t="shared" si="94"/>
        <v>0</v>
      </c>
    </row>
    <row r="507" spans="1:19">
      <c r="A507" s="158"/>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0.05</v>
      </c>
      <c r="R507" s="713">
        <f t="shared" si="93"/>
        <v>0</v>
      </c>
      <c r="S507" s="360">
        <f t="shared" si="94"/>
        <v>0</v>
      </c>
    </row>
    <row r="508" spans="1:19">
      <c r="A508" s="158"/>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0.05</v>
      </c>
      <c r="R508" s="713">
        <f t="shared" si="93"/>
        <v>0</v>
      </c>
      <c r="S508" s="360">
        <f t="shared" si="94"/>
        <v>0</v>
      </c>
    </row>
    <row r="509" spans="1:19">
      <c r="A509" s="158"/>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0.05</v>
      </c>
      <c r="R509" s="713">
        <f t="shared" si="93"/>
        <v>0</v>
      </c>
      <c r="S509" s="360">
        <f t="shared" si="94"/>
        <v>0</v>
      </c>
    </row>
    <row r="510" spans="1:19">
      <c r="A510" s="158"/>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0.05</v>
      </c>
      <c r="R510" s="713">
        <f t="shared" si="93"/>
        <v>0</v>
      </c>
      <c r="S510" s="360">
        <f t="shared" si="94"/>
        <v>0</v>
      </c>
    </row>
    <row r="511" spans="1:19">
      <c r="A511" s="158"/>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0.05</v>
      </c>
      <c r="R511" s="713">
        <f t="shared" si="93"/>
        <v>0</v>
      </c>
      <c r="S511" s="360">
        <f t="shared" si="94"/>
        <v>0</v>
      </c>
    </row>
    <row r="512" spans="1:19">
      <c r="A512" s="158"/>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0.05</v>
      </c>
      <c r="R512" s="713">
        <f t="shared" si="93"/>
        <v>0</v>
      </c>
      <c r="S512" s="360">
        <f t="shared" si="94"/>
        <v>0</v>
      </c>
    </row>
    <row r="513" spans="1:19">
      <c r="A513" s="158"/>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0.05</v>
      </c>
      <c r="R513" s="713">
        <f t="shared" si="93"/>
        <v>0</v>
      </c>
      <c r="S513" s="360">
        <f t="shared" si="94"/>
        <v>0</v>
      </c>
    </row>
    <row r="514" spans="1:19">
      <c r="A514" s="158"/>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0.05</v>
      </c>
      <c r="R514" s="713">
        <f t="shared" si="93"/>
        <v>0</v>
      </c>
      <c r="S514" s="360">
        <f t="shared" si="94"/>
        <v>0</v>
      </c>
    </row>
    <row r="515" spans="1:19">
      <c r="A515" s="158"/>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0.05</v>
      </c>
      <c r="R515" s="713">
        <f t="shared" si="93"/>
        <v>0</v>
      </c>
      <c r="S515" s="360">
        <f t="shared" si="94"/>
        <v>0</v>
      </c>
    </row>
    <row r="516" spans="1:19">
      <c r="A516" s="158"/>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0.05</v>
      </c>
      <c r="R516" s="713">
        <f t="shared" si="93"/>
        <v>0</v>
      </c>
      <c r="S516" s="360">
        <f t="shared" si="94"/>
        <v>0</v>
      </c>
    </row>
    <row r="517" spans="1:19">
      <c r="A517" s="158"/>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0.05</v>
      </c>
      <c r="R517" s="713">
        <f t="shared" si="93"/>
        <v>0</v>
      </c>
      <c r="S517" s="360">
        <f t="shared" si="94"/>
        <v>0</v>
      </c>
    </row>
    <row r="518" spans="1:19">
      <c r="A518" s="158"/>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0.05</v>
      </c>
      <c r="R518" s="713">
        <f t="shared" si="93"/>
        <v>0</v>
      </c>
      <c r="S518" s="360">
        <f t="shared" si="94"/>
        <v>0</v>
      </c>
    </row>
    <row r="519" spans="1:19">
      <c r="A519" s="158"/>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0.05</v>
      </c>
      <c r="R519" s="713">
        <f t="shared" si="93"/>
        <v>0</v>
      </c>
      <c r="S519" s="360">
        <f t="shared" si="94"/>
        <v>0</v>
      </c>
    </row>
    <row r="520" spans="1:19">
      <c r="A520" s="158"/>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0.05</v>
      </c>
      <c r="R520" s="713">
        <f t="shared" si="93"/>
        <v>0</v>
      </c>
      <c r="S520" s="360">
        <f t="shared" si="94"/>
        <v>0</v>
      </c>
    </row>
    <row r="521" spans="1:19">
      <c r="A521" s="158"/>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0.05</v>
      </c>
      <c r="R521" s="713">
        <f t="shared" si="93"/>
        <v>0</v>
      </c>
      <c r="S521" s="360">
        <f t="shared" si="94"/>
        <v>0</v>
      </c>
    </row>
    <row r="522" spans="1:19">
      <c r="A522" s="158"/>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0.05</v>
      </c>
      <c r="R522" s="713">
        <f t="shared" si="93"/>
        <v>0</v>
      </c>
      <c r="S522" s="360">
        <f t="shared" si="94"/>
        <v>0</v>
      </c>
    </row>
    <row r="523" spans="1:19">
      <c r="A523" s="158"/>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0.05</v>
      </c>
      <c r="R523" s="713">
        <f t="shared" si="93"/>
        <v>0</v>
      </c>
      <c r="S523" s="360">
        <f t="shared" si="94"/>
        <v>0</v>
      </c>
    </row>
    <row r="524" spans="1:19">
      <c r="A524" s="158"/>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0.05</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2528</v>
      </c>
      <c r="B1" s="2560"/>
      <c r="C1" s="2560"/>
      <c r="D1" s="2560"/>
      <c r="E1" s="2561"/>
    </row>
    <row r="2" spans="1:6" ht="15.75">
      <c r="A2" s="2562" t="s">
        <v>2329</v>
      </c>
      <c r="B2" s="2563">
        <f ca="1">SUMIF(B6:B13,"&lt;&gt;#ref!",B6:B13)</f>
        <v>56089</v>
      </c>
      <c r="C2" s="2564" t="s">
        <v>2521</v>
      </c>
      <c r="D2" s="2565" t="s">
        <v>2522</v>
      </c>
      <c r="E2" s="2566">
        <f>SUM(E6:E13)</f>
        <v>16929.979999999996</v>
      </c>
    </row>
    <row r="3" spans="1:6" ht="15.75">
      <c r="A3" s="2562" t="s">
        <v>1391</v>
      </c>
      <c r="B3" s="2563">
        <f ca="1">ROUND(B2*10000/E2,0)</f>
        <v>33130</v>
      </c>
      <c r="C3" s="2564" t="s">
        <v>2529</v>
      </c>
      <c r="D3" s="2567"/>
      <c r="E3" s="2568"/>
    </row>
    <row r="4" spans="1:6" ht="15.75">
      <c r="A4" s="2569"/>
      <c r="B4" s="2567"/>
      <c r="C4" s="2567"/>
      <c r="D4" s="2567"/>
      <c r="E4" s="2568"/>
    </row>
    <row r="5" spans="1:6" ht="15">
      <c r="A5" s="2570" t="s">
        <v>2523</v>
      </c>
      <c r="B5" s="3489" t="s">
        <v>2524</v>
      </c>
      <c r="C5" s="3489"/>
      <c r="D5" s="2571"/>
      <c r="E5" s="2572" t="s">
        <v>2525</v>
      </c>
      <c r="F5" s="2573" t="s">
        <v>2526</v>
      </c>
    </row>
    <row r="6" spans="1:6">
      <c r="A6" s="2574" t="str">
        <f>'数据-取费表'!AN6</f>
        <v>收益法-办公已出租</v>
      </c>
      <c r="B6" s="2573">
        <f ca="1">IF(F6="是",'数据-取费表'!AO6,0)</f>
        <v>8909</v>
      </c>
      <c r="C6" s="2564" t="s">
        <v>2521</v>
      </c>
      <c r="D6" s="2567"/>
      <c r="E6" s="2575">
        <f>IF(OR(A6=0,F6="否"),0,'数据-取费表'!K6+'数据-取费表'!S6)</f>
        <v>2679.1499999999996</v>
      </c>
      <c r="F6" s="2576" t="s">
        <v>2527</v>
      </c>
    </row>
    <row r="7" spans="1:6">
      <c r="A7" s="2574" t="str">
        <f>'数据-取费表'!AN7</f>
        <v>收益法-办公未出租</v>
      </c>
      <c r="B7" s="2573">
        <f ca="1">IF(F7="是",'数据-取费表'!AO7,0)</f>
        <v>47180</v>
      </c>
      <c r="C7" s="2564" t="s">
        <v>2521</v>
      </c>
      <c r="D7" s="2567"/>
      <c r="E7" s="2575">
        <f>IF(OR(A7=0,F7="否"),0,'数据-取费表'!K7+'数据-取费表'!S7)</f>
        <v>14250.829999999996</v>
      </c>
      <c r="F7" s="2576" t="s">
        <v>2527</v>
      </c>
    </row>
    <row r="8" spans="1:6">
      <c r="A8" s="2574">
        <f>'数据-取费表'!AN8</f>
        <v>0</v>
      </c>
      <c r="B8" s="2573" t="e">
        <f ca="1">IF(F8="是",'数据-取费表'!AO8,0)</f>
        <v>#REF!</v>
      </c>
      <c r="C8" s="2564" t="s">
        <v>2521</v>
      </c>
      <c r="D8" s="2567"/>
      <c r="E8" s="2575">
        <f>IF(OR(A8=0,F8="否"),0,'数据-取费表'!K8+'数据-取费表'!S8)</f>
        <v>0</v>
      </c>
      <c r="F8" s="2576" t="s">
        <v>2527</v>
      </c>
    </row>
    <row r="9" spans="1:6">
      <c r="A9" s="2574">
        <f>'数据-取费表'!AN9</f>
        <v>0</v>
      </c>
      <c r="B9" s="2573" t="e">
        <f ca="1">IF(F9="是",'数据-取费表'!AO9,0)</f>
        <v>#REF!</v>
      </c>
      <c r="C9" s="2564" t="s">
        <v>2521</v>
      </c>
      <c r="D9" s="2567"/>
      <c r="E9" s="2575">
        <f>IF(OR(A9=0,F9="否"),0,'数据-取费表'!K9+'数据-取费表'!S9)</f>
        <v>0</v>
      </c>
      <c r="F9" s="2576" t="s">
        <v>2527</v>
      </c>
    </row>
    <row r="10" spans="1:6">
      <c r="A10" s="2574">
        <f>'数据-取费表'!AN10</f>
        <v>0</v>
      </c>
      <c r="B10" s="2573" t="e">
        <f ca="1">IF(F10="是",'数据-取费表'!AO10,0)</f>
        <v>#REF!</v>
      </c>
      <c r="C10" s="2564" t="s">
        <v>2521</v>
      </c>
      <c r="D10" s="2567"/>
      <c r="E10" s="2575">
        <f>IF(OR(A10=0,F10="否"),0,'数据-取费表'!K10+'数据-取费表'!S10)</f>
        <v>0</v>
      </c>
      <c r="F10" s="2576" t="s">
        <v>2527</v>
      </c>
    </row>
    <row r="11" spans="1:6">
      <c r="A11" s="2574">
        <f>'数据-取费表'!AN11</f>
        <v>0</v>
      </c>
      <c r="B11" s="2573" t="e">
        <f ca="1">IF(F11="是",'数据-取费表'!AO11,0)</f>
        <v>#REF!</v>
      </c>
      <c r="C11" s="2564" t="s">
        <v>2521</v>
      </c>
      <c r="D11" s="2567"/>
      <c r="E11" s="2575">
        <f>IF(OR(A11=0,F11="否"),0,'数据-取费表'!K11+'数据-取费表'!S11)</f>
        <v>0</v>
      </c>
      <c r="F11" s="2576" t="s">
        <v>2527</v>
      </c>
    </row>
    <row r="12" spans="1:6">
      <c r="A12" s="2574">
        <f>'数据-取费表'!AN12</f>
        <v>0</v>
      </c>
      <c r="B12" s="2573" t="e">
        <f ca="1">IF(F12="是",'数据-取费表'!AO12,0)</f>
        <v>#REF!</v>
      </c>
      <c r="C12" s="2564" t="s">
        <v>2521</v>
      </c>
      <c r="D12" s="2567"/>
      <c r="E12" s="2575">
        <f>IF(OR(A12=0,F12="否"),0,'数据-取费表'!K12+'数据-取费表'!S12)</f>
        <v>0</v>
      </c>
      <c r="F12" s="2576" t="s">
        <v>2527</v>
      </c>
    </row>
    <row r="13" spans="1:6" ht="15" thickBot="1">
      <c r="A13" s="2577">
        <f>'数据-取费表'!AN13</f>
        <v>0</v>
      </c>
      <c r="B13" s="2573" t="e">
        <f ca="1">IF(F13="是",'数据-取费表'!AO13,0)</f>
        <v>#REF!</v>
      </c>
      <c r="C13" s="2578" t="s">
        <v>2521</v>
      </c>
      <c r="D13" s="2579"/>
      <c r="E13" s="2575">
        <f>IF(OR(A13=0,F13="否"),0,'数据-取费表'!K13+'数据-取费表'!S13)</f>
        <v>0</v>
      </c>
      <c r="F13" s="2576"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29" activeCellId="1" sqref="C40 J2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3414</v>
      </c>
      <c r="D1" s="1819" t="s">
        <v>70</v>
      </c>
      <c r="E1" s="1820" t="s">
        <v>1383</v>
      </c>
      <c r="F1" s="1282">
        <f ca="1">J53</f>
        <v>40.25</v>
      </c>
      <c r="G1" s="1835">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f ca="1">C40+J29+L46</f>
        <v>8909</v>
      </c>
      <c r="C2" s="1844" t="s">
        <v>1512</v>
      </c>
      <c r="D2" s="1844"/>
      <c r="E2" s="1845"/>
      <c r="F2" s="1846"/>
      <c r="G2" s="1847"/>
      <c r="H2" s="1839"/>
      <c r="I2" s="1839"/>
      <c r="J2" s="1839"/>
      <c r="K2" s="1840"/>
      <c r="L2" s="1839"/>
      <c r="M2" s="1839"/>
    </row>
    <row r="3" spans="1:37" ht="18" customHeight="1" thickBot="1">
      <c r="A3" s="1848" t="s">
        <v>1513</v>
      </c>
      <c r="B3" s="1849">
        <f ca="1">IF(ISERROR(B2*10000/F43),0,ROUND(B2*10000/F43,0))</f>
        <v>33253</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499</v>
      </c>
      <c r="D5" s="1821" t="s">
        <v>1398</v>
      </c>
      <c r="E5" s="1292"/>
      <c r="F5" s="1293"/>
      <c r="G5" s="1850"/>
      <c r="H5" s="343">
        <v>1</v>
      </c>
      <c r="I5" s="344" t="s">
        <v>1397</v>
      </c>
      <c r="J5" s="1291">
        <f ca="1">J6+J10+J12</f>
        <v>534</v>
      </c>
      <c r="K5" s="1821" t="s">
        <v>1398</v>
      </c>
      <c r="L5" s="1292"/>
      <c r="M5" s="1293"/>
    </row>
    <row r="6" spans="1:37" ht="18" customHeight="1">
      <c r="A6" s="1290" t="s">
        <v>1032</v>
      </c>
      <c r="B6" s="3490" t="s">
        <v>1399</v>
      </c>
      <c r="C6" s="1295">
        <f ca="1">ROUND(F6*F8*F7*(1-F9)/10000,0)</f>
        <v>497</v>
      </c>
      <c r="D6" s="163" t="s">
        <v>3031</v>
      </c>
      <c r="E6" s="346" t="s">
        <v>1401</v>
      </c>
      <c r="F6" s="347">
        <f ca="1">INDIRECT("'数据-取费表'!u"&amp;$G$1)</f>
        <v>5.08</v>
      </c>
      <c r="G6" s="1850"/>
      <c r="H6" s="1290" t="s">
        <v>1032</v>
      </c>
      <c r="I6" s="3490" t="s">
        <v>1399</v>
      </c>
      <c r="J6" s="345">
        <f ca="1">ROUND(M6*M8*M7*(1-M9)/10000,0)</f>
        <v>533</v>
      </c>
      <c r="K6" s="163" t="s">
        <v>3030</v>
      </c>
      <c r="L6" s="346" t="s">
        <v>1401</v>
      </c>
      <c r="M6" s="347">
        <f ca="1">INDIRECT("'数据-取费表'!z"&amp;$G$1)</f>
        <v>6.06</v>
      </c>
    </row>
    <row r="7" spans="1:37" ht="18" customHeight="1">
      <c r="A7" s="1294"/>
      <c r="B7" s="3491"/>
      <c r="C7" s="1296"/>
      <c r="D7" s="351"/>
      <c r="E7" s="2948" t="s">
        <v>1402</v>
      </c>
      <c r="F7" s="347">
        <f ca="1">IF(INDIRECT("'数据-取费表'!ah"&amp;$G$1)="",INDIRECT("'数据-取费表'!k"&amp;$G$1),INDIRECT("'数据-取费表'!ah"&amp;$G$1))</f>
        <v>2679.1499999999996</v>
      </c>
      <c r="G7" s="1850"/>
      <c r="H7" s="348"/>
      <c r="I7" s="3491"/>
      <c r="J7" s="350"/>
      <c r="K7" s="351"/>
      <c r="L7" s="346" t="s">
        <v>1402</v>
      </c>
      <c r="M7" s="347">
        <f ca="1">F7</f>
        <v>2679.1499999999996</v>
      </c>
    </row>
    <row r="8" spans="1:37" ht="18" customHeight="1">
      <c r="A8" s="348"/>
      <c r="B8" s="3491"/>
      <c r="C8" s="350"/>
      <c r="D8" s="351"/>
      <c r="E8" s="346" t="s">
        <v>1403</v>
      </c>
      <c r="F8" s="347">
        <f ca="1">INDIRECT("'数据-取费表'!ai"&amp;$G$1)</f>
        <v>365</v>
      </c>
      <c r="G8" s="1850"/>
      <c r="H8" s="348"/>
      <c r="I8" s="3491"/>
      <c r="J8" s="350"/>
      <c r="K8" s="351"/>
      <c r="L8" s="346" t="s">
        <v>1403</v>
      </c>
      <c r="M8" s="347">
        <f ca="1">INDIRECT("'数据-取费表'!ai"&amp;$G$1)</f>
        <v>365</v>
      </c>
    </row>
    <row r="9" spans="1:37" ht="18" customHeight="1">
      <c r="A9" s="348"/>
      <c r="B9" s="3492"/>
      <c r="C9" s="350"/>
      <c r="D9" s="351"/>
      <c r="E9" s="346" t="s">
        <v>1404</v>
      </c>
      <c r="F9" s="356">
        <f ca="1">INDIRECT("'数据-取费表'!w"&amp;$G$1)</f>
        <v>0</v>
      </c>
      <c r="G9" s="1850"/>
      <c r="H9" s="348"/>
      <c r="I9" s="3492"/>
      <c r="J9" s="350"/>
      <c r="K9" s="351"/>
      <c r="L9" s="357" t="s">
        <v>1404</v>
      </c>
      <c r="M9" s="358">
        <f ca="1">INDIRECT("'数据-取费表'!ab"&amp;$G$1)</f>
        <v>0.1</v>
      </c>
    </row>
    <row r="10" spans="1:37" ht="18" customHeight="1">
      <c r="A10" s="1290" t="s">
        <v>1036</v>
      </c>
      <c r="B10" s="1822" t="s">
        <v>1405</v>
      </c>
      <c r="C10" s="360">
        <f ca="1">ROUND(IF(F10="押一",C6/12*F11,IF(F10="押二",C6/12*2*F11,IF(F10="押三",C6/12*3*F11,C11*F11))),0)</f>
        <v>2</v>
      </c>
      <c r="D10" s="1823" t="s">
        <v>3039</v>
      </c>
      <c r="E10" s="357" t="s">
        <v>1406</v>
      </c>
      <c r="F10" s="1365" t="s">
        <v>3446</v>
      </c>
      <c r="G10" s="1850"/>
      <c r="H10" s="1290" t="s">
        <v>1036</v>
      </c>
      <c r="I10" s="1822" t="s">
        <v>1405</v>
      </c>
      <c r="J10" s="345">
        <f ca="1">ROUND(IF(M10="押一",J6/12*M11,IF(M10="押二",J6/12*2*M11,IF(M10="押三",J6/12*3*M11,J11*M11))),0)</f>
        <v>1</v>
      </c>
      <c r="K10" s="1823" t="s">
        <v>3039</v>
      </c>
      <c r="L10" s="357" t="s">
        <v>1406</v>
      </c>
      <c r="M10" s="1365" t="s">
        <v>3460</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1872</v>
      </c>
      <c r="D13" s="1330" t="s">
        <v>1411</v>
      </c>
      <c r="E13" s="1330" t="s">
        <v>1412</v>
      </c>
      <c r="F13" s="1331">
        <f ca="1">INDIRECT("'数据-取费表'!y"&amp;$G$1)</f>
        <v>0.98</v>
      </c>
      <c r="G13" s="1850"/>
      <c r="H13" s="1328">
        <v>2</v>
      </c>
      <c r="I13" s="1329" t="s">
        <v>1410</v>
      </c>
      <c r="J13" s="1289">
        <f ca="1">ROUND(J14*J15,0)</f>
        <v>1815</v>
      </c>
      <c r="K13" s="1336" t="s">
        <v>1411</v>
      </c>
      <c r="L13" s="1851"/>
      <c r="M13" s="1852"/>
    </row>
    <row r="14" spans="1:37" ht="18" customHeight="1">
      <c r="A14" s="1201" t="s">
        <v>1031</v>
      </c>
      <c r="B14" s="346" t="s">
        <v>1413</v>
      </c>
      <c r="C14" s="362">
        <f ca="1">INDIRECT("'数据-取费表'!m"&amp;$G$1)+INDIRECT("'数据-取费表'!t"&amp;$G$1)</f>
        <v>1206</v>
      </c>
      <c r="D14" s="2942" t="s">
        <v>1414</v>
      </c>
      <c r="E14" s="2940"/>
      <c r="F14" s="363"/>
      <c r="G14" s="1850"/>
      <c r="H14" s="1201" t="s">
        <v>1032</v>
      </c>
      <c r="I14" s="346" t="s">
        <v>1415</v>
      </c>
      <c r="J14" s="23">
        <f ca="1">C29</f>
        <v>1910</v>
      </c>
      <c r="K14" s="2947"/>
      <c r="L14" s="979"/>
      <c r="M14" s="980"/>
    </row>
    <row r="15" spans="1:37" s="1857" customFormat="1" ht="18" customHeight="1" thickBot="1">
      <c r="A15" s="1201" t="s">
        <v>1033</v>
      </c>
      <c r="B15" s="346" t="s">
        <v>1416</v>
      </c>
      <c r="C15" s="23">
        <f ca="1">ROUND(C14*F15,0)</f>
        <v>60</v>
      </c>
      <c r="D15" s="364" t="s">
        <v>1417</v>
      </c>
      <c r="E15" s="364" t="s">
        <v>1418</v>
      </c>
      <c r="F15" s="365">
        <f>'数据-取费表'!B33</f>
        <v>0.05</v>
      </c>
      <c r="G15" s="1853"/>
      <c r="H15" s="1338" t="s">
        <v>1036</v>
      </c>
      <c r="I15" s="1339" t="s">
        <v>1412</v>
      </c>
      <c r="J15" s="1348">
        <f ca="1">INDIRECT("'数据-取费表'!ad"&amp;$G$1)</f>
        <v>0.95</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145</v>
      </c>
      <c r="K16" s="1336" t="s">
        <v>1421</v>
      </c>
      <c r="L16" s="2943"/>
      <c r="M16" s="1293"/>
    </row>
    <row r="17" spans="1:37" s="1857" customFormat="1" ht="18" customHeight="1">
      <c r="A17" s="1201" t="s">
        <v>1386</v>
      </c>
      <c r="B17" s="346" t="s">
        <v>1422</v>
      </c>
      <c r="C17" s="23">
        <f ca="1">ROUND(F17*(F43+INDIRECT("'数据-取费表'!S"&amp;$G$1))/10000,0)</f>
        <v>54</v>
      </c>
      <c r="D17" s="346" t="s">
        <v>1423</v>
      </c>
      <c r="E17" s="346" t="s">
        <v>1424</v>
      </c>
      <c r="F17" s="25">
        <f>'数据-取费表'!B35</f>
        <v>200</v>
      </c>
      <c r="G17" s="1853"/>
      <c r="H17" s="1201" t="s">
        <v>1032</v>
      </c>
      <c r="I17" s="346" t="s">
        <v>1425</v>
      </c>
      <c r="J17" s="23">
        <f ca="1">ROUND(IF(项目基本情况!B11="自然人",J5*M17,J18+J19+J20),1)</f>
        <v>92.1</v>
      </c>
      <c r="K17" s="2942" t="s">
        <v>1426</v>
      </c>
      <c r="L17" s="294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18</v>
      </c>
      <c r="D18" s="346" t="s">
        <v>1417</v>
      </c>
      <c r="E18" s="346" t="s">
        <v>1418</v>
      </c>
      <c r="F18" s="366">
        <f>'数据-取费表'!B36</f>
        <v>1.4999999999999999E-2</v>
      </c>
      <c r="G18" s="1853"/>
      <c r="H18" s="1201" t="s">
        <v>1031</v>
      </c>
      <c r="I18" s="346" t="s">
        <v>1429</v>
      </c>
      <c r="J18" s="23">
        <f ca="1">ROUND(J5*M18/(1+'数据-取费表'!C42),2)</f>
        <v>27.97</v>
      </c>
      <c r="K18" s="294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1338</v>
      </c>
      <c r="D19" s="139" t="s">
        <v>1432</v>
      </c>
      <c r="E19" s="2946"/>
      <c r="F19" s="25"/>
      <c r="G19" s="1850"/>
      <c r="H19" s="1201" t="s">
        <v>1033</v>
      </c>
      <c r="I19" s="346" t="s">
        <v>1433</v>
      </c>
      <c r="J19" s="23">
        <f ca="1">IF(K19="按租金收入计税",ROUND(J5*M19,2),ROUND(C29*M19*0.7,2))</f>
        <v>64.08</v>
      </c>
      <c r="K19" s="1827" t="s">
        <v>3128</v>
      </c>
      <c r="L19" s="346" t="s">
        <v>1418</v>
      </c>
      <c r="M19" s="366">
        <f>IF(K19="按租金收入计税",'数据-取费表'!B51,'数据-取费表'!B50)</f>
        <v>0.12</v>
      </c>
    </row>
    <row r="20" spans="1:37" s="1857" customFormat="1" ht="18" customHeight="1">
      <c r="A20" s="1201" t="s">
        <v>1036</v>
      </c>
      <c r="B20" s="346" t="s">
        <v>1435</v>
      </c>
      <c r="C20" s="23">
        <f ca="1">ROUND(C19*F20,0)</f>
        <v>40</v>
      </c>
      <c r="D20" s="368" t="s">
        <v>1436</v>
      </c>
      <c r="E20" s="346" t="s">
        <v>1418</v>
      </c>
      <c r="F20" s="366">
        <f>'数据-取费表'!B37</f>
        <v>0.03</v>
      </c>
      <c r="G20" s="1853"/>
      <c r="H20" s="1201" t="s">
        <v>1385</v>
      </c>
      <c r="I20" s="163" t="s">
        <v>1437</v>
      </c>
      <c r="J20" s="24">
        <f ca="1">ROUND(M20*M21/10000,2)</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2946"/>
      <c r="F22" s="25"/>
      <c r="G22" s="1850"/>
      <c r="H22" s="1201" t="s">
        <v>1036</v>
      </c>
      <c r="I22" s="346" t="s">
        <v>1445</v>
      </c>
      <c r="J22" s="23">
        <f ca="1">ROUND(J14*M22,1)</f>
        <v>38.200000000000003</v>
      </c>
      <c r="K22" s="2941" t="s">
        <v>1446</v>
      </c>
      <c r="L22" s="346" t="s">
        <v>1418</v>
      </c>
      <c r="M22" s="373">
        <f ca="1">INDIRECT("'数据-取费表'!Ak"&amp;$G$1)</f>
        <v>0.02</v>
      </c>
    </row>
    <row r="23" spans="1:37" s="1857" customFormat="1" ht="18" customHeight="1">
      <c r="A23" s="1201" t="s">
        <v>1031</v>
      </c>
      <c r="B23" s="346" t="s">
        <v>1447</v>
      </c>
      <c r="C23" s="23">
        <f ca="1">IF('数据-取费表'!B22&lt;=1,ROUND(C19*F24*F23/2,0)+ROUND(C20*F24*F23/2,0),ROUND(C19*(POWER((1+F24),F23/2)-1),0)+ROUND(C20*(POWER((1+F24),F23/2)-1),0))</f>
        <v>15</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ROUND(J13*M23,1)</f>
        <v>3.6</v>
      </c>
      <c r="K23" s="2941" t="s">
        <v>1450</v>
      </c>
      <c r="L23" s="346" t="s">
        <v>1418</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f ca="1">ROUND(J5*M24,1)</f>
        <v>10.7</v>
      </c>
      <c r="K24" s="1341" t="s">
        <v>1455</v>
      </c>
      <c r="L24" s="1339" t="s">
        <v>1418</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46"/>
      <c r="F25" s="25"/>
      <c r="G25" s="1850"/>
      <c r="H25" s="1328" t="s">
        <v>1028</v>
      </c>
      <c r="I25" s="1343" t="s">
        <v>1459</v>
      </c>
      <c r="J25" s="354">
        <f ca="1">J5-J16</f>
        <v>389</v>
      </c>
      <c r="K25" s="1344" t="s">
        <v>1460</v>
      </c>
      <c r="L25" s="1345"/>
      <c r="M25" s="1346"/>
    </row>
    <row r="26" spans="1:37">
      <c r="A26" s="1201" t="s">
        <v>1031</v>
      </c>
      <c r="B26" s="346" t="s">
        <v>1461</v>
      </c>
      <c r="C26" s="23">
        <f ca="1">ROUND((C19+C20)*F26,0)</f>
        <v>345</v>
      </c>
      <c r="D26" s="368" t="s">
        <v>1462</v>
      </c>
      <c r="E26" s="357" t="s">
        <v>1463</v>
      </c>
      <c r="F26" s="356">
        <f ca="1">INDIRECT("'数据-取费表'!q"&amp;$G$1)</f>
        <v>0.25</v>
      </c>
      <c r="G26" s="1850"/>
      <c r="H26" s="343" t="s">
        <v>1029</v>
      </c>
      <c r="I26" s="344" t="s">
        <v>1464</v>
      </c>
      <c r="J26" s="345">
        <f ca="1">IF(J5&lt;&gt;0,ROUND(J25*(1-((1+M28)/(1+M26))^M27)/(M26-M28),0),0)</f>
        <v>9242</v>
      </c>
      <c r="K26" s="369" t="s">
        <v>1465</v>
      </c>
      <c r="L26" s="346" t="s">
        <v>1466</v>
      </c>
      <c r="M26" s="356">
        <f ca="1">INDIRECT("'数据-取费表'!I"&amp;$G$1)</f>
        <v>5.5E-2</v>
      </c>
    </row>
    <row r="27" spans="1:37" ht="18" customHeight="1">
      <c r="A27" s="1201" t="s">
        <v>1033</v>
      </c>
      <c r="B27" s="346" t="s">
        <v>1467</v>
      </c>
      <c r="C27" s="23">
        <f ca="1">ROUND(F21*F26,4)</f>
        <v>7.4999999999999997E-3</v>
      </c>
      <c r="D27" s="368" t="s">
        <v>1468</v>
      </c>
      <c r="E27" s="364"/>
      <c r="F27" s="365"/>
      <c r="G27" s="1850"/>
      <c r="H27" s="348"/>
      <c r="I27" s="349"/>
      <c r="J27" s="350"/>
      <c r="K27" s="377" t="s">
        <v>1469</v>
      </c>
      <c r="L27" s="346" t="s">
        <v>1470</v>
      </c>
      <c r="M27" s="378">
        <f ca="1">INDIRECT("'数据-取费表'!ag"&amp;$G$1)</f>
        <v>37.58</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0.03</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1910</v>
      </c>
      <c r="D29" s="1341"/>
      <c r="E29" s="1339"/>
      <c r="F29" s="1342"/>
      <c r="G29" s="1853"/>
      <c r="H29" s="379" t="s">
        <v>1030</v>
      </c>
      <c r="I29" s="380" t="s">
        <v>1475</v>
      </c>
      <c r="J29" s="381">
        <f ca="1">ROUND(J26/(1+F40)^F41,0)</f>
        <v>8011</v>
      </c>
      <c r="K29" s="382" t="s">
        <v>1476</v>
      </c>
      <c r="L29" s="383"/>
      <c r="M29" s="384">
        <f ca="1">INDIRECT("'数据-取费表'!k"&amp;$G$1)</f>
        <v>2679.1499999999996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138</v>
      </c>
      <c r="D30" s="1336" t="s">
        <v>1421</v>
      </c>
      <c r="E30" s="2943"/>
      <c r="F30" s="1293"/>
      <c r="G30" s="1850"/>
      <c r="H30" s="742"/>
      <c r="I30" s="743"/>
      <c r="J30" s="744"/>
      <c r="K30" s="745"/>
      <c r="L30" s="746"/>
      <c r="M30" s="747"/>
    </row>
    <row r="31" spans="1:37" ht="18" customHeight="1">
      <c r="A31" s="1201" t="s">
        <v>1032</v>
      </c>
      <c r="B31" s="346" t="s">
        <v>1425</v>
      </c>
      <c r="C31" s="23">
        <f ca="1">ROUND(IF(项目基本情况!B11="自然人",C5*F31,C32+C33+C34),1)</f>
        <v>86</v>
      </c>
      <c r="D31" s="2942" t="s">
        <v>1426</v>
      </c>
      <c r="E31" s="294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IF(项目基本情况!B11="自然人","——",ROUND(C5*F32/(1+'数据-取费表'!C42),2))</f>
        <v>26.14</v>
      </c>
      <c r="D32" s="294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59.88</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f ca="1">IF(项目基本情况!B11="自然人","——",ROUND(F34*F35/10000,2))</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ROUND(C29*F36,1)</f>
        <v>38.200000000000003</v>
      </c>
      <c r="D36" s="2941" t="s">
        <v>1478</v>
      </c>
      <c r="E36" s="346" t="s">
        <v>1418</v>
      </c>
      <c r="F36" s="373">
        <f ca="1">INDIRECT("'数据-取费表'!Ak"&amp;$G$1)</f>
        <v>0.02</v>
      </c>
      <c r="G36" s="1850"/>
      <c r="H36" s="1858"/>
      <c r="I36" s="1859"/>
      <c r="J36" s="1860"/>
      <c r="K36" s="748"/>
      <c r="L36" s="1858"/>
      <c r="M36" s="1858"/>
    </row>
    <row r="37" spans="1:18" ht="18" customHeight="1">
      <c r="A37" s="1201" t="s">
        <v>1072</v>
      </c>
      <c r="B37" s="346" t="s">
        <v>1449</v>
      </c>
      <c r="C37" s="23">
        <f ca="1">ROUND(C13*F37,1)</f>
        <v>3.7</v>
      </c>
      <c r="D37" s="2941" t="s">
        <v>1450</v>
      </c>
      <c r="E37" s="346" t="s">
        <v>1418</v>
      </c>
      <c r="F37" s="375">
        <f ca="1">INDIRECT("'数据-取费表'!Al"&amp;$G$1)</f>
        <v>2E-3</v>
      </c>
      <c r="G37" s="1850"/>
      <c r="H37" s="1858"/>
      <c r="I37" s="1859"/>
      <c r="J37" s="1860"/>
      <c r="K37" s="748"/>
      <c r="L37" s="1858"/>
      <c r="M37" s="1858"/>
    </row>
    <row r="38" spans="1:18" ht="18" customHeight="1" thickBot="1">
      <c r="A38" s="1338" t="s">
        <v>1388</v>
      </c>
      <c r="B38" s="1339" t="s">
        <v>1435</v>
      </c>
      <c r="C38" s="1340">
        <f ca="1">ROUND(C5*F38,1)</f>
        <v>10</v>
      </c>
      <c r="D38" s="1341" t="s">
        <v>1455</v>
      </c>
      <c r="E38" s="1339" t="s">
        <v>1418</v>
      </c>
      <c r="F38" s="1335">
        <f ca="1">INDIRECT("'数据-取费表'!Am"&amp;$G$1)</f>
        <v>0.02</v>
      </c>
      <c r="G38" s="1850"/>
      <c r="H38" s="1858"/>
      <c r="I38" s="1859"/>
      <c r="J38" s="1860"/>
      <c r="K38" s="1864"/>
      <c r="L38" s="1858"/>
      <c r="M38" s="1858"/>
    </row>
    <row r="39" spans="1:18" ht="24.6" customHeight="1" thickTop="1">
      <c r="A39" s="1328" t="s">
        <v>1028</v>
      </c>
      <c r="B39" s="1343" t="s">
        <v>1459</v>
      </c>
      <c r="C39" s="354">
        <f ca="1">C5-C30</f>
        <v>361</v>
      </c>
      <c r="D39" s="1344" t="s">
        <v>1460</v>
      </c>
      <c r="E39" s="1345"/>
      <c r="F39" s="1346"/>
      <c r="G39" s="1850"/>
      <c r="H39" s="1858"/>
      <c r="I39" s="1859"/>
      <c r="J39" s="1860"/>
      <c r="K39" s="1864"/>
      <c r="L39" s="1858"/>
      <c r="M39" s="1858"/>
    </row>
    <row r="40" spans="1:18" ht="18" customHeight="1">
      <c r="A40" s="343" t="s">
        <v>1029</v>
      </c>
      <c r="B40" s="344" t="s">
        <v>1481</v>
      </c>
      <c r="C40" s="345">
        <f ca="1">ROUND(C39*(1-((1+F42)/(1+F40))^F41)/(F40-F42),0)</f>
        <v>874</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2.67</v>
      </c>
      <c r="G41" s="1850"/>
      <c r="H41" s="729"/>
      <c r="I41" s="1859"/>
      <c r="J41" s="1860"/>
      <c r="K41" s="748"/>
      <c r="L41" s="729"/>
      <c r="M41" s="729"/>
    </row>
    <row r="42" spans="1:18" ht="18" customHeight="1">
      <c r="A42" s="352"/>
      <c r="B42" s="353"/>
      <c r="C42" s="354"/>
      <c r="D42" s="372"/>
      <c r="E42" s="346" t="s">
        <v>1473</v>
      </c>
      <c r="F42" s="356">
        <f ca="1">INDIRECT("'数据-取费表'!v"&amp;$G$1)</f>
        <v>0</v>
      </c>
      <c r="G42" s="1850"/>
      <c r="H42" s="729"/>
      <c r="I42" s="1859"/>
      <c r="J42" s="1860"/>
      <c r="K42" s="748"/>
      <c r="L42" s="729"/>
      <c r="M42" s="729"/>
    </row>
    <row r="43" spans="1:18" ht="18" customHeight="1" thickBot="1">
      <c r="A43" s="379" t="s">
        <v>1030</v>
      </c>
      <c r="B43" s="380" t="s">
        <v>1483</v>
      </c>
      <c r="C43" s="381">
        <f ca="1">ROUND(C40*10000/F43,0)</f>
        <v>3262</v>
      </c>
      <c r="D43" s="382" t="s">
        <v>1484</v>
      </c>
      <c r="E43" s="383" t="s">
        <v>1485</v>
      </c>
      <c r="F43" s="384">
        <f ca="1">INDIRECT("'数据-取费表'!k"&amp;$G$1)</f>
        <v>2679.1499999999996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f ca="1">C68-C40</f>
        <v>14</v>
      </c>
      <c r="D46" s="1871" t="str">
        <f>C2</f>
        <v>万元</v>
      </c>
      <c r="E46" s="1865"/>
      <c r="F46" s="1865"/>
      <c r="I46" s="1872" t="s">
        <v>1517</v>
      </c>
      <c r="J46" s="1873"/>
      <c r="K46" s="1874"/>
      <c r="L46" s="1875">
        <f ca="1">IF(M47="住宅",0,IF(L48&gt;J51,L60,J60))</f>
        <v>24</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f ca="1">INDIRECT("'数据-取费表'!d"&amp;$G$1)</f>
        <v>50</v>
      </c>
      <c r="M47" s="1837" t="str">
        <f>IF(ISNUMBER(FIND("住宅",C1)),"住宅","非住宅")</f>
        <v>非住宅</v>
      </c>
      <c r="O47" s="1883" t="s">
        <v>1037</v>
      </c>
      <c r="P47" s="1884" t="s">
        <v>1524</v>
      </c>
      <c r="Q47" s="1885">
        <f ca="1">C40+J29</f>
        <v>8885</v>
      </c>
      <c r="R47" s="1885" t="s">
        <v>1525</v>
      </c>
    </row>
    <row r="48" spans="1:18" s="1841" customFormat="1" ht="28.5" thickBot="1">
      <c r="A48" s="1359" t="s">
        <v>1132</v>
      </c>
      <c r="B48" s="344" t="s">
        <v>1397</v>
      </c>
      <c r="C48" s="2945">
        <f ca="1">C49+C53+C55</f>
        <v>495</v>
      </c>
      <c r="D48" s="1361"/>
      <c r="E48" s="1362"/>
      <c r="F48" s="1181"/>
      <c r="G48" s="789"/>
      <c r="H48" s="790"/>
      <c r="I48" s="1886" t="s">
        <v>1526</v>
      </c>
      <c r="J48" s="1887" t="s">
        <v>3129</v>
      </c>
      <c r="K48" s="1888" t="s">
        <v>1527</v>
      </c>
      <c r="L48" s="1889">
        <f ca="1">INDIRECT("'数据-取费表'!f"&amp;$G$1)</f>
        <v>40.25</v>
      </c>
      <c r="O48" s="1883" t="s">
        <v>1038</v>
      </c>
      <c r="P48" s="1884" t="s">
        <v>1528</v>
      </c>
      <c r="Q48" s="1885">
        <f ca="1">J60</f>
        <v>24</v>
      </c>
      <c r="R48" s="1885" t="s">
        <v>1529</v>
      </c>
    </row>
    <row r="49" spans="1:18" s="1841" customFormat="1" ht="13.5" thickBot="1">
      <c r="A49" s="1194" t="s">
        <v>1133</v>
      </c>
      <c r="B49" s="1828" t="s">
        <v>1486</v>
      </c>
      <c r="C49" s="1363">
        <f ca="1">ROUND(F49*F51*F50*(1-F52)/10000,0)</f>
        <v>493</v>
      </c>
      <c r="D49" s="1275" t="s">
        <v>3030</v>
      </c>
      <c r="E49" s="1829" t="s">
        <v>1487</v>
      </c>
      <c r="F49" s="1280">
        <f>租约!C38</f>
        <v>5.6</v>
      </c>
      <c r="G49" s="1890"/>
      <c r="H49" s="790"/>
      <c r="I49" s="1886" t="s">
        <v>1530</v>
      </c>
      <c r="J49" s="1891">
        <v>2018</v>
      </c>
      <c r="K49" s="1888" t="s">
        <v>1531</v>
      </c>
      <c r="L49" s="1892"/>
      <c r="O49" s="1893" t="s">
        <v>1039</v>
      </c>
      <c r="P49" s="1884" t="s">
        <v>1532</v>
      </c>
      <c r="Q49" s="1885">
        <f ca="1">C29</f>
        <v>1910</v>
      </c>
      <c r="R49" s="1885" t="s">
        <v>1525</v>
      </c>
    </row>
    <row r="50" spans="1:18" s="1841" customFormat="1" ht="13.5" thickBot="1">
      <c r="A50" s="1195"/>
      <c r="B50" s="1198"/>
      <c r="C50" s="1367"/>
      <c r="D50" s="1172"/>
      <c r="E50" s="1276" t="s">
        <v>1402</v>
      </c>
      <c r="F50" s="1277">
        <f ca="1">F7</f>
        <v>2679.1499999999996</v>
      </c>
      <c r="H50" s="790"/>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6"/>
      <c r="B51" s="1198"/>
      <c r="C51" s="1199"/>
      <c r="D51" s="1172"/>
      <c r="E51" s="1200" t="s">
        <v>1403</v>
      </c>
      <c r="F51" s="347">
        <f ca="1">F8</f>
        <v>365</v>
      </c>
      <c r="I51" s="1897" t="s">
        <v>1536</v>
      </c>
      <c r="J51" s="1898">
        <f>IF(J49="",J50,J49+J50-YEAR('数据-取费表'!B2))</f>
        <v>59</v>
      </c>
      <c r="K51" s="1899" t="s">
        <v>1537</v>
      </c>
      <c r="L51" s="1900">
        <f ca="1">ROUND(-PV(INDIRECT("'数据-取费表'!h"&amp;$G$1),L48,(C39-C13*C76),0),0)</f>
        <v>3471</v>
      </c>
      <c r="M51" s="1901"/>
      <c r="O51" s="1893" t="s">
        <v>1041</v>
      </c>
      <c r="P51" s="1884" t="s">
        <v>1538</v>
      </c>
      <c r="Q51" s="1896">
        <f>J52</f>
        <v>0.09</v>
      </c>
      <c r="R51" s="1885"/>
    </row>
    <row r="52" spans="1:18" s="1841" customFormat="1" ht="13.5" thickBot="1">
      <c r="A52" s="1196"/>
      <c r="B52" s="1198"/>
      <c r="C52" s="1199"/>
      <c r="D52" s="1172"/>
      <c r="E52" s="1200" t="s">
        <v>1404</v>
      </c>
      <c r="F52" s="1274">
        <f>'数据-取费表'!AB6</f>
        <v>0.1</v>
      </c>
      <c r="I52" s="1902" t="s">
        <v>1539</v>
      </c>
      <c r="J52" s="1903">
        <v>0.09</v>
      </c>
      <c r="K52" s="1902" t="s">
        <v>1540</v>
      </c>
      <c r="L52" s="1903"/>
      <c r="O52" s="1893" t="s">
        <v>1042</v>
      </c>
      <c r="P52" s="1884" t="s">
        <v>1541</v>
      </c>
      <c r="Q52" s="1885">
        <f ca="1">J53</f>
        <v>40.25</v>
      </c>
      <c r="R52" s="1885" t="s">
        <v>1542</v>
      </c>
    </row>
    <row r="53" spans="1:18" s="1841" customFormat="1" ht="24.75" thickBot="1">
      <c r="A53" s="1404" t="s">
        <v>1134</v>
      </c>
      <c r="B53" s="1830" t="s">
        <v>1405</v>
      </c>
      <c r="C53" s="360">
        <f ca="1">ROUND(IF(F53="押一",C49/12*F11,IF(F53="押二",C49/12*2*F11,IF(F53="押三",C49/12*3*F11,C54*F11))),0)</f>
        <v>2</v>
      </c>
      <c r="D53" s="1823" t="s">
        <v>3039</v>
      </c>
      <c r="E53" s="357" t="s">
        <v>1406</v>
      </c>
      <c r="F53" s="1365" t="s">
        <v>3446</v>
      </c>
      <c r="I53" s="1904" t="s">
        <v>1543</v>
      </c>
      <c r="J53" s="1905">
        <f ca="1">IF(M47="住宅",IF(D1="——",MAX(J51,L48),IF(D1="在建（套用方法）",MAX(J51,L48-'数据-取费表'!B24),MAX(J51,L48-'数据-取费表'!B20))),IF(D1="——",MIN(J51,L48),IF(D1="在建（套用方法）",MIN(J51,L48-'数据-取费表'!B24),IF(D1="土地（套用方法）",MIN(J51,L48-'数据-取费表'!B20)))))</f>
        <v>40.25</v>
      </c>
      <c r="K53" s="3493" t="s">
        <v>1544</v>
      </c>
      <c r="L53" s="3494"/>
      <c r="O53" s="1883" t="s">
        <v>1043</v>
      </c>
      <c r="P53" s="1884" t="s">
        <v>1545</v>
      </c>
      <c r="Q53" s="1885">
        <f ca="1">Q47+Q48</f>
        <v>8909</v>
      </c>
      <c r="R53" s="1885" t="s">
        <v>1044</v>
      </c>
    </row>
    <row r="54" spans="1:18" s="1841" customFormat="1" ht="13.5" thickBot="1">
      <c r="A54" s="1405"/>
      <c r="B54" s="1824" t="s">
        <v>1384</v>
      </c>
      <c r="C54" s="1178"/>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f ca="1">ROUND(IF(J47="钢混",J57/J50,1-(1-2%)*(J50-J57)/J50),3)</f>
        <v>0.313</v>
      </c>
      <c r="K55" s="1911" t="s">
        <v>1548</v>
      </c>
      <c r="L55" s="1912" t="s">
        <v>3461</v>
      </c>
      <c r="O55" s="1876" t="s">
        <v>1518</v>
      </c>
      <c r="P55" s="1877" t="s">
        <v>1519</v>
      </c>
      <c r="Q55" s="1878" t="s">
        <v>1520</v>
      </c>
      <c r="R55" s="1878" t="s">
        <v>1521</v>
      </c>
    </row>
    <row r="56" spans="1:18" s="1841" customFormat="1" ht="25.5" thickTop="1" thickBot="1">
      <c r="A56" s="1176">
        <v>2</v>
      </c>
      <c r="B56" s="1177" t="s">
        <v>1410</v>
      </c>
      <c r="C56" s="275">
        <f ca="1">C13</f>
        <v>1872</v>
      </c>
      <c r="D56" s="1913"/>
      <c r="E56" s="1914"/>
      <c r="F56" s="1906"/>
      <c r="I56" s="1915" t="s">
        <v>1550</v>
      </c>
      <c r="J56" s="1916" t="s">
        <v>3130</v>
      </c>
      <c r="K56" s="1886" t="s">
        <v>1551</v>
      </c>
      <c r="L56" s="1889" t="str">
        <f ca="1">IF(L48&lt;J51,"——",L48-J53)</f>
        <v>——</v>
      </c>
      <c r="O56" s="1883" t="s">
        <v>1037</v>
      </c>
      <c r="P56" s="1884" t="s">
        <v>1524</v>
      </c>
      <c r="Q56" s="1885">
        <f ca="1">C40+J29</f>
        <v>8885</v>
      </c>
      <c r="R56" s="1885" t="s">
        <v>1525</v>
      </c>
    </row>
    <row r="57" spans="1:18" s="1841" customFormat="1" ht="24.75" thickBot="1">
      <c r="A57" s="1917"/>
      <c r="B57" s="1169" t="s">
        <v>1474</v>
      </c>
      <c r="C57" s="281">
        <f ca="1">C29</f>
        <v>1910</v>
      </c>
      <c r="D57" s="1918"/>
      <c r="E57" s="1919"/>
      <c r="F57" s="1920"/>
      <c r="I57" s="1921" t="s">
        <v>1552</v>
      </c>
      <c r="J57" s="1922">
        <f ca="1">IF(OR(M47="住宅",J51&lt;L48,J56="是"),"——",J51-L48)</f>
        <v>18.75</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7" t="s">
        <v>1420</v>
      </c>
      <c r="C58" s="360">
        <f ca="1">ROUND(C59+C64+C65+C66,0)</f>
        <v>137</v>
      </c>
      <c r="D58" s="1179" t="s">
        <v>1421</v>
      </c>
      <c r="E58" s="1180"/>
      <c r="F58" s="1181"/>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ROUND(IF(项目基本情况!B11="自然人",C48*F59,C60+C61+C62),1)</f>
        <v>85.3</v>
      </c>
      <c r="D59" s="1182" t="s">
        <v>1426</v>
      </c>
      <c r="E59" s="1183" t="s">
        <v>1427</v>
      </c>
      <c r="F59" s="367" t="str">
        <f ca="1">IF(项目基本情况!B11="企业","",IF(INDIRECT("'数据-取费表'!c"&amp;$G$1)="住宅",5%,IF(F49*F50*F51/12/(1+'数据-取费表'!C42)&gt;20000,12%,7%)))</f>
        <v/>
      </c>
      <c r="I59" s="1921" t="s">
        <v>1559</v>
      </c>
      <c r="J59" s="1922">
        <f ca="1">IF(OR(M47="住宅",J51&lt;L48,J56="是"),"——",ROUND(C29*J58,0))</f>
        <v>764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IF(项目基本情况!B11="自然人","——",ROUND(C48*F60/(1+'数据-取费表'!C42),2))</f>
        <v>25.93</v>
      </c>
      <c r="D60" s="1183" t="s">
        <v>1430</v>
      </c>
      <c r="E60" s="1169" t="s">
        <v>1418</v>
      </c>
      <c r="F60" s="376">
        <f t="shared" ref="F60:F66" si="0">F32</f>
        <v>5.5000000000000007E-2</v>
      </c>
      <c r="I60" s="1924" t="s">
        <v>1561</v>
      </c>
      <c r="J60" s="1925">
        <f ca="1">IF(OR(M47="住宅",J51&lt;L48,J56="是"),"0",ROUND(J59/(1+J52)^J53,0))</f>
        <v>24</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59.4</v>
      </c>
      <c r="D61" s="1827" t="s">
        <v>3128</v>
      </c>
      <c r="E61" s="1169" t="s">
        <v>1418</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v>
      </c>
      <c r="D62" s="1184" t="s">
        <v>1438</v>
      </c>
      <c r="E62" s="1169" t="s">
        <v>1439</v>
      </c>
      <c r="F62" s="370">
        <f t="shared" si="0"/>
        <v>1.5</v>
      </c>
      <c r="I62" s="1928" t="s">
        <v>1566</v>
      </c>
      <c r="J62" s="1929" t="s">
        <v>1567</v>
      </c>
      <c r="K62" s="1929" t="s">
        <v>1568</v>
      </c>
      <c r="L62" s="1929" t="s">
        <v>1569</v>
      </c>
      <c r="M62" s="1930" t="s">
        <v>1570</v>
      </c>
      <c r="O62" s="1883" t="s">
        <v>1043</v>
      </c>
      <c r="P62" s="1884" t="s">
        <v>1545</v>
      </c>
      <c r="Q62" s="1885">
        <f ca="1">Q56+Q57</f>
        <v>8885</v>
      </c>
      <c r="R62" s="1885" t="s">
        <v>1044</v>
      </c>
    </row>
    <row r="63" spans="1:18" s="1841" customFormat="1" ht="13.5" thickBot="1">
      <c r="A63" s="371"/>
      <c r="B63" s="1175"/>
      <c r="C63" s="28"/>
      <c r="D63" s="1185"/>
      <c r="E63" s="1169" t="s">
        <v>1443</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f ca="1">ROUND(C57*F64,1)</f>
        <v>38.200000000000003</v>
      </c>
      <c r="D64" s="1183" t="s">
        <v>1478</v>
      </c>
      <c r="E64" s="1169" t="s">
        <v>1418</v>
      </c>
      <c r="F64" s="373">
        <f t="shared" ca="1" si="0"/>
        <v>0.02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3.7</v>
      </c>
      <c r="D65" s="1183" t="s">
        <v>1450</v>
      </c>
      <c r="E65" s="1169" t="s">
        <v>1418</v>
      </c>
      <c r="F65" s="375">
        <f t="shared" ca="1" si="0"/>
        <v>2E-3</v>
      </c>
      <c r="I65" s="1928" t="s">
        <v>1575</v>
      </c>
      <c r="J65" s="1929">
        <v>40</v>
      </c>
      <c r="K65" s="1929">
        <v>30</v>
      </c>
      <c r="L65" s="1929">
        <v>50</v>
      </c>
      <c r="M65" s="1931">
        <v>0.02</v>
      </c>
      <c r="O65" s="1883" t="s">
        <v>1037</v>
      </c>
      <c r="P65" s="1884" t="s">
        <v>1524</v>
      </c>
      <c r="Q65" s="1885">
        <f ca="1">C40+J29</f>
        <v>8885</v>
      </c>
      <c r="R65" s="1885" t="s">
        <v>1525</v>
      </c>
    </row>
    <row r="66" spans="1:18" s="1841" customFormat="1" ht="16.5" thickBot="1">
      <c r="A66" s="1201" t="s">
        <v>1500</v>
      </c>
      <c r="B66" s="1169" t="s">
        <v>1435</v>
      </c>
      <c r="C66" s="23">
        <f ca="1">ROUND(C48*F66,1)</f>
        <v>9.9</v>
      </c>
      <c r="D66" s="1183" t="s">
        <v>1455</v>
      </c>
      <c r="E66" s="1169" t="s">
        <v>1418</v>
      </c>
      <c r="F66" s="356">
        <f t="shared" ca="1" si="0"/>
        <v>0.02</v>
      </c>
      <c r="O66" s="1883" t="s">
        <v>1038</v>
      </c>
      <c r="P66" s="1884" t="s">
        <v>1554</v>
      </c>
      <c r="Q66" s="1885">
        <f ca="1">L60</f>
        <v>0</v>
      </c>
      <c r="R66" s="1885" t="s">
        <v>1577</v>
      </c>
    </row>
    <row r="67" spans="1:18" s="1841" customFormat="1" ht="16.5" thickBot="1">
      <c r="A67" s="1176" t="s">
        <v>1028</v>
      </c>
      <c r="B67" s="1186" t="s">
        <v>1459</v>
      </c>
      <c r="C67" s="360">
        <f ca="1">C48-C58</f>
        <v>358</v>
      </c>
      <c r="D67" s="1182" t="s">
        <v>1460</v>
      </c>
      <c r="E67" s="1187"/>
      <c r="F67" s="1188"/>
      <c r="O67" s="1893" t="s">
        <v>1039</v>
      </c>
      <c r="P67" s="1884" t="s">
        <v>1558</v>
      </c>
      <c r="Q67" s="1932">
        <f ca="1">L51</f>
        <v>3471</v>
      </c>
      <c r="R67" s="1885" t="s">
        <v>1578</v>
      </c>
    </row>
    <row r="68" spans="1:18" s="1841" customFormat="1" ht="16.5" thickBot="1">
      <c r="A68" s="1166" t="s">
        <v>1029</v>
      </c>
      <c r="B68" s="1167" t="s">
        <v>1481</v>
      </c>
      <c r="C68" s="345">
        <f ca="1">ROUND(C67*(1-((1+F70)/(1+F68))^F69)/(F68-F70),0)</f>
        <v>888</v>
      </c>
      <c r="D68" s="1184" t="s">
        <v>1465</v>
      </c>
      <c r="E68" s="1169" t="s">
        <v>1466</v>
      </c>
      <c r="F68" s="356">
        <f ca="1">F40</f>
        <v>5.5E-2</v>
      </c>
      <c r="O68" s="1893" t="s">
        <v>1040</v>
      </c>
      <c r="P68" s="1933" t="s">
        <v>1579</v>
      </c>
      <c r="Q68" s="1885">
        <f ca="1">ROUND(Q69-Q70*Q71,0)</f>
        <v>202</v>
      </c>
      <c r="R68" s="1885" t="s">
        <v>1048</v>
      </c>
    </row>
    <row r="69" spans="1:18" s="1841" customFormat="1" ht="13.5" thickBot="1">
      <c r="A69" s="1170"/>
      <c r="B69" s="1171"/>
      <c r="C69" s="350"/>
      <c r="D69" s="1189" t="s">
        <v>1469</v>
      </c>
      <c r="E69" s="1169" t="s">
        <v>1470</v>
      </c>
      <c r="F69" s="378">
        <f ca="1">F41</f>
        <v>2.67</v>
      </c>
      <c r="O69" s="1893" t="s">
        <v>1045</v>
      </c>
      <c r="P69" s="1933" t="s">
        <v>1580</v>
      </c>
      <c r="Q69" s="1885">
        <f ca="1">C39</f>
        <v>361</v>
      </c>
      <c r="R69" s="1885" t="s">
        <v>1525</v>
      </c>
    </row>
    <row r="70" spans="1:18" s="1841" customFormat="1" ht="13.5" thickBot="1">
      <c r="A70" s="1173"/>
      <c r="B70" s="1174"/>
      <c r="C70" s="354"/>
      <c r="D70" s="1185"/>
      <c r="E70" s="1169" t="s">
        <v>1473</v>
      </c>
      <c r="F70" s="1274">
        <f>'数据-取费表'!AA6</f>
        <v>0.03</v>
      </c>
      <c r="O70" s="1893" t="s">
        <v>1046</v>
      </c>
      <c r="P70" s="1933" t="s">
        <v>1581</v>
      </c>
      <c r="Q70" s="1885">
        <f ca="1">C13</f>
        <v>1872</v>
      </c>
      <c r="R70" s="1885" t="s">
        <v>1525</v>
      </c>
    </row>
    <row r="71" spans="1:18" s="1841" customFormat="1" ht="13.5" thickBot="1">
      <c r="A71" s="1190" t="s">
        <v>1030</v>
      </c>
      <c r="B71" s="1191" t="s">
        <v>1483</v>
      </c>
      <c r="C71" s="381">
        <f ca="1">ROUND(C68*10000/F71,0)</f>
        <v>3314</v>
      </c>
      <c r="D71" s="1192" t="s">
        <v>1484</v>
      </c>
      <c r="E71" s="1193" t="s">
        <v>1485</v>
      </c>
      <c r="F71" s="384">
        <f ca="1">F43</f>
        <v>2679.1499999999996</v>
      </c>
      <c r="O71" s="1893" t="s">
        <v>1047</v>
      </c>
      <c r="P71" s="1933" t="s">
        <v>1582</v>
      </c>
      <c r="Q71" s="1896">
        <f ca="1">C76</f>
        <v>8.5000000000000006E-2</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159</v>
      </c>
      <c r="D75" s="1841"/>
      <c r="E75" s="1841"/>
      <c r="F75" s="1841"/>
      <c r="K75" s="1867"/>
      <c r="L75" s="1841"/>
      <c r="O75" s="1883" t="s">
        <v>1043</v>
      </c>
      <c r="P75" s="1884" t="s">
        <v>1545</v>
      </c>
      <c r="Q75" s="1885">
        <f ca="1">Q65+Q66</f>
        <v>8885</v>
      </c>
      <c r="R75" s="1885" t="s">
        <v>1044</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0.56000000000000005</v>
      </c>
    </row>
    <row r="80" spans="1:18">
      <c r="B80" s="385" t="s">
        <v>1507</v>
      </c>
      <c r="C80" s="317">
        <f ca="1">ROUND(C75/C39,3)</f>
        <v>0.44</v>
      </c>
    </row>
    <row r="81" spans="2:3">
      <c r="B81" s="313" t="s">
        <v>1508</v>
      </c>
      <c r="C81" s="281"/>
    </row>
    <row r="82" spans="2:3">
      <c r="B82" s="316" t="s">
        <v>1509</v>
      </c>
      <c r="C82" s="318">
        <f ca="1">1-C83</f>
        <v>-1.1419999999999999</v>
      </c>
    </row>
    <row r="83" spans="2:3">
      <c r="B83" s="316" t="s">
        <v>1510</v>
      </c>
      <c r="C83" s="317">
        <f ca="1">ROUND(C13/C40,3)</f>
        <v>2.1419999999999999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B2" sqref="B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3416</v>
      </c>
      <c r="D1" s="1819" t="s">
        <v>70</v>
      </c>
      <c r="E1" s="1820" t="s">
        <v>1383</v>
      </c>
      <c r="F1" s="1282">
        <f ca="1">J53</f>
        <v>40.25</v>
      </c>
      <c r="G1" s="1835">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f ca="1">C40+J29+L46</f>
        <v>47180</v>
      </c>
      <c r="C2" s="1844" t="s">
        <v>1512</v>
      </c>
      <c r="D2" s="1844"/>
      <c r="E2" s="1845"/>
      <c r="F2" s="1846"/>
      <c r="G2" s="1847"/>
      <c r="H2" s="1839"/>
      <c r="I2" s="1839"/>
      <c r="J2" s="1839"/>
      <c r="K2" s="1840"/>
      <c r="L2" s="1839"/>
      <c r="M2" s="1839"/>
    </row>
    <row r="3" spans="1:37" ht="18" customHeight="1" thickBot="1">
      <c r="A3" s="1848" t="s">
        <v>1513</v>
      </c>
      <c r="B3" s="1849">
        <f ca="1">IF(ISERROR(B2*10000/F43),0,ROUND(B2*10000/F43,0))</f>
        <v>33107</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2629</v>
      </c>
      <c r="D5" s="1821" t="s">
        <v>1398</v>
      </c>
      <c r="E5" s="1292"/>
      <c r="F5" s="1293"/>
      <c r="G5" s="1850"/>
      <c r="H5" s="343">
        <v>1</v>
      </c>
      <c r="I5" s="344" t="s">
        <v>1397</v>
      </c>
      <c r="J5" s="1291">
        <f ca="1">J6+J10+J12</f>
        <v>0</v>
      </c>
      <c r="K5" s="1821" t="s">
        <v>1398</v>
      </c>
      <c r="L5" s="1292"/>
      <c r="M5" s="1293"/>
    </row>
    <row r="6" spans="1:37" ht="18" customHeight="1">
      <c r="A6" s="1290" t="s">
        <v>1032</v>
      </c>
      <c r="B6" s="3490" t="s">
        <v>1399</v>
      </c>
      <c r="C6" s="1295">
        <f ca="1">ROUND(F6*F8*F7*(1-F9)/10000,0)</f>
        <v>2622</v>
      </c>
      <c r="D6" s="163" t="s">
        <v>3031</v>
      </c>
      <c r="E6" s="346" t="s">
        <v>1401</v>
      </c>
      <c r="F6" s="347">
        <f ca="1">INDIRECT("'数据-取费表'!u"&amp;$G$1)</f>
        <v>5.6</v>
      </c>
      <c r="G6" s="1850"/>
      <c r="H6" s="1290" t="s">
        <v>1032</v>
      </c>
      <c r="I6" s="3490" t="s">
        <v>1399</v>
      </c>
      <c r="J6" s="345">
        <f ca="1">ROUND(M6*M8*M7*(1-M9)/10000,0)</f>
        <v>0</v>
      </c>
      <c r="K6" s="163" t="s">
        <v>3030</v>
      </c>
      <c r="L6" s="346" t="s">
        <v>1401</v>
      </c>
      <c r="M6" s="347">
        <f ca="1">INDIRECT("'数据-取费表'!z"&amp;$G$1)</f>
        <v>0</v>
      </c>
    </row>
    <row r="7" spans="1:37" ht="18" customHeight="1">
      <c r="A7" s="1294"/>
      <c r="B7" s="3491"/>
      <c r="C7" s="1296"/>
      <c r="D7" s="351"/>
      <c r="E7" s="3077" t="s">
        <v>1402</v>
      </c>
      <c r="F7" s="347">
        <f ca="1">IF(INDIRECT("'数据-取费表'!ah"&amp;$G$1)="",INDIRECT("'数据-取费表'!k"&amp;$G$1),INDIRECT("'数据-取费表'!ah"&amp;$G$1))</f>
        <v>14250.829999999996</v>
      </c>
      <c r="G7" s="1850"/>
      <c r="H7" s="348"/>
      <c r="I7" s="3491"/>
      <c r="J7" s="350"/>
      <c r="K7" s="351"/>
      <c r="L7" s="346" t="s">
        <v>1402</v>
      </c>
      <c r="M7" s="347">
        <f ca="1">F7</f>
        <v>14250.829999999996</v>
      </c>
    </row>
    <row r="8" spans="1:37" ht="18" customHeight="1">
      <c r="A8" s="348"/>
      <c r="B8" s="3491"/>
      <c r="C8" s="350"/>
      <c r="D8" s="351"/>
      <c r="E8" s="346" t="s">
        <v>1403</v>
      </c>
      <c r="F8" s="347">
        <f ca="1">INDIRECT("'数据-取费表'!ai"&amp;$G$1)</f>
        <v>365</v>
      </c>
      <c r="G8" s="1850"/>
      <c r="H8" s="348"/>
      <c r="I8" s="3491"/>
      <c r="J8" s="350"/>
      <c r="K8" s="351"/>
      <c r="L8" s="346" t="s">
        <v>1403</v>
      </c>
      <c r="M8" s="347">
        <f ca="1">INDIRECT("'数据-取费表'!ai"&amp;$G$1)</f>
        <v>365</v>
      </c>
    </row>
    <row r="9" spans="1:37" ht="18" customHeight="1">
      <c r="A9" s="348"/>
      <c r="B9" s="3492"/>
      <c r="C9" s="350"/>
      <c r="D9" s="351"/>
      <c r="E9" s="346" t="s">
        <v>1404</v>
      </c>
      <c r="F9" s="356">
        <f ca="1">INDIRECT("'数据-取费表'!w"&amp;$G$1)</f>
        <v>0.1</v>
      </c>
      <c r="G9" s="1850"/>
      <c r="H9" s="348"/>
      <c r="I9" s="3492"/>
      <c r="J9" s="350"/>
      <c r="K9" s="351"/>
      <c r="L9" s="357" t="s">
        <v>1404</v>
      </c>
      <c r="M9" s="358">
        <f ca="1">INDIRECT("'数据-取费表'!ab"&amp;$G$1)</f>
        <v>0</v>
      </c>
    </row>
    <row r="10" spans="1:37" ht="18" customHeight="1">
      <c r="A10" s="1290" t="s">
        <v>1036</v>
      </c>
      <c r="B10" s="1822" t="s">
        <v>1405</v>
      </c>
      <c r="C10" s="360">
        <f ca="1">ROUND(IF(F10="押一",C6/12*F11,IF(F10="押二",C6/12*2*F11,IF(F10="押三",C6/12*3*F11,C11*F11))),0)</f>
        <v>7</v>
      </c>
      <c r="D10" s="1823" t="s">
        <v>3039</v>
      </c>
      <c r="E10" s="357" t="s">
        <v>1406</v>
      </c>
      <c r="F10" s="1365" t="s">
        <v>3460</v>
      </c>
      <c r="G10" s="1850"/>
      <c r="H10" s="1290" t="s">
        <v>1036</v>
      </c>
      <c r="I10" s="1822" t="s">
        <v>1405</v>
      </c>
      <c r="J10" s="345">
        <f ca="1">ROUND(IF(M10="押一",J6/12*M11,IF(M10="押二",J6/12*2*M11,IF(M10="押三",J6/12*3*M11,J11*M11))),0)</f>
        <v>0</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9952</v>
      </c>
      <c r="D13" s="1330" t="s">
        <v>1411</v>
      </c>
      <c r="E13" s="1330" t="s">
        <v>1412</v>
      </c>
      <c r="F13" s="1331">
        <f ca="1">INDIRECT("'数据-取费表'!y"&amp;$G$1)</f>
        <v>0.98</v>
      </c>
      <c r="G13" s="1850"/>
      <c r="H13" s="1328">
        <v>2</v>
      </c>
      <c r="I13" s="1329" t="s">
        <v>1410</v>
      </c>
      <c r="J13" s="1289">
        <f ca="1">ROUND(J14*J15,0)</f>
        <v>0</v>
      </c>
      <c r="K13" s="1336" t="s">
        <v>1411</v>
      </c>
      <c r="L13" s="1851"/>
      <c r="M13" s="1852"/>
    </row>
    <row r="14" spans="1:37" ht="18" customHeight="1">
      <c r="A14" s="1201" t="s">
        <v>1031</v>
      </c>
      <c r="B14" s="346" t="s">
        <v>1413</v>
      </c>
      <c r="C14" s="362">
        <f ca="1">INDIRECT("'数据-取费表'!m"&amp;$G$1)+INDIRECT("'数据-取费表'!t"&amp;$G$1)</f>
        <v>6413</v>
      </c>
      <c r="D14" s="3073" t="s">
        <v>1414</v>
      </c>
      <c r="E14" s="3072"/>
      <c r="F14" s="363"/>
      <c r="G14" s="1850"/>
      <c r="H14" s="1201" t="s">
        <v>1032</v>
      </c>
      <c r="I14" s="346" t="s">
        <v>1415</v>
      </c>
      <c r="J14" s="23">
        <f ca="1">C29</f>
        <v>10155</v>
      </c>
      <c r="K14" s="3076"/>
      <c r="L14" s="979"/>
      <c r="M14" s="980"/>
    </row>
    <row r="15" spans="1:37" s="1857" customFormat="1" ht="18" customHeight="1" thickBot="1">
      <c r="A15" s="1201" t="s">
        <v>1033</v>
      </c>
      <c r="B15" s="346" t="s">
        <v>1416</v>
      </c>
      <c r="C15" s="23">
        <f ca="1">ROUND(C14*F15,0)</f>
        <v>321</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288</v>
      </c>
      <c r="K16" s="1336" t="s">
        <v>1421</v>
      </c>
      <c r="L16" s="3070"/>
      <c r="M16" s="1293"/>
    </row>
    <row r="17" spans="1:37" s="1857" customFormat="1" ht="18" customHeight="1">
      <c r="A17" s="1201" t="s">
        <v>1386</v>
      </c>
      <c r="B17" s="346" t="s">
        <v>1422</v>
      </c>
      <c r="C17" s="23">
        <f ca="1">ROUND(F17*(F43+INDIRECT("'数据-取费表'!S"&amp;$G$1))/10000,0)</f>
        <v>285</v>
      </c>
      <c r="D17" s="346" t="s">
        <v>1423</v>
      </c>
      <c r="E17" s="346" t="s">
        <v>1424</v>
      </c>
      <c r="F17" s="25">
        <f>'数据-取费表'!B35</f>
        <v>200</v>
      </c>
      <c r="G17" s="1853"/>
      <c r="H17" s="1201" t="s">
        <v>1032</v>
      </c>
      <c r="I17" s="346" t="s">
        <v>1425</v>
      </c>
      <c r="J17" s="23">
        <f ca="1">ROUND(IF(项目基本情况!B11="自然人",J5*M17,J18+J19+J20),1)</f>
        <v>85.3</v>
      </c>
      <c r="K17" s="3073" t="s">
        <v>1426</v>
      </c>
      <c r="L17" s="307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96</v>
      </c>
      <c r="D18" s="346" t="s">
        <v>1417</v>
      </c>
      <c r="E18" s="346" t="s">
        <v>1418</v>
      </c>
      <c r="F18" s="366">
        <f>'数据-取费表'!B36</f>
        <v>1.4999999999999999E-2</v>
      </c>
      <c r="G18" s="1853"/>
      <c r="H18" s="1201" t="s">
        <v>1031</v>
      </c>
      <c r="I18" s="346" t="s">
        <v>1429</v>
      </c>
      <c r="J18" s="23">
        <f ca="1">ROUND(J5*M18/(1+'数据-取费表'!C42),2)</f>
        <v>0</v>
      </c>
      <c r="K18" s="307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7115</v>
      </c>
      <c r="D19" s="139" t="s">
        <v>1432</v>
      </c>
      <c r="E19" s="3075"/>
      <c r="F19" s="25"/>
      <c r="G19" s="1850"/>
      <c r="H19" s="1201" t="s">
        <v>1033</v>
      </c>
      <c r="I19" s="346" t="s">
        <v>1433</v>
      </c>
      <c r="J19" s="23">
        <f ca="1">IF(K19="按租金收入计税",ROUND(J5*M19,2),ROUND(C29*M19*0.7,2))</f>
        <v>85.3</v>
      </c>
      <c r="K19" s="1827" t="s">
        <v>1434</v>
      </c>
      <c r="L19" s="346" t="s">
        <v>1418</v>
      </c>
      <c r="M19" s="366">
        <f>IF(K19="按租金收入计税",'数据-取费表'!B51,'数据-取费表'!B50)</f>
        <v>1.2E-2</v>
      </c>
    </row>
    <row r="20" spans="1:37" s="1857" customFormat="1" ht="18" customHeight="1">
      <c r="A20" s="1201" t="s">
        <v>1036</v>
      </c>
      <c r="B20" s="346" t="s">
        <v>1435</v>
      </c>
      <c r="C20" s="23">
        <f ca="1">ROUND(C19*F20,0)</f>
        <v>213</v>
      </c>
      <c r="D20" s="368" t="s">
        <v>1436</v>
      </c>
      <c r="E20" s="346" t="s">
        <v>1418</v>
      </c>
      <c r="F20" s="366">
        <f>'数据-取费表'!B37</f>
        <v>0.03</v>
      </c>
      <c r="G20" s="1853"/>
      <c r="H20" s="1201" t="s">
        <v>1385</v>
      </c>
      <c r="I20" s="163" t="s">
        <v>1437</v>
      </c>
      <c r="J20" s="24">
        <f ca="1">ROUND(M20*M21/10000,2)</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3075"/>
      <c r="F22" s="25"/>
      <c r="G22" s="1850"/>
      <c r="H22" s="1201" t="s">
        <v>1036</v>
      </c>
      <c r="I22" s="346" t="s">
        <v>1445</v>
      </c>
      <c r="J22" s="23">
        <f ca="1">ROUND(J14*M22,1)</f>
        <v>203.1</v>
      </c>
      <c r="K22" s="3071" t="s">
        <v>1446</v>
      </c>
      <c r="L22" s="346" t="s">
        <v>1418</v>
      </c>
      <c r="M22" s="373">
        <f ca="1">INDIRECT("'数据-取费表'!Ak"&amp;$G$1)</f>
        <v>0.02</v>
      </c>
    </row>
    <row r="23" spans="1:37" s="1857" customFormat="1" ht="18" customHeight="1">
      <c r="A23" s="1201" t="s">
        <v>1031</v>
      </c>
      <c r="B23" s="346" t="s">
        <v>1447</v>
      </c>
      <c r="C23" s="23">
        <f ca="1">IF('数据-取费表'!B22&lt;=1,ROUND(C19*F24*F23/2,0)+ROUND(C20*F24*F23/2,0),ROUND(C19*(POWER((1+F24),F23/2)-1),0)+ROUND(C20*(POWER((1+F24),F23/2)-1),0))</f>
        <v>79</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ROUND(J13*M23,1)</f>
        <v>0</v>
      </c>
      <c r="K23" s="3071" t="s">
        <v>1450</v>
      </c>
      <c r="L23" s="346" t="s">
        <v>1418</v>
      </c>
      <c r="M23" s="375">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f ca="1">ROUND(J5*M24,1)</f>
        <v>0</v>
      </c>
      <c r="K24" s="1341" t="s">
        <v>1455</v>
      </c>
      <c r="L24" s="1339" t="s">
        <v>1418</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3075"/>
      <c r="F25" s="25"/>
      <c r="G25" s="1850"/>
      <c r="H25" s="1328" t="s">
        <v>1028</v>
      </c>
      <c r="I25" s="1343" t="s">
        <v>1459</v>
      </c>
      <c r="J25" s="354">
        <f ca="1">J5-J16</f>
        <v>-288</v>
      </c>
      <c r="K25" s="1344" t="s">
        <v>1460</v>
      </c>
      <c r="L25" s="1345"/>
      <c r="M25" s="1346"/>
    </row>
    <row r="26" spans="1:37">
      <c r="A26" s="1201" t="s">
        <v>1031</v>
      </c>
      <c r="B26" s="346" t="s">
        <v>1461</v>
      </c>
      <c r="C26" s="23">
        <f ca="1">ROUND((C19+C20)*F26,0)</f>
        <v>1832</v>
      </c>
      <c r="D26" s="368" t="s">
        <v>1462</v>
      </c>
      <c r="E26" s="357" t="s">
        <v>1463</v>
      </c>
      <c r="F26" s="356">
        <f ca="1">INDIRECT("'数据-取费表'!q"&amp;$G$1)</f>
        <v>0.25</v>
      </c>
      <c r="G26" s="1850"/>
      <c r="H26" s="343" t="s">
        <v>1029</v>
      </c>
      <c r="I26" s="344" t="s">
        <v>1464</v>
      </c>
      <c r="J26" s="345">
        <f ca="1">IF(J5&lt;&gt;0,ROUND(J25*(1-((1+M28)/(1+M26))^M27)/(M26-M28),0),0)</f>
        <v>0</v>
      </c>
      <c r="K26" s="369" t="s">
        <v>1465</v>
      </c>
      <c r="L26" s="346" t="s">
        <v>1466</v>
      </c>
      <c r="M26" s="356">
        <f ca="1">INDIRECT("'数据-取费表'!I"&amp;$G$1)</f>
        <v>5.5E-2</v>
      </c>
    </row>
    <row r="27" spans="1:37" ht="18" customHeight="1">
      <c r="A27" s="1201" t="s">
        <v>1033</v>
      </c>
      <c r="B27" s="346" t="s">
        <v>1467</v>
      </c>
      <c r="C27" s="23">
        <f ca="1">ROUND(F21*F26,4)</f>
        <v>7.4999999999999997E-3</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10155</v>
      </c>
      <c r="D29" s="1341"/>
      <c r="E29" s="1339"/>
      <c r="F29" s="1342"/>
      <c r="G29" s="1853"/>
      <c r="H29" s="379" t="s">
        <v>1030</v>
      </c>
      <c r="I29" s="380" t="s">
        <v>1475</v>
      </c>
      <c r="J29" s="381">
        <f ca="1">ROUND(J26/(1+F40)^F41,0)</f>
        <v>0</v>
      </c>
      <c r="K29" s="382" t="s">
        <v>1476</v>
      </c>
      <c r="L29" s="383"/>
      <c r="M29" s="384">
        <f ca="1">INDIRECT("'数据-取费表'!k"&amp;$G$1)</f>
        <v>14250.829999999996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729</v>
      </c>
      <c r="D30" s="1336" t="s">
        <v>1421</v>
      </c>
      <c r="E30" s="3070"/>
      <c r="F30" s="1293"/>
      <c r="G30" s="1850"/>
      <c r="H30" s="742"/>
      <c r="I30" s="743"/>
      <c r="J30" s="744"/>
      <c r="K30" s="745"/>
      <c r="L30" s="746"/>
      <c r="M30" s="747"/>
    </row>
    <row r="31" spans="1:37" ht="18" customHeight="1">
      <c r="A31" s="1201" t="s">
        <v>1032</v>
      </c>
      <c r="B31" s="346" t="s">
        <v>1425</v>
      </c>
      <c r="C31" s="23">
        <f ca="1">ROUND(IF(项目基本情况!B11="自然人",C5*F31,C32+C33+C34),1)</f>
        <v>453.2</v>
      </c>
      <c r="D31" s="3073" t="s">
        <v>1426</v>
      </c>
      <c r="E31" s="307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IF(项目基本情况!B11="自然人","——",ROUND(C5*F32/(1+'数据-取费表'!C42),2))</f>
        <v>137.71</v>
      </c>
      <c r="D32" s="307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315.48</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f ca="1">IF(项目基本情况!B11="自然人","——",ROUND(F34*F35/10000,2))</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ROUND(C29*F36,1)</f>
        <v>203.1</v>
      </c>
      <c r="D36" s="3071" t="s">
        <v>1478</v>
      </c>
      <c r="E36" s="346" t="s">
        <v>1418</v>
      </c>
      <c r="F36" s="373">
        <f ca="1">INDIRECT("'数据-取费表'!Ak"&amp;$G$1)</f>
        <v>0.02</v>
      </c>
      <c r="G36" s="1850"/>
      <c r="H36" s="1858"/>
      <c r="I36" s="1859"/>
      <c r="J36" s="1860"/>
      <c r="K36" s="748"/>
      <c r="L36" s="1858"/>
      <c r="M36" s="1858"/>
    </row>
    <row r="37" spans="1:18" ht="18" customHeight="1">
      <c r="A37" s="1201" t="s">
        <v>1072</v>
      </c>
      <c r="B37" s="346" t="s">
        <v>1449</v>
      </c>
      <c r="C37" s="23">
        <f ca="1">ROUND(C13*F37,1)</f>
        <v>19.899999999999999</v>
      </c>
      <c r="D37" s="3071" t="s">
        <v>1450</v>
      </c>
      <c r="E37" s="346" t="s">
        <v>1418</v>
      </c>
      <c r="F37" s="375">
        <f ca="1">INDIRECT("'数据-取费表'!Al"&amp;$G$1)</f>
        <v>2E-3</v>
      </c>
      <c r="G37" s="1850"/>
      <c r="H37" s="1858"/>
      <c r="I37" s="1859"/>
      <c r="J37" s="1860"/>
      <c r="K37" s="748"/>
      <c r="L37" s="1858"/>
      <c r="M37" s="1858"/>
    </row>
    <row r="38" spans="1:18" ht="18" customHeight="1" thickBot="1">
      <c r="A38" s="1338" t="s">
        <v>1388</v>
      </c>
      <c r="B38" s="1339" t="s">
        <v>1435</v>
      </c>
      <c r="C38" s="1340">
        <f ca="1">ROUND(C5*F38,1)</f>
        <v>52.6</v>
      </c>
      <c r="D38" s="1341" t="s">
        <v>1455</v>
      </c>
      <c r="E38" s="1339" t="s">
        <v>1418</v>
      </c>
      <c r="F38" s="1335">
        <f ca="1">INDIRECT("'数据-取费表'!Am"&amp;$G$1)</f>
        <v>0.02</v>
      </c>
      <c r="G38" s="1850"/>
      <c r="H38" s="1858"/>
      <c r="I38" s="1859"/>
      <c r="J38" s="1860"/>
      <c r="K38" s="1864"/>
      <c r="L38" s="1858"/>
      <c r="M38" s="1858"/>
    </row>
    <row r="39" spans="1:18" ht="24.6" customHeight="1" thickTop="1">
      <c r="A39" s="1328" t="s">
        <v>1028</v>
      </c>
      <c r="B39" s="1343" t="s">
        <v>1459</v>
      </c>
      <c r="C39" s="354">
        <f ca="1">C5-C30</f>
        <v>1900</v>
      </c>
      <c r="D39" s="1344" t="s">
        <v>1460</v>
      </c>
      <c r="E39" s="1345"/>
      <c r="F39" s="1346"/>
      <c r="G39" s="1850"/>
      <c r="H39" s="1858"/>
      <c r="I39" s="1859"/>
      <c r="J39" s="1860"/>
      <c r="K39" s="1864"/>
      <c r="L39" s="1858"/>
      <c r="M39" s="1858"/>
    </row>
    <row r="40" spans="1:18" ht="18" customHeight="1">
      <c r="A40" s="343" t="s">
        <v>1029</v>
      </c>
      <c r="B40" s="344" t="s">
        <v>1481</v>
      </c>
      <c r="C40" s="345">
        <f ca="1">ROUND(C39*(1-((1+F42)/(1+F40))^F41)/(F40-F42),0)</f>
        <v>47053</v>
      </c>
      <c r="D40" s="369" t="s">
        <v>1465</v>
      </c>
      <c r="E40" s="346" t="s">
        <v>1466</v>
      </c>
      <c r="F40" s="356">
        <f ca="1">INDIRECT("'数据-取费表'!I"&amp;$G$1)</f>
        <v>5.5E-2</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40.25</v>
      </c>
      <c r="G41" s="1850"/>
      <c r="H41" s="729"/>
      <c r="I41" s="1859"/>
      <c r="J41" s="1860"/>
      <c r="K41" s="748"/>
      <c r="L41" s="729"/>
      <c r="M41" s="729"/>
    </row>
    <row r="42" spans="1:18" ht="18" customHeight="1">
      <c r="A42" s="352"/>
      <c r="B42" s="353"/>
      <c r="C42" s="354"/>
      <c r="D42" s="372"/>
      <c r="E42" s="346" t="s">
        <v>1473</v>
      </c>
      <c r="F42" s="356">
        <f ca="1">INDIRECT("'数据-取费表'!v"&amp;$G$1)</f>
        <v>0.03</v>
      </c>
      <c r="G42" s="1850"/>
      <c r="H42" s="729"/>
      <c r="I42" s="1859"/>
      <c r="J42" s="1860"/>
      <c r="K42" s="748"/>
      <c r="L42" s="729"/>
      <c r="M42" s="729"/>
    </row>
    <row r="43" spans="1:18" ht="18" customHeight="1" thickBot="1">
      <c r="A43" s="379" t="s">
        <v>1030</v>
      </c>
      <c r="B43" s="380" t="s">
        <v>1483</v>
      </c>
      <c r="C43" s="381">
        <f ca="1">ROUND(C40*10000/F43,0)</f>
        <v>33018</v>
      </c>
      <c r="D43" s="382" t="s">
        <v>1484</v>
      </c>
      <c r="E43" s="383" t="s">
        <v>1485</v>
      </c>
      <c r="F43" s="384">
        <f ca="1">INDIRECT("'数据-取费表'!k"&amp;$G$1)</f>
        <v>14250.829999999996</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f ca="1">C68-C40</f>
        <v>-64349</v>
      </c>
      <c r="D46" s="1871" t="str">
        <f>C2</f>
        <v>万元</v>
      </c>
      <c r="E46" s="1865"/>
      <c r="F46" s="1865"/>
      <c r="I46" s="1872" t="s">
        <v>1517</v>
      </c>
      <c r="J46" s="1873"/>
      <c r="K46" s="1874"/>
      <c r="L46" s="1875">
        <f ca="1">IF(M47="住宅",0,IF(L48&gt;J51,L60,J60))</f>
        <v>127</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f ca="1">INDIRECT("'数据-取费表'!d"&amp;$G$1)</f>
        <v>50</v>
      </c>
      <c r="M47" s="1837" t="str">
        <f>IF(ISNUMBER(FIND("住宅",C1)),"住宅","非住宅")</f>
        <v>非住宅</v>
      </c>
      <c r="O47" s="1883" t="s">
        <v>1037</v>
      </c>
      <c r="P47" s="1884" t="s">
        <v>1524</v>
      </c>
      <c r="Q47" s="1885">
        <f ca="1">C40+J29</f>
        <v>47053</v>
      </c>
      <c r="R47" s="1885" t="s">
        <v>1525</v>
      </c>
    </row>
    <row r="48" spans="1:18" s="1841" customFormat="1" ht="28.5" thickBot="1">
      <c r="A48" s="1359" t="s">
        <v>1132</v>
      </c>
      <c r="B48" s="344" t="s">
        <v>1397</v>
      </c>
      <c r="C48" s="3074">
        <f ca="1">C49+C53+C55</f>
        <v>0</v>
      </c>
      <c r="D48" s="1361"/>
      <c r="E48" s="1362"/>
      <c r="F48" s="1181"/>
      <c r="G48" s="789"/>
      <c r="H48" s="790"/>
      <c r="I48" s="1886" t="s">
        <v>1526</v>
      </c>
      <c r="J48" s="1887" t="s">
        <v>3129</v>
      </c>
      <c r="K48" s="1888" t="s">
        <v>1527</v>
      </c>
      <c r="L48" s="1889">
        <f ca="1">INDIRECT("'数据-取费表'!f"&amp;$G$1)</f>
        <v>40.25</v>
      </c>
      <c r="O48" s="1883" t="s">
        <v>1038</v>
      </c>
      <c r="P48" s="1884" t="s">
        <v>1528</v>
      </c>
      <c r="Q48" s="1885">
        <f ca="1">J60</f>
        <v>127</v>
      </c>
      <c r="R48" s="1885" t="s">
        <v>1529</v>
      </c>
    </row>
    <row r="49" spans="1:18" s="1841" customFormat="1" ht="13.5" thickBot="1">
      <c r="A49" s="1194" t="s">
        <v>1133</v>
      </c>
      <c r="B49" s="1828" t="s">
        <v>1486</v>
      </c>
      <c r="C49" s="1363">
        <f ca="1">ROUND(F49*F51*F50*(1-F52)/10000,0)</f>
        <v>0</v>
      </c>
      <c r="D49" s="1275" t="s">
        <v>3030</v>
      </c>
      <c r="E49" s="1829" t="s">
        <v>1487</v>
      </c>
      <c r="F49" s="1280"/>
      <c r="G49" s="1890"/>
      <c r="H49" s="790"/>
      <c r="I49" s="1886" t="s">
        <v>1530</v>
      </c>
      <c r="J49" s="1891">
        <v>2018</v>
      </c>
      <c r="K49" s="1888" t="s">
        <v>1531</v>
      </c>
      <c r="L49" s="1892"/>
      <c r="O49" s="1893" t="s">
        <v>1039</v>
      </c>
      <c r="P49" s="1884" t="s">
        <v>1532</v>
      </c>
      <c r="Q49" s="1885">
        <f ca="1">C29</f>
        <v>10155</v>
      </c>
      <c r="R49" s="1885" t="s">
        <v>1525</v>
      </c>
    </row>
    <row r="50" spans="1:18" s="1841" customFormat="1" ht="13.5" thickBot="1">
      <c r="A50" s="1195"/>
      <c r="B50" s="1198"/>
      <c r="C50" s="1367"/>
      <c r="D50" s="1172"/>
      <c r="E50" s="1276" t="s">
        <v>1402</v>
      </c>
      <c r="F50" s="1277">
        <f ca="1">F7</f>
        <v>14250.829999999996</v>
      </c>
      <c r="H50" s="790"/>
      <c r="I50" s="1886" t="s">
        <v>1533</v>
      </c>
      <c r="J50" s="1894">
        <f>SUMPRODUCT((I63:I65=J47)*(J62:L62=J48)*(J63:L65))</f>
        <v>60</v>
      </c>
      <c r="K50" s="1888" t="s">
        <v>1534</v>
      </c>
      <c r="L50" s="1892"/>
      <c r="M50" s="1895"/>
      <c r="O50" s="1893" t="s">
        <v>1040</v>
      </c>
      <c r="P50" s="1884" t="s">
        <v>1535</v>
      </c>
      <c r="Q50" s="1896">
        <f ca="1">J58</f>
        <v>0.4</v>
      </c>
      <c r="R50" s="1885"/>
    </row>
    <row r="51" spans="1:18" s="1841" customFormat="1" ht="13.5" thickBot="1">
      <c r="A51" s="1196"/>
      <c r="B51" s="1198"/>
      <c r="C51" s="1199"/>
      <c r="D51" s="1172"/>
      <c r="E51" s="1200" t="s">
        <v>1403</v>
      </c>
      <c r="F51" s="347">
        <f ca="1">F8</f>
        <v>365</v>
      </c>
      <c r="I51" s="1897" t="s">
        <v>1536</v>
      </c>
      <c r="J51" s="1898">
        <f>IF(J49="",J50,J49+J50-YEAR('数据-取费表'!B2))</f>
        <v>59</v>
      </c>
      <c r="K51" s="1899" t="s">
        <v>1537</v>
      </c>
      <c r="L51" s="1900">
        <f ca="1">ROUND(-PV(INDIRECT("'数据-取费表'!h"&amp;$G$1),L48,(C39-C13*C76),0),0)</f>
        <v>18123</v>
      </c>
      <c r="M51" s="1901"/>
      <c r="O51" s="1893" t="s">
        <v>1041</v>
      </c>
      <c r="P51" s="1884" t="s">
        <v>1538</v>
      </c>
      <c r="Q51" s="1896">
        <f>J52</f>
        <v>0.09</v>
      </c>
      <c r="R51" s="1885"/>
    </row>
    <row r="52" spans="1:18" s="1841" customFormat="1" ht="13.5" thickBot="1">
      <c r="A52" s="1196"/>
      <c r="B52" s="1198"/>
      <c r="C52" s="1199"/>
      <c r="D52" s="1172"/>
      <c r="E52" s="1200" t="s">
        <v>1404</v>
      </c>
      <c r="F52" s="1274"/>
      <c r="I52" s="1902" t="s">
        <v>1539</v>
      </c>
      <c r="J52" s="1903">
        <v>0.09</v>
      </c>
      <c r="K52" s="1902" t="s">
        <v>1540</v>
      </c>
      <c r="L52" s="1903"/>
      <c r="O52" s="1893" t="s">
        <v>1042</v>
      </c>
      <c r="P52" s="1884" t="s">
        <v>1541</v>
      </c>
      <c r="Q52" s="1885">
        <f ca="1">J53</f>
        <v>40.25</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40.25</v>
      </c>
      <c r="K53" s="3493" t="s">
        <v>1544</v>
      </c>
      <c r="L53" s="3494"/>
      <c r="O53" s="1883" t="s">
        <v>1043</v>
      </c>
      <c r="P53" s="1884" t="s">
        <v>1545</v>
      </c>
      <c r="Q53" s="1885">
        <f ca="1">Q47+Q48</f>
        <v>47180</v>
      </c>
      <c r="R53" s="1885" t="s">
        <v>1044</v>
      </c>
    </row>
    <row r="54" spans="1:18" s="1841" customFormat="1" ht="13.5" thickBot="1">
      <c r="A54" s="1405"/>
      <c r="B54" s="1824" t="s">
        <v>1384</v>
      </c>
      <c r="C54" s="1178"/>
      <c r="D54" s="1823"/>
      <c r="E54" s="307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3078"/>
      <c r="F55" s="1906"/>
      <c r="I55" s="1909" t="s">
        <v>1547</v>
      </c>
      <c r="J55" s="1910">
        <f ca="1">ROUND(IF(J47="钢混",J57/J50,1-(1-2%)*(J50-J57)/J50),3)</f>
        <v>0.313</v>
      </c>
      <c r="K55" s="1911" t="s">
        <v>1548</v>
      </c>
      <c r="L55" s="1912" t="s">
        <v>1549</v>
      </c>
      <c r="O55" s="1876" t="s">
        <v>1518</v>
      </c>
      <c r="P55" s="1877" t="s">
        <v>1519</v>
      </c>
      <c r="Q55" s="1878" t="s">
        <v>1520</v>
      </c>
      <c r="R55" s="1878" t="s">
        <v>1521</v>
      </c>
    </row>
    <row r="56" spans="1:18" s="1841" customFormat="1" ht="25.5" thickTop="1" thickBot="1">
      <c r="A56" s="1176">
        <v>2</v>
      </c>
      <c r="B56" s="1177" t="s">
        <v>1410</v>
      </c>
      <c r="C56" s="275">
        <f ca="1">C13</f>
        <v>9952</v>
      </c>
      <c r="D56" s="1913"/>
      <c r="E56" s="1914"/>
      <c r="F56" s="1906"/>
      <c r="I56" s="1915" t="s">
        <v>1550</v>
      </c>
      <c r="J56" s="1916" t="s">
        <v>3130</v>
      </c>
      <c r="K56" s="1886" t="s">
        <v>1551</v>
      </c>
      <c r="L56" s="1889" t="str">
        <f ca="1">IF(L48&lt;J51,"——",L48-J53)</f>
        <v>——</v>
      </c>
      <c r="O56" s="1883" t="s">
        <v>1037</v>
      </c>
      <c r="P56" s="1884" t="s">
        <v>1524</v>
      </c>
      <c r="Q56" s="1885">
        <f ca="1">C40+J29</f>
        <v>47053</v>
      </c>
      <c r="R56" s="1885" t="s">
        <v>1525</v>
      </c>
    </row>
    <row r="57" spans="1:18" s="1841" customFormat="1" ht="24.75" thickBot="1">
      <c r="A57" s="1917"/>
      <c r="B57" s="1169" t="s">
        <v>1474</v>
      </c>
      <c r="C57" s="281">
        <f ca="1">C29</f>
        <v>10155</v>
      </c>
      <c r="D57" s="1918"/>
      <c r="E57" s="1919"/>
      <c r="F57" s="1920"/>
      <c r="I57" s="1921" t="s">
        <v>1552</v>
      </c>
      <c r="J57" s="1922">
        <f ca="1">IF(OR(M47="住宅",J51&lt;L48,J56="是"),"——",J51-L48)</f>
        <v>18.75</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59" t="s">
        <v>1027</v>
      </c>
      <c r="B58" s="1177" t="s">
        <v>1420</v>
      </c>
      <c r="C58" s="360">
        <f ca="1">ROUND(C59+C64+C65+C66,0)</f>
        <v>1076</v>
      </c>
      <c r="D58" s="1179" t="s">
        <v>1421</v>
      </c>
      <c r="E58" s="1180"/>
      <c r="F58" s="1181"/>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ROUND(IF(项目基本情况!B11="自然人",C48*F59,C60+C61+C62),1)</f>
        <v>853</v>
      </c>
      <c r="D59" s="1182" t="s">
        <v>1426</v>
      </c>
      <c r="E59" s="1183" t="s">
        <v>1427</v>
      </c>
      <c r="F59" s="367" t="str">
        <f ca="1">IF(项目基本情况!B11="企业","",IF(INDIRECT("'数据-取费表'!c"&amp;$G$1)="住宅",5%,IF(F49*F50*F51/12/(1+'数据-取费表'!C42)&gt;20000,12%,7%)))</f>
        <v/>
      </c>
      <c r="I59" s="1921" t="s">
        <v>1559</v>
      </c>
      <c r="J59" s="1922">
        <f ca="1">IF(OR(M47="住宅",J51&lt;L48,J56="是"),"——",ROUND(C29*J58,0))</f>
        <v>4062</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4" t="s">
        <v>1561</v>
      </c>
      <c r="J60" s="1925">
        <f ca="1">IF(OR(M47="住宅",J51&lt;L48,J56="是"),"0",ROUND(J59/(1+J52)^J53,0))</f>
        <v>127</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853.02</v>
      </c>
      <c r="D61" s="1827" t="s">
        <v>1434</v>
      </c>
      <c r="E61" s="1169" t="s">
        <v>1418</v>
      </c>
      <c r="F61" s="366">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v>
      </c>
      <c r="D62" s="1184" t="s">
        <v>1438</v>
      </c>
      <c r="E62" s="1169" t="s">
        <v>1439</v>
      </c>
      <c r="F62" s="370">
        <f t="shared" si="0"/>
        <v>1.5</v>
      </c>
      <c r="I62" s="1928" t="s">
        <v>1566</v>
      </c>
      <c r="J62" s="1929" t="s">
        <v>1567</v>
      </c>
      <c r="K62" s="1929" t="s">
        <v>1568</v>
      </c>
      <c r="L62" s="1929" t="s">
        <v>1569</v>
      </c>
      <c r="M62" s="1930" t="s">
        <v>1570</v>
      </c>
      <c r="O62" s="1883" t="s">
        <v>1043</v>
      </c>
      <c r="P62" s="1884" t="s">
        <v>1545</v>
      </c>
      <c r="Q62" s="1885">
        <f ca="1">Q56+Q57</f>
        <v>47053</v>
      </c>
      <c r="R62" s="1885" t="s">
        <v>1044</v>
      </c>
    </row>
    <row r="63" spans="1:18" s="1841" customFormat="1" ht="13.5" thickBot="1">
      <c r="A63" s="371"/>
      <c r="B63" s="1175"/>
      <c r="C63" s="28"/>
      <c r="D63" s="1185"/>
      <c r="E63" s="1169" t="s">
        <v>1443</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f ca="1">ROUND(C57*F64,1)</f>
        <v>203.1</v>
      </c>
      <c r="D64" s="1183" t="s">
        <v>1478</v>
      </c>
      <c r="E64" s="1169" t="s">
        <v>1418</v>
      </c>
      <c r="F64" s="373">
        <f t="shared" ca="1" si="0"/>
        <v>0.02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19.899999999999999</v>
      </c>
      <c r="D65" s="1183" t="s">
        <v>1450</v>
      </c>
      <c r="E65" s="1169" t="s">
        <v>1418</v>
      </c>
      <c r="F65" s="375">
        <f t="shared" ca="1" si="0"/>
        <v>2E-3</v>
      </c>
      <c r="I65" s="1928" t="s">
        <v>1575</v>
      </c>
      <c r="J65" s="1929">
        <v>40</v>
      </c>
      <c r="K65" s="1929">
        <v>30</v>
      </c>
      <c r="L65" s="1929">
        <v>50</v>
      </c>
      <c r="M65" s="1931">
        <v>0.02</v>
      </c>
      <c r="O65" s="1883" t="s">
        <v>1037</v>
      </c>
      <c r="P65" s="1884" t="s">
        <v>1524</v>
      </c>
      <c r="Q65" s="1885">
        <f ca="1">C40+J29</f>
        <v>47053</v>
      </c>
      <c r="R65" s="1885" t="s">
        <v>1525</v>
      </c>
    </row>
    <row r="66" spans="1:18" s="1841" customFormat="1" ht="16.5" thickBot="1">
      <c r="A66" s="1201" t="s">
        <v>1500</v>
      </c>
      <c r="B66" s="1169" t="s">
        <v>1435</v>
      </c>
      <c r="C66" s="23">
        <f ca="1">ROUND(C48*F66,1)</f>
        <v>0</v>
      </c>
      <c r="D66" s="1183" t="s">
        <v>1455</v>
      </c>
      <c r="E66" s="1169" t="s">
        <v>1418</v>
      </c>
      <c r="F66" s="356">
        <f t="shared" ca="1" si="0"/>
        <v>0.02</v>
      </c>
      <c r="O66" s="1883" t="s">
        <v>1038</v>
      </c>
      <c r="P66" s="1884" t="s">
        <v>1554</v>
      </c>
      <c r="Q66" s="1885">
        <f ca="1">L60</f>
        <v>0</v>
      </c>
      <c r="R66" s="1885" t="s">
        <v>1577</v>
      </c>
    </row>
    <row r="67" spans="1:18" s="1841" customFormat="1" ht="16.5" thickBot="1">
      <c r="A67" s="1176" t="s">
        <v>1028</v>
      </c>
      <c r="B67" s="1186" t="s">
        <v>1459</v>
      </c>
      <c r="C67" s="360">
        <f ca="1">C48-C58</f>
        <v>-1076</v>
      </c>
      <c r="D67" s="1182" t="s">
        <v>1460</v>
      </c>
      <c r="E67" s="1187"/>
      <c r="F67" s="1188"/>
      <c r="O67" s="1893" t="s">
        <v>1039</v>
      </c>
      <c r="P67" s="1884" t="s">
        <v>1558</v>
      </c>
      <c r="Q67" s="1932">
        <f ca="1">L51</f>
        <v>18123</v>
      </c>
      <c r="R67" s="1885" t="s">
        <v>1578</v>
      </c>
    </row>
    <row r="68" spans="1:18" s="1841" customFormat="1" ht="16.5" thickBot="1">
      <c r="A68" s="1166" t="s">
        <v>1029</v>
      </c>
      <c r="B68" s="1167" t="s">
        <v>1481</v>
      </c>
      <c r="C68" s="345">
        <f ca="1">ROUND(C67*(1-((1+F70)/(1+F68))^F69)/(F68-F70),0)</f>
        <v>-17296</v>
      </c>
      <c r="D68" s="1184" t="s">
        <v>1465</v>
      </c>
      <c r="E68" s="1169" t="s">
        <v>1466</v>
      </c>
      <c r="F68" s="356">
        <f ca="1">F40</f>
        <v>5.5E-2</v>
      </c>
      <c r="O68" s="1893" t="s">
        <v>1040</v>
      </c>
      <c r="P68" s="1933" t="s">
        <v>1579</v>
      </c>
      <c r="Q68" s="1885">
        <f ca="1">ROUND(Q69-Q70*Q71,0)</f>
        <v>1054</v>
      </c>
      <c r="R68" s="1885" t="s">
        <v>1048</v>
      </c>
    </row>
    <row r="69" spans="1:18" s="1841" customFormat="1" ht="13.5" thickBot="1">
      <c r="A69" s="1170"/>
      <c r="B69" s="1171"/>
      <c r="C69" s="350"/>
      <c r="D69" s="1189" t="s">
        <v>1469</v>
      </c>
      <c r="E69" s="1169" t="s">
        <v>1470</v>
      </c>
      <c r="F69" s="378">
        <f ca="1">F41</f>
        <v>40.25</v>
      </c>
      <c r="O69" s="1893" t="s">
        <v>1045</v>
      </c>
      <c r="P69" s="1933" t="s">
        <v>1580</v>
      </c>
      <c r="Q69" s="1885">
        <f ca="1">C39</f>
        <v>1900</v>
      </c>
      <c r="R69" s="1885" t="s">
        <v>1525</v>
      </c>
    </row>
    <row r="70" spans="1:18" s="1841" customFormat="1" ht="13.5" thickBot="1">
      <c r="A70" s="1173"/>
      <c r="B70" s="1174"/>
      <c r="C70" s="354"/>
      <c r="D70" s="1185"/>
      <c r="E70" s="1169" t="s">
        <v>1473</v>
      </c>
      <c r="F70" s="1274"/>
      <c r="O70" s="1893" t="s">
        <v>1046</v>
      </c>
      <c r="P70" s="1933" t="s">
        <v>1581</v>
      </c>
      <c r="Q70" s="1885">
        <f ca="1">C13</f>
        <v>9952</v>
      </c>
      <c r="R70" s="1885" t="s">
        <v>1525</v>
      </c>
    </row>
    <row r="71" spans="1:18" s="1841" customFormat="1" ht="13.5" thickBot="1">
      <c r="A71" s="1190" t="s">
        <v>1030</v>
      </c>
      <c r="B71" s="1191" t="s">
        <v>1483</v>
      </c>
      <c r="C71" s="381">
        <f ca="1">ROUND(C68*10000/F71,0)</f>
        <v>-12137</v>
      </c>
      <c r="D71" s="1192" t="s">
        <v>1484</v>
      </c>
      <c r="E71" s="1193" t="s">
        <v>1485</v>
      </c>
      <c r="F71" s="384">
        <f ca="1">F43</f>
        <v>14250.829999999996</v>
      </c>
      <c r="O71" s="1893" t="s">
        <v>1047</v>
      </c>
      <c r="P71" s="1933" t="s">
        <v>1582</v>
      </c>
      <c r="Q71" s="1896">
        <f ca="1">C76</f>
        <v>8.5000000000000006E-2</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#DIV/0!</v>
      </c>
      <c r="R74" s="1885" t="s">
        <v>1565</v>
      </c>
    </row>
    <row r="75" spans="1:18" ht="13.5" thickBot="1">
      <c r="A75" s="1841"/>
      <c r="B75" s="385" t="s">
        <v>1502</v>
      </c>
      <c r="C75" s="386">
        <f ca="1">ROUND(C13*C76,0)</f>
        <v>846</v>
      </c>
      <c r="D75" s="1841"/>
      <c r="E75" s="1841"/>
      <c r="F75" s="1841"/>
      <c r="K75" s="1867"/>
      <c r="L75" s="1841"/>
      <c r="O75" s="1883" t="s">
        <v>1043</v>
      </c>
      <c r="P75" s="1884" t="s">
        <v>1545</v>
      </c>
      <c r="Q75" s="1885">
        <f ca="1">Q65+Q66</f>
        <v>47053</v>
      </c>
      <c r="R75" s="1885" t="s">
        <v>1044</v>
      </c>
    </row>
    <row r="76" spans="1:18">
      <c r="B76" s="387" t="s">
        <v>1503</v>
      </c>
      <c r="C76" s="388">
        <f ca="1">INDIRECT("'数据-取费表'!j"&amp;$G$1)</f>
        <v>8.5000000000000006E-2</v>
      </c>
      <c r="I76" s="1841"/>
      <c r="J76" s="1841"/>
      <c r="K76" s="1867"/>
      <c r="L76" s="1841"/>
    </row>
    <row r="77" spans="1:18">
      <c r="B77" s="389" t="s">
        <v>1504</v>
      </c>
      <c r="C77" s="390"/>
      <c r="I77" s="1841"/>
      <c r="J77" s="1841"/>
      <c r="K77" s="1867"/>
      <c r="L77" s="1841"/>
    </row>
    <row r="78" spans="1:18">
      <c r="B78" s="313" t="s">
        <v>1505</v>
      </c>
      <c r="C78" s="391"/>
    </row>
    <row r="79" spans="1:18">
      <c r="B79" s="385" t="s">
        <v>1506</v>
      </c>
      <c r="C79" s="317">
        <f ca="1">1-C80</f>
        <v>0.55499999999999994</v>
      </c>
    </row>
    <row r="80" spans="1:18">
      <c r="B80" s="385" t="s">
        <v>1507</v>
      </c>
      <c r="C80" s="317">
        <f ca="1">ROUND(C75/C39,3)</f>
        <v>0.44500000000000001</v>
      </c>
    </row>
    <row r="81" spans="2:3">
      <c r="B81" s="313" t="s">
        <v>1508</v>
      </c>
      <c r="C81" s="281"/>
    </row>
    <row r="82" spans="2:3">
      <c r="B82" s="316" t="s">
        <v>1509</v>
      </c>
      <c r="C82" s="318">
        <f ca="1">1-C83</f>
        <v>0.78800000000000003</v>
      </c>
    </row>
    <row r="83" spans="2:3">
      <c r="B83" s="316" t="s">
        <v>1510</v>
      </c>
      <c r="C83" s="317">
        <f ca="1">ROUND(C13/C40,3)</f>
        <v>0.21199999999999999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I48" sqref="I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667" t="s">
        <v>2688</v>
      </c>
      <c r="C1" s="1619" t="s">
        <v>2532</v>
      </c>
      <c r="D1" s="1620" t="s">
        <v>27</v>
      </c>
      <c r="E1" s="1629"/>
      <c r="F1" s="2582" t="s">
        <v>3125</v>
      </c>
      <c r="G1" s="1630" t="s">
        <v>2534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3035" t="s">
        <v>1390</v>
      </c>
      <c r="B2" s="1417">
        <f>IF(C2="——",ROUND(C50*D3/10000,0),ROUND(C50*D3/10000,0)-D2)</f>
        <v>0</v>
      </c>
      <c r="C2" s="3040" t="s">
        <v>70</v>
      </c>
      <c r="D2" s="1364" t="e">
        <f ca="1">SUMIF(INDIRECT("'"&amp;F2&amp;"'"&amp;"!A:A"),"承租人权益价值",INDIRECT("'"&amp;F2&amp;"'"&amp;"!c:c"))</f>
        <v>#REF!</v>
      </c>
      <c r="E2" s="3041" t="s">
        <v>2330</v>
      </c>
      <c r="F2" s="3042"/>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3025" t="s">
        <v>1391</v>
      </c>
      <c r="B3" s="608">
        <f>IF(C2="——",C50,ROUND(B2*10000/D3,0))</f>
        <v>5.6</v>
      </c>
      <c r="C3" s="399" t="s">
        <v>2536</v>
      </c>
      <c r="D3" s="398">
        <f>IF(D1="",'数据-汇总表'!E3,SUMIF('数据-汇总表'!$C19:$C33,D1,'数据-汇总表'!$E19:$E33))</f>
        <v>0</v>
      </c>
      <c r="E3" s="266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2537</v>
      </c>
      <c r="B4" s="401"/>
      <c r="C4" s="3451" t="s">
        <v>2538</v>
      </c>
      <c r="D4" s="3452"/>
      <c r="E4" s="3453" t="s">
        <v>2539</v>
      </c>
      <c r="F4" s="3454"/>
      <c r="G4" s="3451" t="s">
        <v>2540</v>
      </c>
      <c r="H4" s="3452"/>
      <c r="I4" s="3451" t="s">
        <v>2541</v>
      </c>
      <c r="J4" s="3452"/>
      <c r="K4" s="609" t="s">
        <v>2542</v>
      </c>
      <c r="L4" s="1130"/>
      <c r="M4" s="1131"/>
      <c r="N4" s="1131"/>
      <c r="O4" s="1131"/>
      <c r="P4" s="3455" t="s">
        <v>2543</v>
      </c>
      <c r="Q4" s="3456"/>
      <c r="R4" s="3461" t="s">
        <v>2539</v>
      </c>
      <c r="S4" s="3462"/>
      <c r="T4" s="3461" t="s">
        <v>2540</v>
      </c>
      <c r="U4" s="3462"/>
      <c r="V4" s="3467" t="s">
        <v>2541</v>
      </c>
      <c r="W4" s="3467"/>
      <c r="X4" s="2971"/>
      <c r="Y4" s="3461" t="s">
        <v>2543</v>
      </c>
      <c r="Z4" s="3462"/>
      <c r="AA4" s="3480" t="s">
        <v>2539</v>
      </c>
      <c r="AB4" s="3480" t="s">
        <v>2540</v>
      </c>
      <c r="AC4" s="3448" t="s">
        <v>2541</v>
      </c>
    </row>
    <row r="5" spans="1:29" ht="15" customHeight="1">
      <c r="A5" s="403"/>
      <c r="B5" s="404"/>
      <c r="C5" s="3477" t="s">
        <v>2544</v>
      </c>
      <c r="D5" s="3472"/>
      <c r="E5" s="3483" t="s">
        <v>3107</v>
      </c>
      <c r="F5" s="3484"/>
      <c r="G5" s="3471" t="s">
        <v>3123</v>
      </c>
      <c r="H5" s="3472"/>
      <c r="I5" s="3471" t="s">
        <v>3124</v>
      </c>
      <c r="J5" s="3472"/>
      <c r="K5" s="609"/>
      <c r="L5" s="1130"/>
      <c r="M5" s="1131"/>
      <c r="N5" s="1131"/>
      <c r="O5" s="1131"/>
      <c r="P5" s="3457"/>
      <c r="Q5" s="3458"/>
      <c r="R5" s="3463"/>
      <c r="S5" s="3464"/>
      <c r="T5" s="3463"/>
      <c r="U5" s="3464"/>
      <c r="V5" s="3468"/>
      <c r="W5" s="3468"/>
      <c r="X5" s="2966"/>
      <c r="Y5" s="3463"/>
      <c r="Z5" s="3464"/>
      <c r="AA5" s="3481"/>
      <c r="AB5" s="3481"/>
      <c r="AC5" s="3449"/>
    </row>
    <row r="6" spans="1:29" ht="15.75" thickBot="1">
      <c r="A6" s="405"/>
      <c r="B6" s="406"/>
      <c r="C6" s="3469" t="s">
        <v>2548</v>
      </c>
      <c r="D6" s="3470"/>
      <c r="E6" s="3478" t="s">
        <v>2548</v>
      </c>
      <c r="F6" s="3479"/>
      <c r="G6" s="3469" t="s">
        <v>2548</v>
      </c>
      <c r="H6" s="3470"/>
      <c r="I6" s="3469" t="s">
        <v>2548</v>
      </c>
      <c r="J6" s="3470"/>
      <c r="K6" s="609" t="s">
        <v>2549</v>
      </c>
      <c r="L6" s="1130"/>
      <c r="M6" s="1131"/>
      <c r="N6" s="1131"/>
      <c r="O6" s="1131"/>
      <c r="P6" s="3459"/>
      <c r="Q6" s="3460"/>
      <c r="R6" s="3463"/>
      <c r="S6" s="3464"/>
      <c r="T6" s="3465"/>
      <c r="U6" s="3466"/>
      <c r="V6" s="3468"/>
      <c r="W6" s="3468"/>
      <c r="X6" s="2966"/>
      <c r="Y6" s="3465"/>
      <c r="Z6" s="3466"/>
      <c r="AA6" s="3482"/>
      <c r="AB6" s="3482"/>
      <c r="AC6" s="3450"/>
    </row>
    <row r="7" spans="1:29" s="116" customFormat="1" ht="15.75" thickBot="1">
      <c r="A7" s="407" t="s">
        <v>2550</v>
      </c>
      <c r="B7" s="408"/>
      <c r="C7" s="409">
        <f>'数据-取费表'!B2</f>
        <v>43553</v>
      </c>
      <c r="D7" s="410">
        <v>100</v>
      </c>
      <c r="E7" s="411">
        <v>43344</v>
      </c>
      <c r="F7" s="412">
        <f>SUMIF(59:59,YEAR(E7)&amp;"-"&amp;MONTH(E7),60:60)</f>
        <v>98</v>
      </c>
      <c r="G7" s="411">
        <v>43344</v>
      </c>
      <c r="H7" s="410">
        <f>SUMIF(59:59,YEAR(G7)&amp;"-"&amp;MONTH(G7),60:60)</f>
        <v>98</v>
      </c>
      <c r="I7" s="411">
        <v>43344</v>
      </c>
      <c r="J7" s="410">
        <f>SUMIF(59:59,YEAR(I7)&amp;"-"&amp;MONTH(I7),60:60)</f>
        <v>98</v>
      </c>
      <c r="K7" s="610"/>
      <c r="L7" s="1132"/>
      <c r="M7" s="1133"/>
      <c r="N7" s="1133"/>
      <c r="O7" s="1133"/>
      <c r="P7" s="3473" t="s">
        <v>2551</v>
      </c>
      <c r="Q7" s="3476"/>
      <c r="R7" s="767" t="s">
        <v>17</v>
      </c>
      <c r="S7" s="768">
        <f t="shared" ref="S7:S15" si="0">F7</f>
        <v>98</v>
      </c>
      <c r="T7" s="767" t="s">
        <v>17</v>
      </c>
      <c r="U7" s="768">
        <f t="shared" ref="U7:U15" si="1">H7</f>
        <v>98</v>
      </c>
      <c r="V7" s="767" t="s">
        <v>17</v>
      </c>
      <c r="W7" s="768">
        <f t="shared" ref="W7:W15" si="2">J7</f>
        <v>98</v>
      </c>
      <c r="X7" s="769"/>
      <c r="Y7" s="3475" t="s">
        <v>2551</v>
      </c>
      <c r="Z7" s="3474"/>
      <c r="AA7" s="770">
        <f>D7/F7</f>
        <v>1.0204081632653061</v>
      </c>
      <c r="AB7" s="770">
        <f>D7/H7</f>
        <v>1.0204081632653061</v>
      </c>
      <c r="AC7" s="2669">
        <f>D7/J7</f>
        <v>1.0204081632653061</v>
      </c>
    </row>
    <row r="8" spans="1:29" s="116" customFormat="1" ht="15.75" thickBot="1">
      <c r="A8" s="407" t="s">
        <v>2552</v>
      </c>
      <c r="B8" s="408"/>
      <c r="C8" s="413" t="s">
        <v>2589</v>
      </c>
      <c r="D8" s="410">
        <v>100</v>
      </c>
      <c r="E8" s="413" t="s">
        <v>3110</v>
      </c>
      <c r="F8" s="412">
        <f>SUMIF(62:62,E8,63:63)-SUMIF(62:62,C8,63:63)+100</f>
        <v>100</v>
      </c>
      <c r="G8" s="413" t="s">
        <v>3110</v>
      </c>
      <c r="H8" s="410">
        <f>SUMIF(62:62,G8,63:63)-SUMIF(62:62,C8,63:63)+100</f>
        <v>100</v>
      </c>
      <c r="I8" s="413" t="s">
        <v>3110</v>
      </c>
      <c r="J8" s="410">
        <f>SUMIF(62:62,I8,63:63)-SUMIF(62:62,C8,63:63)+100</f>
        <v>100</v>
      </c>
      <c r="K8" s="610"/>
      <c r="L8" s="1132"/>
      <c r="M8" s="1133"/>
      <c r="N8" s="1133"/>
      <c r="O8" s="1133"/>
      <c r="P8" s="3473" t="s">
        <v>2554</v>
      </c>
      <c r="Q8" s="3474"/>
      <c r="R8" s="767" t="s">
        <v>17</v>
      </c>
      <c r="S8" s="768">
        <f t="shared" si="0"/>
        <v>100</v>
      </c>
      <c r="T8" s="767" t="s">
        <v>17</v>
      </c>
      <c r="U8" s="768">
        <f t="shared" si="1"/>
        <v>100</v>
      </c>
      <c r="V8" s="767" t="s">
        <v>17</v>
      </c>
      <c r="W8" s="768">
        <f t="shared" si="2"/>
        <v>100</v>
      </c>
      <c r="X8" s="769"/>
      <c r="Y8" s="3475" t="s">
        <v>2554</v>
      </c>
      <c r="Z8" s="3474"/>
      <c r="AA8" s="770">
        <f t="shared" ref="AA8:AA47" si="3">D8/F8</f>
        <v>1</v>
      </c>
      <c r="AB8" s="770">
        <f t="shared" ref="AB8:AB47" si="4">D8/H8</f>
        <v>1</v>
      </c>
      <c r="AC8" s="2669">
        <f t="shared" ref="AC8:AC47" si="5">D8/J8</f>
        <v>1</v>
      </c>
    </row>
    <row r="9" spans="1:29" s="116" customFormat="1">
      <c r="A9" s="414" t="s">
        <v>2555</v>
      </c>
      <c r="B9" s="70" t="s">
        <v>2556</v>
      </c>
      <c r="C9" s="2995" t="s">
        <v>3111</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433" t="s">
        <v>2557</v>
      </c>
      <c r="Q9" s="2950" t="str">
        <f t="shared" ref="Q9:Q15" si="6">B9</f>
        <v>用途</v>
      </c>
      <c r="R9" s="767" t="s">
        <v>17</v>
      </c>
      <c r="S9" s="768">
        <f t="shared" si="0"/>
        <v>100</v>
      </c>
      <c r="T9" s="767" t="s">
        <v>17</v>
      </c>
      <c r="U9" s="768">
        <f t="shared" si="1"/>
        <v>100</v>
      </c>
      <c r="V9" s="767" t="s">
        <v>17</v>
      </c>
      <c r="W9" s="768">
        <f t="shared" si="2"/>
        <v>100</v>
      </c>
      <c r="X9" s="769"/>
      <c r="Y9" s="3280" t="s">
        <v>2558</v>
      </c>
      <c r="Z9" s="2951" t="str">
        <f t="shared" ref="Z9:Z15" si="7">Q9</f>
        <v>用途</v>
      </c>
      <c r="AA9" s="770">
        <f t="shared" si="3"/>
        <v>1</v>
      </c>
      <c r="AB9" s="770">
        <f t="shared" si="4"/>
        <v>1</v>
      </c>
      <c r="AC9" s="2669">
        <f t="shared" si="5"/>
        <v>1</v>
      </c>
    </row>
    <row r="10" spans="1:29" s="426" customFormat="1" ht="27">
      <c r="A10" s="420"/>
      <c r="B10" s="2964" t="s">
        <v>2559</v>
      </c>
      <c r="C10" s="422" t="s">
        <v>3112</v>
      </c>
      <c r="D10" s="135">
        <v>100</v>
      </c>
      <c r="E10" s="422" t="s">
        <v>3112</v>
      </c>
      <c r="F10" s="135">
        <f>SUMIF(66:66,E10,67:67)-SUMIF(66:66,C10,67:67)+100</f>
        <v>100</v>
      </c>
      <c r="G10" s="423" t="s">
        <v>3112</v>
      </c>
      <c r="H10" s="135">
        <f>SUMIF(66:66,G10,67:67)-SUMIF(66:66,C10,67:67)+100</f>
        <v>100</v>
      </c>
      <c r="I10" s="422" t="s">
        <v>3112</v>
      </c>
      <c r="J10" s="135">
        <f>SUMIF(66:66,I10,67:67)-SUMIF(66:66,C10,67:67)+100</f>
        <v>100</v>
      </c>
      <c r="K10" s="611">
        <v>2</v>
      </c>
      <c r="L10" s="1135"/>
      <c r="M10" s="1136"/>
      <c r="N10" s="1136"/>
      <c r="O10" s="1136"/>
      <c r="P10" s="3433"/>
      <c r="Q10" s="2950" t="str">
        <f t="shared" si="6"/>
        <v>土地使用年限（年）</v>
      </c>
      <c r="R10" s="767" t="s">
        <v>17</v>
      </c>
      <c r="S10" s="768">
        <f t="shared" si="0"/>
        <v>100</v>
      </c>
      <c r="T10" s="767" t="s">
        <v>17</v>
      </c>
      <c r="U10" s="768">
        <f t="shared" si="1"/>
        <v>100</v>
      </c>
      <c r="V10" s="767" t="s">
        <v>17</v>
      </c>
      <c r="W10" s="768">
        <f t="shared" si="2"/>
        <v>100</v>
      </c>
      <c r="X10" s="769"/>
      <c r="Y10" s="3280"/>
      <c r="Z10" s="2951" t="str">
        <f t="shared" si="7"/>
        <v>土地使用年限（年）</v>
      </c>
      <c r="AA10" s="770">
        <f t="shared" si="3"/>
        <v>1</v>
      </c>
      <c r="AB10" s="770">
        <f t="shared" si="4"/>
        <v>1</v>
      </c>
      <c r="AC10" s="2669">
        <f t="shared" si="5"/>
        <v>1</v>
      </c>
    </row>
    <row r="11" spans="1:29" ht="15">
      <c r="A11" s="427"/>
      <c r="B11" s="2964" t="s">
        <v>2560</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433"/>
      <c r="Q11" s="2950" t="str">
        <f t="shared" si="6"/>
        <v>容积率</v>
      </c>
      <c r="R11" s="767" t="s">
        <v>17</v>
      </c>
      <c r="S11" s="768">
        <f t="shared" si="0"/>
        <v>100</v>
      </c>
      <c r="T11" s="767" t="s">
        <v>17</v>
      </c>
      <c r="U11" s="768">
        <f t="shared" si="1"/>
        <v>100</v>
      </c>
      <c r="V11" s="767" t="s">
        <v>17</v>
      </c>
      <c r="W11" s="768">
        <f t="shared" si="2"/>
        <v>100</v>
      </c>
      <c r="X11" s="769"/>
      <c r="Y11" s="3280"/>
      <c r="Z11" s="2951" t="str">
        <f t="shared" si="7"/>
        <v>容积率</v>
      </c>
      <c r="AA11" s="770">
        <f t="shared" si="3"/>
        <v>1</v>
      </c>
      <c r="AB11" s="770">
        <f t="shared" si="4"/>
        <v>1</v>
      </c>
      <c r="AC11" s="2669">
        <f t="shared" si="5"/>
        <v>1</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2"/>
      <c r="M12" s="1133"/>
      <c r="N12" s="1133"/>
      <c r="O12" s="1133"/>
      <c r="P12" s="3433"/>
      <c r="Q12" s="2950">
        <f t="shared" si="6"/>
        <v>111</v>
      </c>
      <c r="R12" s="767" t="s">
        <v>17</v>
      </c>
      <c r="S12" s="768">
        <f t="shared" si="0"/>
        <v>100</v>
      </c>
      <c r="T12" s="767" t="s">
        <v>17</v>
      </c>
      <c r="U12" s="768">
        <f t="shared" si="1"/>
        <v>100</v>
      </c>
      <c r="V12" s="767" t="s">
        <v>17</v>
      </c>
      <c r="W12" s="768">
        <f t="shared" si="2"/>
        <v>100</v>
      </c>
      <c r="X12" s="769"/>
      <c r="Y12" s="3280"/>
      <c r="Z12" s="2951">
        <f t="shared" si="7"/>
        <v>111</v>
      </c>
      <c r="AA12" s="770">
        <f>D12/F12</f>
        <v>1</v>
      </c>
      <c r="AB12" s="770">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0"/>
      <c r="M13" s="1131"/>
      <c r="N13" s="1131"/>
      <c r="O13" s="1131"/>
      <c r="P13" s="3433"/>
      <c r="Q13" s="2950">
        <f t="shared" si="6"/>
        <v>111</v>
      </c>
      <c r="R13" s="767" t="s">
        <v>17</v>
      </c>
      <c r="S13" s="768">
        <f t="shared" si="0"/>
        <v>100</v>
      </c>
      <c r="T13" s="767" t="s">
        <v>17</v>
      </c>
      <c r="U13" s="768">
        <f t="shared" si="1"/>
        <v>100</v>
      </c>
      <c r="V13" s="767" t="s">
        <v>17</v>
      </c>
      <c r="W13" s="768">
        <f t="shared" si="2"/>
        <v>100</v>
      </c>
      <c r="X13" s="769"/>
      <c r="Y13" s="3280"/>
      <c r="Z13" s="2951">
        <f t="shared" si="7"/>
        <v>111</v>
      </c>
      <c r="AA13" s="770">
        <f t="shared" si="3"/>
        <v>1</v>
      </c>
      <c r="AB13" s="770">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0"/>
      <c r="M14" s="1131"/>
      <c r="N14" s="1131"/>
      <c r="O14" s="1131"/>
      <c r="P14" s="3433"/>
      <c r="Q14" s="2950">
        <f t="shared" si="6"/>
        <v>111</v>
      </c>
      <c r="R14" s="767" t="s">
        <v>17</v>
      </c>
      <c r="S14" s="768">
        <f t="shared" si="0"/>
        <v>100</v>
      </c>
      <c r="T14" s="767" t="s">
        <v>17</v>
      </c>
      <c r="U14" s="768">
        <f t="shared" si="1"/>
        <v>100</v>
      </c>
      <c r="V14" s="767" t="s">
        <v>17</v>
      </c>
      <c r="W14" s="768">
        <f t="shared" si="2"/>
        <v>100</v>
      </c>
      <c r="X14" s="769"/>
      <c r="Y14" s="3280"/>
      <c r="Z14" s="2951">
        <f t="shared" si="7"/>
        <v>111</v>
      </c>
      <c r="AA14" s="770">
        <f t="shared" si="3"/>
        <v>1</v>
      </c>
      <c r="AB14" s="770">
        <f t="shared" si="4"/>
        <v>1</v>
      </c>
      <c r="AC14" s="2669">
        <f t="shared" si="5"/>
        <v>1</v>
      </c>
    </row>
    <row r="15" spans="1:29" ht="71.25">
      <c r="A15" s="439" t="s">
        <v>2561</v>
      </c>
      <c r="B15" s="628" t="s">
        <v>2689</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439" t="s">
        <v>2562</v>
      </c>
      <c r="Q15" s="2969" t="str">
        <f t="shared" si="6"/>
        <v>办公集聚程度</v>
      </c>
      <c r="R15" s="771" t="s">
        <v>17</v>
      </c>
      <c r="S15" s="772">
        <f t="shared" si="0"/>
        <v>100</v>
      </c>
      <c r="T15" s="771" t="s">
        <v>17</v>
      </c>
      <c r="U15" s="772">
        <f t="shared" si="1"/>
        <v>100</v>
      </c>
      <c r="V15" s="771" t="s">
        <v>17</v>
      </c>
      <c r="W15" s="772">
        <f t="shared" si="2"/>
        <v>100</v>
      </c>
      <c r="X15" s="2966"/>
      <c r="Y15" s="3441" t="s">
        <v>2562</v>
      </c>
      <c r="Z15" s="2967" t="str">
        <f t="shared" si="7"/>
        <v>办公集聚程度</v>
      </c>
      <c r="AA15" s="2970">
        <f t="shared" si="3"/>
        <v>1</v>
      </c>
      <c r="AB15" s="2970">
        <f t="shared" si="4"/>
        <v>1</v>
      </c>
      <c r="AC15" s="2672">
        <f t="shared" si="5"/>
        <v>1</v>
      </c>
    </row>
    <row r="16" spans="1:29" ht="15">
      <c r="A16" s="427"/>
      <c r="B16" s="629"/>
      <c r="C16" s="2609" t="s">
        <v>3113</v>
      </c>
      <c r="D16" s="447"/>
      <c r="E16" s="446" t="s">
        <v>3113</v>
      </c>
      <c r="F16" s="447"/>
      <c r="G16" s="2609" t="s">
        <v>3113</v>
      </c>
      <c r="H16" s="449"/>
      <c r="I16" s="446" t="s">
        <v>3113</v>
      </c>
      <c r="J16" s="447"/>
      <c r="K16" s="614"/>
      <c r="L16" s="1140"/>
      <c r="M16" s="1131"/>
      <c r="N16" s="1131"/>
      <c r="O16" s="1131"/>
      <c r="P16" s="3440"/>
      <c r="Q16" s="2969"/>
      <c r="R16" s="771"/>
      <c r="S16" s="772"/>
      <c r="T16" s="771"/>
      <c r="U16" s="772"/>
      <c r="V16" s="771"/>
      <c r="W16" s="772"/>
      <c r="X16" s="2966"/>
      <c r="Y16" s="3442"/>
      <c r="Z16" s="2967"/>
      <c r="AA16" s="2970">
        <v>1</v>
      </c>
      <c r="AB16" s="2970">
        <v>1</v>
      </c>
      <c r="AC16" s="2672">
        <v>1</v>
      </c>
    </row>
    <row r="17" spans="1:29" ht="71.25">
      <c r="A17" s="427"/>
      <c r="B17" s="630" t="s">
        <v>2097</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440"/>
      <c r="Q17" s="2969" t="str">
        <f>B17</f>
        <v>交通便捷度</v>
      </c>
      <c r="R17" s="771" t="s">
        <v>17</v>
      </c>
      <c r="S17" s="772">
        <f>F17</f>
        <v>100</v>
      </c>
      <c r="T17" s="771" t="s">
        <v>17</v>
      </c>
      <c r="U17" s="772">
        <f>H17</f>
        <v>100</v>
      </c>
      <c r="V17" s="771" t="s">
        <v>17</v>
      </c>
      <c r="W17" s="772">
        <f>J17</f>
        <v>100</v>
      </c>
      <c r="X17" s="2966"/>
      <c r="Y17" s="3442"/>
      <c r="Z17" s="2967" t="str">
        <f>Q17</f>
        <v>交通便捷度</v>
      </c>
      <c r="AA17" s="2970">
        <f t="shared" si="3"/>
        <v>1</v>
      </c>
      <c r="AB17" s="2970">
        <f t="shared" si="4"/>
        <v>1</v>
      </c>
      <c r="AC17" s="2672">
        <f t="shared" si="5"/>
        <v>1</v>
      </c>
    </row>
    <row r="18" spans="1:29" ht="15">
      <c r="A18" s="427"/>
      <c r="B18" s="631"/>
      <c r="C18" s="2674" t="s">
        <v>3113</v>
      </c>
      <c r="D18" s="449"/>
      <c r="E18" s="2607" t="s">
        <v>3113</v>
      </c>
      <c r="F18" s="449"/>
      <c r="G18" s="2608" t="s">
        <v>3113</v>
      </c>
      <c r="H18" s="447"/>
      <c r="I18" s="2608" t="s">
        <v>3113</v>
      </c>
      <c r="J18" s="447"/>
      <c r="K18" s="614"/>
      <c r="L18" s="1140"/>
      <c r="M18" s="1131"/>
      <c r="N18" s="1131"/>
      <c r="O18" s="1131"/>
      <c r="P18" s="3440"/>
      <c r="Q18" s="2969"/>
      <c r="R18" s="771"/>
      <c r="S18" s="772"/>
      <c r="T18" s="771"/>
      <c r="U18" s="772"/>
      <c r="V18" s="771"/>
      <c r="W18" s="772"/>
      <c r="X18" s="2966"/>
      <c r="Y18" s="3442"/>
      <c r="Z18" s="2967"/>
      <c r="AA18" s="2970">
        <v>1</v>
      </c>
      <c r="AB18" s="2970">
        <v>1</v>
      </c>
      <c r="AC18" s="2672">
        <v>1</v>
      </c>
    </row>
    <row r="19" spans="1:29" ht="42.75">
      <c r="A19" s="427"/>
      <c r="B19" s="630" t="s">
        <v>2690</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440"/>
      <c r="Q19" s="2969" t="str">
        <f>B19</f>
        <v>公共配套设施</v>
      </c>
      <c r="R19" s="771" t="s">
        <v>17</v>
      </c>
      <c r="S19" s="772">
        <f>F19</f>
        <v>100</v>
      </c>
      <c r="T19" s="771" t="s">
        <v>17</v>
      </c>
      <c r="U19" s="772">
        <f>H19</f>
        <v>100</v>
      </c>
      <c r="V19" s="771" t="s">
        <v>17</v>
      </c>
      <c r="W19" s="772">
        <f>J19</f>
        <v>100</v>
      </c>
      <c r="X19" s="2966"/>
      <c r="Y19" s="3442"/>
      <c r="Z19" s="2967" t="str">
        <f>Q19</f>
        <v>公共配套设施</v>
      </c>
      <c r="AA19" s="2970">
        <f t="shared" si="3"/>
        <v>1</v>
      </c>
      <c r="AB19" s="2970">
        <f t="shared" si="4"/>
        <v>1</v>
      </c>
      <c r="AC19" s="2672">
        <f t="shared" si="5"/>
        <v>1</v>
      </c>
    </row>
    <row r="20" spans="1:29" ht="15">
      <c r="A20" s="427"/>
      <c r="B20" s="631"/>
      <c r="C20" s="2609" t="s">
        <v>3114</v>
      </c>
      <c r="D20" s="447"/>
      <c r="E20" s="2602" t="s">
        <v>3114</v>
      </c>
      <c r="F20" s="447"/>
      <c r="G20" s="2603" t="s">
        <v>3114</v>
      </c>
      <c r="H20" s="447"/>
      <c r="I20" s="2603" t="s">
        <v>3114</v>
      </c>
      <c r="J20" s="447"/>
      <c r="K20" s="614"/>
      <c r="L20" s="1140"/>
      <c r="M20" s="1131"/>
      <c r="N20" s="1131"/>
      <c r="O20" s="1131"/>
      <c r="P20" s="3440"/>
      <c r="Q20" s="2969"/>
      <c r="R20" s="771"/>
      <c r="S20" s="772"/>
      <c r="T20" s="771"/>
      <c r="U20" s="772"/>
      <c r="V20" s="771"/>
      <c r="W20" s="772"/>
      <c r="X20" s="2966"/>
      <c r="Y20" s="3442"/>
      <c r="Z20" s="2967"/>
      <c r="AA20" s="2970">
        <v>1</v>
      </c>
      <c r="AB20" s="2970">
        <v>1</v>
      </c>
      <c r="AC20" s="2672">
        <v>1</v>
      </c>
    </row>
    <row r="21" spans="1:29" ht="28.5">
      <c r="A21" s="427"/>
      <c r="B21" s="632" t="s">
        <v>2691</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440"/>
      <c r="Q21" s="2969" t="str">
        <f>B21</f>
        <v>基础设施水平</v>
      </c>
      <c r="R21" s="771" t="s">
        <v>17</v>
      </c>
      <c r="S21" s="772">
        <f>F21</f>
        <v>100</v>
      </c>
      <c r="T21" s="771" t="s">
        <v>17</v>
      </c>
      <c r="U21" s="772">
        <f>H21</f>
        <v>100</v>
      </c>
      <c r="V21" s="771" t="s">
        <v>17</v>
      </c>
      <c r="W21" s="772">
        <f>J21</f>
        <v>100</v>
      </c>
      <c r="X21" s="2966"/>
      <c r="Y21" s="3442"/>
      <c r="Z21" s="2967" t="str">
        <f>Q21</f>
        <v>基础设施水平</v>
      </c>
      <c r="AA21" s="2970">
        <f t="shared" ref="AA21" si="8">D21/F21</f>
        <v>1</v>
      </c>
      <c r="AB21" s="2970">
        <f t="shared" ref="AB21" si="9">D21/H21</f>
        <v>1</v>
      </c>
      <c r="AC21" s="2672">
        <f t="shared" ref="AC21" si="10">D21/J21</f>
        <v>1</v>
      </c>
    </row>
    <row r="22" spans="1:29" ht="15">
      <c r="A22" s="427"/>
      <c r="B22" s="632"/>
      <c r="C22" s="2674" t="s">
        <v>3097</v>
      </c>
      <c r="D22" s="447"/>
      <c r="E22" s="446" t="s">
        <v>3097</v>
      </c>
      <c r="F22" s="447"/>
      <c r="G22" s="2609" t="s">
        <v>3097</v>
      </c>
      <c r="H22" s="447"/>
      <c r="I22" s="2609" t="s">
        <v>3097</v>
      </c>
      <c r="J22" s="447"/>
      <c r="K22" s="1382"/>
      <c r="L22" s="1140"/>
      <c r="M22" s="1131"/>
      <c r="N22" s="1131"/>
      <c r="O22" s="1131"/>
      <c r="P22" s="3440"/>
      <c r="Q22" s="2969"/>
      <c r="R22" s="771"/>
      <c r="S22" s="772"/>
      <c r="T22" s="771"/>
      <c r="U22" s="772"/>
      <c r="V22" s="771"/>
      <c r="W22" s="772"/>
      <c r="X22" s="2966"/>
      <c r="Y22" s="3442"/>
      <c r="Z22" s="2967"/>
      <c r="AA22" s="2970">
        <v>1</v>
      </c>
      <c r="AB22" s="2970">
        <v>1</v>
      </c>
      <c r="AC22" s="2672">
        <v>1</v>
      </c>
    </row>
    <row r="23" spans="1:29" ht="42.75">
      <c r="A23" s="427"/>
      <c r="B23" s="630" t="s">
        <v>2692</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440"/>
      <c r="Q23" s="2969" t="str">
        <f>B23</f>
        <v>环境质量</v>
      </c>
      <c r="R23" s="771" t="s">
        <v>17</v>
      </c>
      <c r="S23" s="772">
        <f>F23</f>
        <v>100</v>
      </c>
      <c r="T23" s="771" t="s">
        <v>17</v>
      </c>
      <c r="U23" s="772">
        <f>H23</f>
        <v>100</v>
      </c>
      <c r="V23" s="771" t="s">
        <v>17</v>
      </c>
      <c r="W23" s="772">
        <f>J23</f>
        <v>100</v>
      </c>
      <c r="X23" s="2966"/>
      <c r="Y23" s="3442"/>
      <c r="Z23" s="2967" t="str">
        <f>Q23</f>
        <v>环境质量</v>
      </c>
      <c r="AA23" s="2970">
        <f t="shared" si="3"/>
        <v>1</v>
      </c>
      <c r="AB23" s="2970">
        <f t="shared" si="4"/>
        <v>1</v>
      </c>
      <c r="AC23" s="2672">
        <f t="shared" si="5"/>
        <v>1</v>
      </c>
    </row>
    <row r="24" spans="1:29" ht="15">
      <c r="A24" s="427"/>
      <c r="B24" s="632"/>
      <c r="C24" s="2609" t="s">
        <v>3113</v>
      </c>
      <c r="D24" s="447"/>
      <c r="E24" s="2602" t="s">
        <v>3113</v>
      </c>
      <c r="F24" s="447"/>
      <c r="G24" s="2603" t="s">
        <v>3113</v>
      </c>
      <c r="H24" s="447"/>
      <c r="I24" s="2603" t="s">
        <v>3113</v>
      </c>
      <c r="J24" s="447"/>
      <c r="K24" s="614"/>
      <c r="L24" s="1140"/>
      <c r="M24" s="1131"/>
      <c r="N24" s="1131"/>
      <c r="O24" s="1131"/>
      <c r="P24" s="3440"/>
      <c r="Q24" s="2969"/>
      <c r="R24" s="771"/>
      <c r="S24" s="772"/>
      <c r="T24" s="771"/>
      <c r="U24" s="772"/>
      <c r="V24" s="771"/>
      <c r="W24" s="772"/>
      <c r="X24" s="2966"/>
      <c r="Y24" s="3442"/>
      <c r="Z24" s="2967"/>
      <c r="AA24" s="2970">
        <v>1</v>
      </c>
      <c r="AB24" s="2970">
        <v>1</v>
      </c>
      <c r="AC24" s="2672">
        <v>1</v>
      </c>
    </row>
    <row r="25" spans="1:29" ht="27">
      <c r="A25" s="403"/>
      <c r="B25" s="630" t="s">
        <v>2693</v>
      </c>
      <c r="C25" s="2613"/>
      <c r="D25" s="434">
        <v>100</v>
      </c>
      <c r="E25" s="433"/>
      <c r="F25" s="434">
        <f>SUMIF(87:87,E26,88:88)-SUMIF(87:87,C26,88:88)+100</f>
        <v>100</v>
      </c>
      <c r="G25" s="2613"/>
      <c r="H25" s="434">
        <f>SUMIF(87:87,G26,88:88)-SUMIF(87:87,C26,88:88)+100</f>
        <v>100</v>
      </c>
      <c r="I25" s="433"/>
      <c r="J25" s="434">
        <f>SUMIF(87:87,I26,88:88)-SUMIF(87:87,C26,88:88)+100</f>
        <v>100</v>
      </c>
      <c r="K25" s="613">
        <v>2</v>
      </c>
      <c r="L25" s="1140"/>
      <c r="M25" s="1131"/>
      <c r="N25" s="1131"/>
      <c r="O25" s="1131"/>
      <c r="P25" s="3440"/>
      <c r="Q25" s="2969" t="str">
        <f>B25</f>
        <v>毗邻道路的类型与等级</v>
      </c>
      <c r="R25" s="771" t="s">
        <v>17</v>
      </c>
      <c r="S25" s="772">
        <f>F25</f>
        <v>100</v>
      </c>
      <c r="T25" s="771" t="s">
        <v>17</v>
      </c>
      <c r="U25" s="772">
        <f>H25</f>
        <v>100</v>
      </c>
      <c r="V25" s="771" t="s">
        <v>17</v>
      </c>
      <c r="W25" s="772">
        <f>J25</f>
        <v>100</v>
      </c>
      <c r="X25" s="2966"/>
      <c r="Y25" s="3442"/>
      <c r="Z25" s="2967" t="str">
        <f>Q25</f>
        <v>毗邻道路的类型与等级</v>
      </c>
      <c r="AA25" s="2970">
        <f t="shared" si="3"/>
        <v>1</v>
      </c>
      <c r="AB25" s="2970">
        <f t="shared" si="4"/>
        <v>1</v>
      </c>
      <c r="AC25" s="2672">
        <f t="shared" si="5"/>
        <v>1</v>
      </c>
    </row>
    <row r="26" spans="1:29" ht="15">
      <c r="A26" s="403"/>
      <c r="B26" s="631"/>
      <c r="C26" s="633" t="s">
        <v>3078</v>
      </c>
      <c r="D26" s="434"/>
      <c r="E26" s="615" t="s">
        <v>3078</v>
      </c>
      <c r="F26" s="434"/>
      <c r="G26" s="633" t="s">
        <v>3078</v>
      </c>
      <c r="H26" s="434"/>
      <c r="I26" s="615" t="s">
        <v>3078</v>
      </c>
      <c r="J26" s="434"/>
      <c r="K26" s="614"/>
      <c r="L26" s="1140"/>
      <c r="M26" s="1131"/>
      <c r="N26" s="1131"/>
      <c r="O26" s="1131"/>
      <c r="P26" s="3440"/>
      <c r="Q26" s="2969"/>
      <c r="R26" s="771"/>
      <c r="S26" s="772"/>
      <c r="T26" s="771"/>
      <c r="U26" s="772"/>
      <c r="V26" s="771"/>
      <c r="W26" s="772"/>
      <c r="X26" s="2966"/>
      <c r="Y26" s="3442"/>
      <c r="Z26" s="2967"/>
      <c r="AA26" s="2970">
        <v>1</v>
      </c>
      <c r="AB26" s="2970">
        <v>1</v>
      </c>
      <c r="AC26" s="2672">
        <v>1</v>
      </c>
    </row>
    <row r="27" spans="1:29" ht="15">
      <c r="A27" s="427"/>
      <c r="B27" s="631" t="s">
        <v>2661</v>
      </c>
      <c r="C27" s="3059" t="s">
        <v>3081</v>
      </c>
      <c r="D27" s="434">
        <v>100</v>
      </c>
      <c r="E27" s="615" t="s">
        <v>3082</v>
      </c>
      <c r="F27" s="434">
        <f>SUMIF(89:89,E27,90:90)-SUMIF(89:89,C27,90:90)+100</f>
        <v>98</v>
      </c>
      <c r="G27" s="633" t="s">
        <v>3080</v>
      </c>
      <c r="H27" s="434">
        <f>SUMIF(89:89,G27,90:90)-SUMIF(89:89,C27,90:90)+100</f>
        <v>102</v>
      </c>
      <c r="I27" s="615" t="s">
        <v>3081</v>
      </c>
      <c r="J27" s="434">
        <f>SUMIF(89:89,I27,90:90)-SUMIF(89:89,C27,90:90)+100</f>
        <v>100</v>
      </c>
      <c r="K27" s="611">
        <v>2</v>
      </c>
      <c r="L27" s="1140"/>
      <c r="M27" s="1131"/>
      <c r="N27" s="1131"/>
      <c r="O27" s="1131"/>
      <c r="P27" s="3440"/>
      <c r="Q27" s="2969" t="str">
        <f t="shared" ref="Q27:Q47" si="11">B27</f>
        <v>楼层</v>
      </c>
      <c r="R27" s="771" t="s">
        <v>17</v>
      </c>
      <c r="S27" s="772">
        <f>F27</f>
        <v>98</v>
      </c>
      <c r="T27" s="771" t="s">
        <v>17</v>
      </c>
      <c r="U27" s="772">
        <f>H27</f>
        <v>102</v>
      </c>
      <c r="V27" s="771" t="s">
        <v>17</v>
      </c>
      <c r="W27" s="772">
        <f>J27</f>
        <v>100</v>
      </c>
      <c r="X27" s="2966"/>
      <c r="Y27" s="3442"/>
      <c r="Z27" s="2967" t="str">
        <f>Q27</f>
        <v>楼层</v>
      </c>
      <c r="AA27" s="2970">
        <f t="shared" si="3"/>
        <v>1.0204081632653061</v>
      </c>
      <c r="AB27" s="2970">
        <f t="shared" si="4"/>
        <v>0.98039215686274506</v>
      </c>
      <c r="AC27" s="2672">
        <f t="shared" si="5"/>
        <v>1</v>
      </c>
    </row>
    <row r="28" spans="1:29" s="116" customFormat="1" ht="15">
      <c r="A28" s="430"/>
      <c r="B28" s="630" t="s">
        <v>2694</v>
      </c>
      <c r="C28" s="2675"/>
      <c r="D28" s="461">
        <v>100</v>
      </c>
      <c r="E28" s="2663"/>
      <c r="F28" s="461">
        <f>SUMIF(91:91,E28,92:92)-SUMIF(91:91,C28,92:92)+100</f>
        <v>100</v>
      </c>
      <c r="G28" s="2675"/>
      <c r="H28" s="461">
        <f>SUMIF(91:91,G28,92:92)-SUMIF(91:91,C28,92:92)+100</f>
        <v>100</v>
      </c>
      <c r="I28" s="2663"/>
      <c r="J28" s="461">
        <f>SUMIF(91:91,I28,92:92)-SUMIF(91:91,C28,92:92)+100</f>
        <v>100</v>
      </c>
      <c r="K28" s="611">
        <v>0</v>
      </c>
      <c r="L28" s="1132"/>
      <c r="M28" s="1133"/>
      <c r="N28" s="1133"/>
      <c r="O28" s="1133"/>
      <c r="P28" s="3440"/>
      <c r="Q28" s="2950" t="str">
        <f t="shared" si="11"/>
        <v>朝向</v>
      </c>
      <c r="R28" s="767" t="s">
        <v>17</v>
      </c>
      <c r="S28" s="768">
        <f>F28</f>
        <v>100</v>
      </c>
      <c r="T28" s="767" t="s">
        <v>17</v>
      </c>
      <c r="U28" s="768">
        <f>H28</f>
        <v>100</v>
      </c>
      <c r="V28" s="767" t="s">
        <v>17</v>
      </c>
      <c r="W28" s="768">
        <f>J28</f>
        <v>100</v>
      </c>
      <c r="X28" s="769"/>
      <c r="Y28" s="3442"/>
      <c r="Z28" s="2951" t="str">
        <f>Q28</f>
        <v>朝向</v>
      </c>
      <c r="AA28" s="2970">
        <f>D28/F28</f>
        <v>1</v>
      </c>
      <c r="AB28" s="297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0"/>
      <c r="M29" s="1131"/>
      <c r="N29" s="1131"/>
      <c r="O29" s="1131"/>
      <c r="P29" s="3440"/>
      <c r="Q29" s="2969">
        <f t="shared" si="11"/>
        <v>111</v>
      </c>
      <c r="R29" s="771" t="s">
        <v>17</v>
      </c>
      <c r="S29" s="772">
        <f t="shared" ref="S29:S47" si="12">F29</f>
        <v>100</v>
      </c>
      <c r="T29" s="771" t="s">
        <v>17</v>
      </c>
      <c r="U29" s="772">
        <f t="shared" ref="U29:U47" si="13">H29</f>
        <v>100</v>
      </c>
      <c r="V29" s="771" t="s">
        <v>17</v>
      </c>
      <c r="W29" s="772">
        <f t="shared" ref="W29:W47" si="14">J29</f>
        <v>100</v>
      </c>
      <c r="X29" s="2966"/>
      <c r="Y29" s="3442"/>
      <c r="Z29" s="2967">
        <f t="shared" ref="Z29:Z47" si="15">Q29</f>
        <v>111</v>
      </c>
      <c r="AA29" s="2970">
        <f t="shared" si="3"/>
        <v>1</v>
      </c>
      <c r="AB29" s="297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0"/>
      <c r="M30" s="1131"/>
      <c r="N30" s="1131"/>
      <c r="O30" s="1131"/>
      <c r="P30" s="3440"/>
      <c r="Q30" s="2969">
        <f t="shared" si="11"/>
        <v>111</v>
      </c>
      <c r="R30" s="771" t="s">
        <v>17</v>
      </c>
      <c r="S30" s="772">
        <f t="shared" si="12"/>
        <v>100</v>
      </c>
      <c r="T30" s="771" t="s">
        <v>17</v>
      </c>
      <c r="U30" s="772">
        <f t="shared" si="13"/>
        <v>100</v>
      </c>
      <c r="V30" s="771" t="s">
        <v>17</v>
      </c>
      <c r="W30" s="772">
        <f t="shared" si="14"/>
        <v>100</v>
      </c>
      <c r="X30" s="2966"/>
      <c r="Y30" s="3442"/>
      <c r="Z30" s="2967">
        <f t="shared" si="15"/>
        <v>111</v>
      </c>
      <c r="AA30" s="2970">
        <f t="shared" si="3"/>
        <v>1</v>
      </c>
      <c r="AB30" s="297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0"/>
      <c r="M31" s="1131"/>
      <c r="N31" s="1131"/>
      <c r="O31" s="1131"/>
      <c r="P31" s="3440"/>
      <c r="Q31" s="2969">
        <f t="shared" si="11"/>
        <v>111</v>
      </c>
      <c r="R31" s="771" t="s">
        <v>17</v>
      </c>
      <c r="S31" s="772">
        <f t="shared" si="12"/>
        <v>100</v>
      </c>
      <c r="T31" s="771" t="s">
        <v>17</v>
      </c>
      <c r="U31" s="772">
        <f t="shared" si="13"/>
        <v>100</v>
      </c>
      <c r="V31" s="771" t="s">
        <v>17</v>
      </c>
      <c r="W31" s="772">
        <f t="shared" si="14"/>
        <v>100</v>
      </c>
      <c r="X31" s="2966"/>
      <c r="Y31" s="3442"/>
      <c r="Z31" s="2967">
        <f t="shared" si="15"/>
        <v>111</v>
      </c>
      <c r="AA31" s="2970">
        <f t="shared" si="3"/>
        <v>1</v>
      </c>
      <c r="AB31" s="2970">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0"/>
      <c r="M32" s="1131"/>
      <c r="N32" s="1131"/>
      <c r="O32" s="1131"/>
      <c r="P32" s="3440"/>
      <c r="Q32" s="2969">
        <f t="shared" si="11"/>
        <v>111</v>
      </c>
      <c r="R32" s="771" t="s">
        <v>17</v>
      </c>
      <c r="S32" s="772">
        <f t="shared" si="12"/>
        <v>100</v>
      </c>
      <c r="T32" s="771" t="s">
        <v>17</v>
      </c>
      <c r="U32" s="772">
        <f t="shared" si="13"/>
        <v>100</v>
      </c>
      <c r="V32" s="771" t="s">
        <v>17</v>
      </c>
      <c r="W32" s="772">
        <f t="shared" si="14"/>
        <v>100</v>
      </c>
      <c r="X32" s="2966"/>
      <c r="Y32" s="3442"/>
      <c r="Z32" s="2967">
        <f t="shared" si="15"/>
        <v>111</v>
      </c>
      <c r="AA32" s="2970">
        <f t="shared" si="3"/>
        <v>1</v>
      </c>
      <c r="AB32" s="2970">
        <f t="shared" si="4"/>
        <v>1</v>
      </c>
      <c r="AC32" s="2672">
        <f t="shared" si="5"/>
        <v>1</v>
      </c>
    </row>
    <row r="33" spans="1:29" ht="15">
      <c r="A33" s="439" t="s">
        <v>2565</v>
      </c>
      <c r="B33" s="70" t="s">
        <v>2695</v>
      </c>
      <c r="C33" s="2677" t="s">
        <v>3083</v>
      </c>
      <c r="D33" s="466">
        <v>100</v>
      </c>
      <c r="E33" s="2677" t="s">
        <v>3083</v>
      </c>
      <c r="F33" s="460">
        <f>SUMIF(101:101,E33,102:102)-SUMIF(101:101,C33,102:102)+100</f>
        <v>100</v>
      </c>
      <c r="G33" s="2677" t="s">
        <v>3083</v>
      </c>
      <c r="H33" s="434">
        <f>SUMIF(101:101,G33,102:102)-SUMIF(101:101,C33,102:102)+100</f>
        <v>100</v>
      </c>
      <c r="I33" s="2677" t="s">
        <v>3083</v>
      </c>
      <c r="J33" s="466">
        <f>SUMIF(101:101,I33,102:102)-SUMIF(101:101,C33,102:102)+100</f>
        <v>100</v>
      </c>
      <c r="K33" s="611">
        <v>2</v>
      </c>
      <c r="L33" s="1140"/>
      <c r="M33" s="1131"/>
      <c r="N33" s="1131"/>
      <c r="O33" s="1131"/>
      <c r="P33" s="3443" t="s">
        <v>2567</v>
      </c>
      <c r="Q33" s="2969" t="str">
        <f t="shared" si="11"/>
        <v>建筑类型</v>
      </c>
      <c r="R33" s="771" t="s">
        <v>17</v>
      </c>
      <c r="S33" s="772">
        <f t="shared" si="12"/>
        <v>100</v>
      </c>
      <c r="T33" s="771" t="s">
        <v>17</v>
      </c>
      <c r="U33" s="772">
        <f t="shared" si="13"/>
        <v>100</v>
      </c>
      <c r="V33" s="771" t="s">
        <v>17</v>
      </c>
      <c r="W33" s="772">
        <f t="shared" si="14"/>
        <v>100</v>
      </c>
      <c r="X33" s="2966"/>
      <c r="Y33" s="3446" t="s">
        <v>2567</v>
      </c>
      <c r="Z33" s="2967" t="str">
        <f t="shared" si="15"/>
        <v>建筑类型</v>
      </c>
      <c r="AA33" s="2970">
        <f t="shared" si="3"/>
        <v>1</v>
      </c>
      <c r="AB33" s="2970">
        <f t="shared" si="4"/>
        <v>1</v>
      </c>
      <c r="AC33" s="2672">
        <f t="shared" si="5"/>
        <v>1</v>
      </c>
    </row>
    <row r="34" spans="1:29" s="470" customFormat="1" ht="15">
      <c r="A34" s="467"/>
      <c r="B34" s="2964" t="s">
        <v>2568</v>
      </c>
      <c r="C34" s="468">
        <f>抵押物清单!C3</f>
        <v>169.77</v>
      </c>
      <c r="D34" s="135">
        <v>100</v>
      </c>
      <c r="E34" s="429">
        <v>600</v>
      </c>
      <c r="F34" s="424">
        <f>LOOKUP(E34,104:104,105:105)-LOOKUP(C34,104:104,105:105)+100</f>
        <v>101</v>
      </c>
      <c r="G34" s="428">
        <v>2000</v>
      </c>
      <c r="H34" s="135">
        <f>LOOKUP(G34,104:104,105:105)-LOOKUP(C34,104:104,105:105)+100</f>
        <v>98</v>
      </c>
      <c r="I34" s="428">
        <v>220</v>
      </c>
      <c r="J34" s="135">
        <f>LOOKUP(I34,104:104,105:105)-LOOKUP(C34,104:104,105:105)+100</f>
        <v>101</v>
      </c>
      <c r="K34" s="612"/>
      <c r="L34" s="1138"/>
      <c r="M34" s="1141"/>
      <c r="N34" s="1141"/>
      <c r="O34" s="1141"/>
      <c r="P34" s="3444"/>
      <c r="Q34" s="773" t="str">
        <f t="shared" si="11"/>
        <v>项目建筑规模</v>
      </c>
      <c r="R34" s="774" t="s">
        <v>17</v>
      </c>
      <c r="S34" s="775">
        <f t="shared" si="12"/>
        <v>101</v>
      </c>
      <c r="T34" s="774" t="s">
        <v>17</v>
      </c>
      <c r="U34" s="775">
        <f t="shared" si="13"/>
        <v>98</v>
      </c>
      <c r="V34" s="774" t="s">
        <v>17</v>
      </c>
      <c r="W34" s="775">
        <f t="shared" si="14"/>
        <v>101</v>
      </c>
      <c r="X34" s="776"/>
      <c r="Y34" s="3446"/>
      <c r="Z34" s="777" t="str">
        <f t="shared" si="15"/>
        <v>项目建筑规模</v>
      </c>
      <c r="AA34" s="2970">
        <f t="shared" si="3"/>
        <v>0.99009900990099009</v>
      </c>
      <c r="AB34" s="2970">
        <f t="shared" si="4"/>
        <v>1.0204081632653061</v>
      </c>
      <c r="AC34" s="2672">
        <f t="shared" si="5"/>
        <v>0.99009900990099009</v>
      </c>
    </row>
    <row r="35" spans="1:29" ht="15">
      <c r="A35" s="471"/>
      <c r="B35" s="2964" t="s">
        <v>2569</v>
      </c>
      <c r="C35" s="459" t="s">
        <v>3086</v>
      </c>
      <c r="D35" s="434">
        <v>100</v>
      </c>
      <c r="E35" s="459" t="s">
        <v>3086</v>
      </c>
      <c r="F35" s="460">
        <f>SUMIF(106:106,E35,107:107)-SUMIF(106:106,C35,107:107)+100</f>
        <v>100</v>
      </c>
      <c r="G35" s="459" t="s">
        <v>3086</v>
      </c>
      <c r="H35" s="434">
        <f>SUMIF(106:106,G35,107:107)-SUMIF(106:106,C35,107:107)+100</f>
        <v>100</v>
      </c>
      <c r="I35" s="459" t="s">
        <v>3086</v>
      </c>
      <c r="J35" s="434">
        <f>SUMIF(106:106,I35,107:107)-SUMIF(106:106,C35,107:107)+100</f>
        <v>100</v>
      </c>
      <c r="K35" s="611">
        <v>2</v>
      </c>
      <c r="L35" s="1140"/>
      <c r="M35" s="1131"/>
      <c r="N35" s="1131"/>
      <c r="O35" s="1131"/>
      <c r="P35" s="3444"/>
      <c r="Q35" s="2969" t="str">
        <f t="shared" si="11"/>
        <v>建筑结构</v>
      </c>
      <c r="R35" s="771" t="s">
        <v>17</v>
      </c>
      <c r="S35" s="772">
        <f t="shared" si="12"/>
        <v>100</v>
      </c>
      <c r="T35" s="771" t="s">
        <v>17</v>
      </c>
      <c r="U35" s="772">
        <f t="shared" si="13"/>
        <v>100</v>
      </c>
      <c r="V35" s="771" t="s">
        <v>17</v>
      </c>
      <c r="W35" s="772">
        <f t="shared" si="14"/>
        <v>100</v>
      </c>
      <c r="X35" s="2966"/>
      <c r="Y35" s="3446"/>
      <c r="Z35" s="2967" t="str">
        <f t="shared" si="15"/>
        <v>建筑结构</v>
      </c>
      <c r="AA35" s="2970">
        <f t="shared" si="3"/>
        <v>1</v>
      </c>
      <c r="AB35" s="2970">
        <f t="shared" si="4"/>
        <v>1</v>
      </c>
      <c r="AC35" s="2672">
        <f t="shared" si="5"/>
        <v>1</v>
      </c>
    </row>
    <row r="36" spans="1:29" ht="15">
      <c r="A36" s="471"/>
      <c r="B36" s="2964" t="s">
        <v>2663</v>
      </c>
      <c r="C36" s="459" t="s">
        <v>3088</v>
      </c>
      <c r="D36" s="434">
        <v>100</v>
      </c>
      <c r="E36" s="459" t="s">
        <v>3088</v>
      </c>
      <c r="F36" s="460">
        <f>SUMIF(108:108,E36,109:109)-SUMIF(108:108,C36,109:109)+100</f>
        <v>100</v>
      </c>
      <c r="G36" s="459" t="s">
        <v>3088</v>
      </c>
      <c r="H36" s="434">
        <f>SUMIF(108:108,G36,109:109)-SUMIF(108:108,C36,109:109)+100</f>
        <v>100</v>
      </c>
      <c r="I36" s="459" t="s">
        <v>3088</v>
      </c>
      <c r="J36" s="434">
        <f>SUMIF(108:108,I36,109:109)-SUMIF(108:108,C36,109:109)+100</f>
        <v>100</v>
      </c>
      <c r="K36" s="611">
        <v>2</v>
      </c>
      <c r="L36" s="1140"/>
      <c r="M36" s="1131"/>
      <c r="N36" s="1131"/>
      <c r="O36" s="1131"/>
      <c r="P36" s="3444"/>
      <c r="Q36" s="2969" t="str">
        <f t="shared" si="11"/>
        <v>公共部分装修</v>
      </c>
      <c r="R36" s="771" t="s">
        <v>17</v>
      </c>
      <c r="S36" s="772">
        <f t="shared" si="12"/>
        <v>100</v>
      </c>
      <c r="T36" s="771" t="s">
        <v>17</v>
      </c>
      <c r="U36" s="772">
        <f t="shared" si="13"/>
        <v>100</v>
      </c>
      <c r="V36" s="771" t="s">
        <v>17</v>
      </c>
      <c r="W36" s="772">
        <f t="shared" si="14"/>
        <v>100</v>
      </c>
      <c r="X36" s="2966"/>
      <c r="Y36" s="3446"/>
      <c r="Z36" s="2967" t="str">
        <f t="shared" si="15"/>
        <v>公共部分装修</v>
      </c>
      <c r="AA36" s="2970">
        <f t="shared" si="3"/>
        <v>1</v>
      </c>
      <c r="AB36" s="2970">
        <f t="shared" si="4"/>
        <v>1</v>
      </c>
      <c r="AC36" s="2672">
        <f t="shared" si="5"/>
        <v>1</v>
      </c>
    </row>
    <row r="37" spans="1:29" ht="15">
      <c r="A37" s="471"/>
      <c r="B37" s="2964" t="s">
        <v>2664</v>
      </c>
      <c r="C37" s="473">
        <v>0.98</v>
      </c>
      <c r="D37" s="434">
        <v>100</v>
      </c>
      <c r="E37" s="473">
        <v>0.92</v>
      </c>
      <c r="F37" s="460">
        <f>LOOKUP(E37,111:111,112:112)-LOOKUP(C37,111:111,112:112)+100</f>
        <v>100</v>
      </c>
      <c r="G37" s="473">
        <v>0.9</v>
      </c>
      <c r="H37" s="460">
        <f>LOOKUP(G37,111:111,112:112)-LOOKUP(C37,111:111,112:112)+100</f>
        <v>100</v>
      </c>
      <c r="I37" s="473">
        <v>0.95</v>
      </c>
      <c r="J37" s="434">
        <f>LOOKUP(I37,111:111,112:112)-LOOKUP(C37,111:111,112:112)+100</f>
        <v>100</v>
      </c>
      <c r="K37" s="611">
        <v>2</v>
      </c>
      <c r="L37" s="1140"/>
      <c r="M37" s="1131"/>
      <c r="N37" s="1131"/>
      <c r="O37" s="1131"/>
      <c r="P37" s="3444"/>
      <c r="Q37" s="2969" t="str">
        <f t="shared" si="11"/>
        <v>成新度</v>
      </c>
      <c r="R37" s="771" t="s">
        <v>17</v>
      </c>
      <c r="S37" s="772">
        <f t="shared" si="12"/>
        <v>100</v>
      </c>
      <c r="T37" s="771" t="s">
        <v>17</v>
      </c>
      <c r="U37" s="772">
        <f t="shared" si="13"/>
        <v>100</v>
      </c>
      <c r="V37" s="771" t="s">
        <v>17</v>
      </c>
      <c r="W37" s="772">
        <f t="shared" si="14"/>
        <v>100</v>
      </c>
      <c r="X37" s="2966"/>
      <c r="Y37" s="3446"/>
      <c r="Z37" s="2967" t="str">
        <f t="shared" si="15"/>
        <v>成新度</v>
      </c>
      <c r="AA37" s="2970">
        <f t="shared" si="3"/>
        <v>1</v>
      </c>
      <c r="AB37" s="2970">
        <f t="shared" si="4"/>
        <v>1</v>
      </c>
      <c r="AC37" s="2672">
        <f t="shared" si="5"/>
        <v>1</v>
      </c>
    </row>
    <row r="38" spans="1:29" s="116" customFormat="1" ht="15">
      <c r="A38" s="472"/>
      <c r="B38" s="2964" t="s">
        <v>2696</v>
      </c>
      <c r="C38" s="459" t="s">
        <v>3092</v>
      </c>
      <c r="D38" s="135">
        <v>100</v>
      </c>
      <c r="E38" s="459" t="s">
        <v>3092</v>
      </c>
      <c r="F38" s="460">
        <f>SUMIF(113:113,E38,114:114)-SUMIF(113:113,C38,114:114)+100</f>
        <v>100</v>
      </c>
      <c r="G38" s="459" t="s">
        <v>3092</v>
      </c>
      <c r="H38" s="434">
        <f>SUMIF(113:113,G38,114:114)-SUMIF(113:113,C38,114:114)+100</f>
        <v>100</v>
      </c>
      <c r="I38" s="459" t="s">
        <v>3092</v>
      </c>
      <c r="J38" s="434">
        <f>SUMIF(113:113,I38,114:114)-SUMIF(113:113,C38,114:114)+100</f>
        <v>100</v>
      </c>
      <c r="K38" s="611">
        <v>2</v>
      </c>
      <c r="L38" s="1132"/>
      <c r="M38" s="1133"/>
      <c r="N38" s="1133"/>
      <c r="O38" s="1133"/>
      <c r="P38" s="3444"/>
      <c r="Q38" s="2950" t="str">
        <f t="shared" si="11"/>
        <v>写字楼等级</v>
      </c>
      <c r="R38" s="767" t="s">
        <v>17</v>
      </c>
      <c r="S38" s="768">
        <f t="shared" si="12"/>
        <v>100</v>
      </c>
      <c r="T38" s="767" t="s">
        <v>17</v>
      </c>
      <c r="U38" s="768">
        <f t="shared" si="13"/>
        <v>100</v>
      </c>
      <c r="V38" s="767" t="s">
        <v>17</v>
      </c>
      <c r="W38" s="768">
        <f t="shared" si="14"/>
        <v>100</v>
      </c>
      <c r="X38" s="769"/>
      <c r="Y38" s="3446"/>
      <c r="Z38" s="2951" t="str">
        <f t="shared" si="15"/>
        <v>写字楼等级</v>
      </c>
      <c r="AA38" s="770">
        <f t="shared" si="3"/>
        <v>1</v>
      </c>
      <c r="AB38" s="770">
        <f t="shared" si="4"/>
        <v>1</v>
      </c>
      <c r="AC38" s="2669">
        <f t="shared" si="5"/>
        <v>1</v>
      </c>
    </row>
    <row r="39" spans="1:29" ht="15">
      <c r="A39" s="471"/>
      <c r="B39" s="2964" t="s">
        <v>2697</v>
      </c>
      <c r="C39" s="459" t="s">
        <v>3095</v>
      </c>
      <c r="D39" s="434">
        <v>100</v>
      </c>
      <c r="E39" s="459" t="s">
        <v>3095</v>
      </c>
      <c r="F39" s="460">
        <f>SUMIF(115:115,E39,116:116)-SUMIF(115:115,C39,116:116)+100</f>
        <v>100</v>
      </c>
      <c r="G39" s="459" t="s">
        <v>3095</v>
      </c>
      <c r="H39" s="434">
        <f>SUMIF(115:115,G39,116:116)-SUMIF(115:115,C39,116:116)+100</f>
        <v>100</v>
      </c>
      <c r="I39" s="459" t="s">
        <v>3095</v>
      </c>
      <c r="J39" s="434">
        <f>SUMIF(115:115,I39,116:116)-SUMIF(115:115,C39,116:116)+100</f>
        <v>100</v>
      </c>
      <c r="K39" s="611">
        <v>2</v>
      </c>
      <c r="L39" s="1140"/>
      <c r="M39" s="1131"/>
      <c r="N39" s="1131"/>
      <c r="O39" s="1131"/>
      <c r="P39" s="3444" t="s">
        <v>2567</v>
      </c>
      <c r="Q39" s="2969" t="str">
        <f t="shared" si="11"/>
        <v>物业管理</v>
      </c>
      <c r="R39" s="771" t="s">
        <v>17</v>
      </c>
      <c r="S39" s="772">
        <f t="shared" si="12"/>
        <v>100</v>
      </c>
      <c r="T39" s="771" t="s">
        <v>17</v>
      </c>
      <c r="U39" s="772">
        <f t="shared" si="13"/>
        <v>100</v>
      </c>
      <c r="V39" s="771" t="s">
        <v>17</v>
      </c>
      <c r="W39" s="772">
        <f t="shared" si="14"/>
        <v>100</v>
      </c>
      <c r="X39" s="2966"/>
      <c r="Y39" s="3446" t="s">
        <v>2567</v>
      </c>
      <c r="Z39" s="2967" t="str">
        <f t="shared" si="15"/>
        <v>物业管理</v>
      </c>
      <c r="AA39" s="2970">
        <f t="shared" si="3"/>
        <v>1</v>
      </c>
      <c r="AB39" s="2970">
        <f t="shared" si="4"/>
        <v>1</v>
      </c>
      <c r="AC39" s="2672">
        <f t="shared" si="5"/>
        <v>1</v>
      </c>
    </row>
    <row r="40" spans="1:29" ht="15">
      <c r="A40" s="471"/>
      <c r="B40" s="2964" t="s">
        <v>2665</v>
      </c>
      <c r="C40" s="459" t="s">
        <v>3097</v>
      </c>
      <c r="D40" s="434">
        <v>100</v>
      </c>
      <c r="E40" s="459" t="s">
        <v>3098</v>
      </c>
      <c r="F40" s="460">
        <f>SUMIF(117:117,E40,118:118)-SUMIF(117:117,C40,118:118)+100</f>
        <v>98</v>
      </c>
      <c r="G40" s="459" t="s">
        <v>3098</v>
      </c>
      <c r="H40" s="434">
        <f>SUMIF(117:117,G40,118:118)-SUMIF(117:117,C40,118:118)+100</f>
        <v>98</v>
      </c>
      <c r="I40" s="459" t="s">
        <v>3098</v>
      </c>
      <c r="J40" s="434">
        <f>SUMIF(117:117,I40,118:118)-SUMIF(117:117,C40,118:118)+100</f>
        <v>98</v>
      </c>
      <c r="K40" s="611">
        <v>2</v>
      </c>
      <c r="L40" s="1140"/>
      <c r="M40" s="1131"/>
      <c r="N40" s="1131"/>
      <c r="O40" s="1131"/>
      <c r="P40" s="3444"/>
      <c r="Q40" s="2969" t="str">
        <f t="shared" si="11"/>
        <v>市政基础设施</v>
      </c>
      <c r="R40" s="771" t="s">
        <v>17</v>
      </c>
      <c r="S40" s="772">
        <f t="shared" si="12"/>
        <v>98</v>
      </c>
      <c r="T40" s="771" t="s">
        <v>17</v>
      </c>
      <c r="U40" s="772">
        <f t="shared" si="13"/>
        <v>98</v>
      </c>
      <c r="V40" s="771" t="s">
        <v>17</v>
      </c>
      <c r="W40" s="772">
        <f t="shared" si="14"/>
        <v>98</v>
      </c>
      <c r="X40" s="2966"/>
      <c r="Y40" s="3446"/>
      <c r="Z40" s="2967" t="str">
        <f t="shared" si="15"/>
        <v>市政基础设施</v>
      </c>
      <c r="AA40" s="2970">
        <f t="shared" si="3"/>
        <v>1.0204081632653061</v>
      </c>
      <c r="AB40" s="2970">
        <f t="shared" si="4"/>
        <v>1.0204081632653061</v>
      </c>
      <c r="AC40" s="2672">
        <f t="shared" si="5"/>
        <v>1.0204081632653061</v>
      </c>
    </row>
    <row r="41" spans="1:29" ht="15">
      <c r="A41" s="471"/>
      <c r="B41" s="2964" t="s">
        <v>2667</v>
      </c>
      <c r="C41" s="615" t="s">
        <v>3102</v>
      </c>
      <c r="D41" s="434">
        <v>100</v>
      </c>
      <c r="E41" s="615" t="s">
        <v>3103</v>
      </c>
      <c r="F41" s="460">
        <f>SUMIF(119:119,E41,120:120)-SUMIF(119:119,C41,120:120)+100</f>
        <v>98</v>
      </c>
      <c r="G41" s="615" t="s">
        <v>3103</v>
      </c>
      <c r="H41" s="434">
        <f>SUMIF(119:119,G41,120:120)-SUMIF(119:119,C41,120:120)+100</f>
        <v>98</v>
      </c>
      <c r="I41" s="615" t="s">
        <v>3103</v>
      </c>
      <c r="J41" s="434">
        <f>SUMIF(119:119,I41,120:120)-SUMIF(119:119,C41,120:120)+100</f>
        <v>98</v>
      </c>
      <c r="K41" s="611">
        <v>2</v>
      </c>
      <c r="L41" s="1140"/>
      <c r="M41" s="1131"/>
      <c r="N41" s="1131"/>
      <c r="O41" s="1131"/>
      <c r="P41" s="3444"/>
      <c r="Q41" s="2969" t="str">
        <f t="shared" si="11"/>
        <v>层高</v>
      </c>
      <c r="R41" s="771" t="s">
        <v>17</v>
      </c>
      <c r="S41" s="772">
        <f t="shared" si="12"/>
        <v>98</v>
      </c>
      <c r="T41" s="771" t="s">
        <v>17</v>
      </c>
      <c r="U41" s="772">
        <f t="shared" si="13"/>
        <v>98</v>
      </c>
      <c r="V41" s="771" t="s">
        <v>17</v>
      </c>
      <c r="W41" s="772">
        <f t="shared" si="14"/>
        <v>98</v>
      </c>
      <c r="X41" s="2966"/>
      <c r="Y41" s="3446"/>
      <c r="Z41" s="2967" t="str">
        <f t="shared" si="15"/>
        <v>层高</v>
      </c>
      <c r="AA41" s="2970">
        <f t="shared" si="3"/>
        <v>1.0204081632653061</v>
      </c>
      <c r="AB41" s="2970">
        <f t="shared" si="4"/>
        <v>1.0204081632653061</v>
      </c>
      <c r="AC41" s="2672">
        <f t="shared" si="5"/>
        <v>1.0204081632653061</v>
      </c>
    </row>
    <row r="42" spans="1:29" s="470" customFormat="1" ht="15">
      <c r="A42" s="467"/>
      <c r="B42" s="2968" t="s">
        <v>2698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444"/>
      <c r="Q42" s="773" t="str">
        <f t="shared" si="11"/>
        <v>单套建筑面积</v>
      </c>
      <c r="R42" s="774" t="s">
        <v>17</v>
      </c>
      <c r="S42" s="775">
        <f t="shared" si="12"/>
        <v>100</v>
      </c>
      <c r="T42" s="774" t="s">
        <v>17</v>
      </c>
      <c r="U42" s="775">
        <f t="shared" si="13"/>
        <v>100</v>
      </c>
      <c r="V42" s="774" t="s">
        <v>17</v>
      </c>
      <c r="W42" s="775">
        <f t="shared" si="14"/>
        <v>100</v>
      </c>
      <c r="X42" s="776"/>
      <c r="Y42" s="3446"/>
      <c r="Z42" s="777" t="str">
        <f t="shared" si="15"/>
        <v>单套建筑面积</v>
      </c>
      <c r="AA42" s="2970">
        <f t="shared" si="3"/>
        <v>1</v>
      </c>
      <c r="AB42" s="2970">
        <f t="shared" si="4"/>
        <v>1</v>
      </c>
      <c r="AC42" s="2672">
        <f t="shared" si="5"/>
        <v>1</v>
      </c>
    </row>
    <row r="43" spans="1:29" ht="15">
      <c r="A43" s="471"/>
      <c r="B43" s="2964" t="s">
        <v>2670</v>
      </c>
      <c r="C43" s="459" t="s">
        <v>3090</v>
      </c>
      <c r="D43" s="434">
        <v>100</v>
      </c>
      <c r="E43" s="459" t="s">
        <v>3089</v>
      </c>
      <c r="F43" s="460">
        <f>SUMIF(123:123,E43,124:124)-SUMIF(123:123,C43,124:124)+100</f>
        <v>102</v>
      </c>
      <c r="G43" s="459" t="s">
        <v>3088</v>
      </c>
      <c r="H43" s="434">
        <f>SUMIF(123:123,G43,124:124)-SUMIF(123:123,C43,124:124)+100</f>
        <v>104</v>
      </c>
      <c r="I43" s="459" t="s">
        <v>3089</v>
      </c>
      <c r="J43" s="434">
        <f>SUMIF(123:123,I43,124:124)-SUMIF(123:123,C43,124:124)+100</f>
        <v>102</v>
      </c>
      <c r="K43" s="611">
        <v>2</v>
      </c>
      <c r="L43" s="1140"/>
      <c r="M43" s="1131"/>
      <c r="N43" s="1131"/>
      <c r="O43" s="1131"/>
      <c r="P43" s="3444"/>
      <c r="Q43" s="2969" t="str">
        <f t="shared" si="11"/>
        <v>内部装修</v>
      </c>
      <c r="R43" s="771" t="s">
        <v>17</v>
      </c>
      <c r="S43" s="772">
        <f t="shared" si="12"/>
        <v>102</v>
      </c>
      <c r="T43" s="771" t="s">
        <v>17</v>
      </c>
      <c r="U43" s="772">
        <f t="shared" si="13"/>
        <v>104</v>
      </c>
      <c r="V43" s="771" t="s">
        <v>17</v>
      </c>
      <c r="W43" s="772">
        <f t="shared" si="14"/>
        <v>102</v>
      </c>
      <c r="X43" s="2966"/>
      <c r="Y43" s="3446"/>
      <c r="Z43" s="2967" t="str">
        <f t="shared" si="15"/>
        <v>内部装修</v>
      </c>
      <c r="AA43" s="2970">
        <f t="shared" si="3"/>
        <v>0.98039215686274506</v>
      </c>
      <c r="AB43" s="2970">
        <f t="shared" si="4"/>
        <v>0.96153846153846156</v>
      </c>
      <c r="AC43" s="2672">
        <f t="shared" si="5"/>
        <v>0.98039215686274506</v>
      </c>
    </row>
    <row r="44" spans="1:29" ht="15">
      <c r="A44" s="471"/>
      <c r="B44" s="2964" t="s">
        <v>2578</v>
      </c>
      <c r="C44" s="459" t="s">
        <v>3113</v>
      </c>
      <c r="D44" s="434">
        <v>100</v>
      </c>
      <c r="E44" s="2611" t="s">
        <v>3113</v>
      </c>
      <c r="F44" s="460">
        <f>SUMIF(125:125,E44,126:126)-SUMIF(125:125,C44,126:126)+100</f>
        <v>100</v>
      </c>
      <c r="G44" s="2611" t="s">
        <v>3113</v>
      </c>
      <c r="H44" s="434">
        <f>SUMIF(125:125,G44,126:126)-SUMIF(125:125,C44,126:126)+100</f>
        <v>100</v>
      </c>
      <c r="I44" s="2611" t="s">
        <v>3113</v>
      </c>
      <c r="J44" s="434">
        <f>SUMIF(125:125,I44,126:126)-SUMIF(125:125,C44,126:126)+100</f>
        <v>100</v>
      </c>
      <c r="K44" s="611">
        <v>2</v>
      </c>
      <c r="L44" s="1140"/>
      <c r="M44" s="1131"/>
      <c r="N44" s="1131"/>
      <c r="O44" s="1131"/>
      <c r="P44" s="3444"/>
      <c r="Q44" s="2969" t="str">
        <f t="shared" si="11"/>
        <v>内部装修维护情况</v>
      </c>
      <c r="R44" s="771" t="s">
        <v>17</v>
      </c>
      <c r="S44" s="772">
        <f t="shared" si="12"/>
        <v>100</v>
      </c>
      <c r="T44" s="771" t="s">
        <v>17</v>
      </c>
      <c r="U44" s="772">
        <f t="shared" si="13"/>
        <v>100</v>
      </c>
      <c r="V44" s="771" t="s">
        <v>17</v>
      </c>
      <c r="W44" s="772">
        <f t="shared" si="14"/>
        <v>100</v>
      </c>
      <c r="X44" s="2966"/>
      <c r="Y44" s="3446"/>
      <c r="Z44" s="2967" t="str">
        <f t="shared" si="15"/>
        <v>内部装修维护情况</v>
      </c>
      <c r="AA44" s="2970">
        <f t="shared" si="3"/>
        <v>1</v>
      </c>
      <c r="AB44" s="2970">
        <f t="shared" si="4"/>
        <v>1</v>
      </c>
      <c r="AC44" s="2672">
        <f t="shared" si="5"/>
        <v>1</v>
      </c>
    </row>
    <row r="45" spans="1:29" s="116" customFormat="1" ht="15">
      <c r="A45" s="472"/>
      <c r="B45" s="2993" t="s">
        <v>3106</v>
      </c>
      <c r="C45" s="3017" t="s">
        <v>3115</v>
      </c>
      <c r="D45" s="135">
        <v>100</v>
      </c>
      <c r="E45" s="3016" t="s">
        <v>3116</v>
      </c>
      <c r="F45" s="424">
        <f>SUMIF(127:127,E45,128:128)-SUMIF(127:127,C45,128:128)+100</f>
        <v>97</v>
      </c>
      <c r="G45" s="3016" t="s">
        <v>3117</v>
      </c>
      <c r="H45" s="135">
        <f>SUMIF(127:127,G45,128:128)-SUMIF(127:127,C45,128:128)+100</f>
        <v>97</v>
      </c>
      <c r="I45" s="3016" t="s">
        <v>3117</v>
      </c>
      <c r="J45" s="135">
        <f>SUMIF(127:127,I45,128:128)-SUMIF(127:127,C45,128:128)+100</f>
        <v>97</v>
      </c>
      <c r="K45" s="612"/>
      <c r="L45" s="1132"/>
      <c r="M45" s="1133"/>
      <c r="N45" s="1133"/>
      <c r="O45" s="1133"/>
      <c r="P45" s="3444"/>
      <c r="Q45" s="2950" t="str">
        <f t="shared" si="11"/>
        <v>智能环保系统</v>
      </c>
      <c r="R45" s="767" t="s">
        <v>17</v>
      </c>
      <c r="S45" s="768">
        <f t="shared" si="12"/>
        <v>97</v>
      </c>
      <c r="T45" s="767" t="s">
        <v>17</v>
      </c>
      <c r="U45" s="768">
        <f t="shared" si="13"/>
        <v>97</v>
      </c>
      <c r="V45" s="767" t="s">
        <v>17</v>
      </c>
      <c r="W45" s="768">
        <f t="shared" si="14"/>
        <v>97</v>
      </c>
      <c r="X45" s="769"/>
      <c r="Y45" s="3446"/>
      <c r="Z45" s="2951" t="str">
        <f t="shared" si="15"/>
        <v>智能环保系统</v>
      </c>
      <c r="AA45" s="770">
        <f t="shared" si="3"/>
        <v>1.0309278350515463</v>
      </c>
      <c r="AB45" s="770">
        <f t="shared" si="4"/>
        <v>1.0309278350515463</v>
      </c>
      <c r="AC45" s="2669">
        <f t="shared" si="5"/>
        <v>1.0309278350515463</v>
      </c>
    </row>
    <row r="46" spans="1:29" ht="15">
      <c r="A46" s="471"/>
      <c r="B46" s="2993" t="s">
        <v>3118</v>
      </c>
      <c r="C46" s="3014" t="s">
        <v>3121</v>
      </c>
      <c r="D46" s="434">
        <v>100</v>
      </c>
      <c r="E46" s="3016" t="s">
        <v>3122</v>
      </c>
      <c r="F46" s="460">
        <f>SUMIF(129:129,E46,130:130)-SUMIF(129:129,C46,130:130)+100</f>
        <v>98</v>
      </c>
      <c r="G46" s="3016" t="s">
        <v>3120</v>
      </c>
      <c r="H46" s="434">
        <f>SUMIF(129:129,G46,130:130)-SUMIF(129:129,C46,130:130)+100</f>
        <v>98</v>
      </c>
      <c r="I46" s="3016" t="s">
        <v>3120</v>
      </c>
      <c r="J46" s="434">
        <f>SUMIF(129:129,I46,130:130)-SUMIF(129:129,C46,130:130)+100</f>
        <v>98</v>
      </c>
      <c r="K46" s="612"/>
      <c r="L46" s="1140"/>
      <c r="M46" s="1131"/>
      <c r="N46" s="1131"/>
      <c r="O46" s="1131"/>
      <c r="P46" s="3444"/>
      <c r="Q46" s="2969" t="str">
        <f t="shared" si="11"/>
        <v>建筑品质</v>
      </c>
      <c r="R46" s="771" t="s">
        <v>17</v>
      </c>
      <c r="S46" s="772">
        <f t="shared" si="12"/>
        <v>98</v>
      </c>
      <c r="T46" s="771" t="s">
        <v>17</v>
      </c>
      <c r="U46" s="772">
        <f t="shared" si="13"/>
        <v>98</v>
      </c>
      <c r="V46" s="771" t="s">
        <v>17</v>
      </c>
      <c r="W46" s="772">
        <f t="shared" si="14"/>
        <v>98</v>
      </c>
      <c r="X46" s="2966"/>
      <c r="Y46" s="3446"/>
      <c r="Z46" s="2967" t="str">
        <f t="shared" si="15"/>
        <v>建筑品质</v>
      </c>
      <c r="AA46" s="2970">
        <f t="shared" si="3"/>
        <v>1.0204081632653061</v>
      </c>
      <c r="AB46" s="2970">
        <f t="shared" si="4"/>
        <v>1.0204081632653061</v>
      </c>
      <c r="AC46" s="2672">
        <f t="shared" si="5"/>
        <v>1.0204081632653061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445"/>
      <c r="Q47" s="2969">
        <f t="shared" si="11"/>
        <v>111</v>
      </c>
      <c r="R47" s="771" t="s">
        <v>17</v>
      </c>
      <c r="S47" s="772">
        <f t="shared" si="12"/>
        <v>100</v>
      </c>
      <c r="T47" s="771" t="s">
        <v>17</v>
      </c>
      <c r="U47" s="772">
        <f t="shared" si="13"/>
        <v>100</v>
      </c>
      <c r="V47" s="771" t="s">
        <v>17</v>
      </c>
      <c r="W47" s="772">
        <f t="shared" si="14"/>
        <v>100</v>
      </c>
      <c r="X47" s="2966"/>
      <c r="Y47" s="3447"/>
      <c r="Z47" s="2967">
        <f t="shared" si="15"/>
        <v>111</v>
      </c>
      <c r="AA47" s="2970">
        <f t="shared" si="3"/>
        <v>1</v>
      </c>
      <c r="AB47" s="2970">
        <f t="shared" si="4"/>
        <v>1</v>
      </c>
      <c r="AC47" s="2672">
        <f t="shared" si="5"/>
        <v>1</v>
      </c>
    </row>
    <row r="48" spans="1:29" ht="15">
      <c r="A48" s="478" t="s">
        <v>2579</v>
      </c>
      <c r="B48" s="479"/>
      <c r="C48" s="1406" t="s">
        <v>1</v>
      </c>
      <c r="D48" s="1407"/>
      <c r="E48" s="1408">
        <v>5</v>
      </c>
      <c r="F48" s="1409"/>
      <c r="G48" s="1410">
        <v>5.5</v>
      </c>
      <c r="H48" s="1411"/>
      <c r="I48" s="1408">
        <v>5</v>
      </c>
      <c r="J48" s="484"/>
      <c r="K48" s="780"/>
      <c r="L48" s="1143"/>
      <c r="M48" s="1131"/>
      <c r="N48" s="1131"/>
      <c r="O48" s="1131"/>
      <c r="P48" s="3433" t="str">
        <f>A48</f>
        <v>成交单价（元/平方米）</v>
      </c>
      <c r="Q48" s="3434"/>
      <c r="R48" s="3435">
        <f>E48</f>
        <v>5</v>
      </c>
      <c r="S48" s="3435"/>
      <c r="T48" s="3435">
        <f>G48</f>
        <v>5.5</v>
      </c>
      <c r="U48" s="3435"/>
      <c r="V48" s="3435">
        <f>I48</f>
        <v>5</v>
      </c>
      <c r="W48" s="3435"/>
      <c r="X48" s="445"/>
      <c r="Y48" s="778"/>
      <c r="Z48" s="445"/>
      <c r="AA48" s="445"/>
      <c r="AB48" s="445"/>
      <c r="AC48" s="629"/>
    </row>
    <row r="49" spans="1:29" ht="15.75" thickBot="1">
      <c r="A49" s="485" t="s">
        <v>2580</v>
      </c>
      <c r="B49" s="486"/>
      <c r="C49" s="1412">
        <f>R50</f>
        <v>5.6</v>
      </c>
      <c r="D49" s="1413"/>
      <c r="E49" s="1414">
        <f>R49</f>
        <v>5.5</v>
      </c>
      <c r="F49" s="1414"/>
      <c r="G49" s="1412">
        <f>T49</f>
        <v>5.9</v>
      </c>
      <c r="H49" s="1413"/>
      <c r="I49" s="1414">
        <f>V49</f>
        <v>5.4</v>
      </c>
      <c r="J49" s="488"/>
      <c r="K49" s="781"/>
      <c r="L49" s="1143"/>
      <c r="M49" s="1131"/>
      <c r="N49" s="1131"/>
      <c r="O49" s="1131"/>
      <c r="P49" s="3433" t="str">
        <f>A49</f>
        <v>比较价值（元/平方米）</v>
      </c>
      <c r="Q49" s="3434"/>
      <c r="R49" s="3435">
        <f>IF(F1="售价",ROUND(PRODUCT(R48,AA7:AA47),0),ROUND(PRODUCT(R48,AA7:AA47),1))</f>
        <v>5.5</v>
      </c>
      <c r="S49" s="3435"/>
      <c r="T49" s="3435">
        <f>IF(F1="售价",ROUND(PRODUCT(T48,AB7:AB47),0),ROUND(PRODUCT(T48,AB7:AB47),1))</f>
        <v>5.9</v>
      </c>
      <c r="U49" s="3435"/>
      <c r="V49" s="3435">
        <f>IF(F1="售价",ROUND(PRODUCT(V48,AC7:AC47),0),ROUND(PRODUCT(V48,AC7:AC47),1))</f>
        <v>5.4</v>
      </c>
      <c r="W49" s="3435"/>
      <c r="X49" s="445"/>
      <c r="Y49" s="445"/>
      <c r="Z49" s="445"/>
      <c r="AA49" s="445"/>
      <c r="AB49" s="445"/>
      <c r="AC49" s="629"/>
    </row>
    <row r="50" spans="1:29" ht="15.75" thickBot="1">
      <c r="A50" s="491" t="s">
        <v>2581</v>
      </c>
      <c r="B50" s="492"/>
      <c r="C50" s="1416">
        <f>R50</f>
        <v>5.6</v>
      </c>
      <c r="D50" s="1416"/>
      <c r="E50" s="1416"/>
      <c r="F50" s="1416"/>
      <c r="G50" s="1416"/>
      <c r="H50" s="1416"/>
      <c r="I50" s="1416"/>
      <c r="J50" s="493"/>
      <c r="K50" s="782"/>
      <c r="L50" s="1143"/>
      <c r="M50" s="1131"/>
      <c r="N50" s="1131"/>
      <c r="O50" s="1131"/>
      <c r="P50" s="3436" t="str">
        <f>A50</f>
        <v>估价对象XX用房的比较价值（楼面单价，元/平方米）</v>
      </c>
      <c r="Q50" s="3437"/>
      <c r="R50" s="3438">
        <f>IF(F1="售价",ROUND(AVERAGE(R49:V49),0),ROUND(AVERAGE(R49:V49),1))</f>
        <v>5.6</v>
      </c>
      <c r="S50" s="3438"/>
      <c r="T50" s="3438"/>
      <c r="U50" s="3438"/>
      <c r="V50" s="3438"/>
      <c r="W50" s="343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2582</v>
      </c>
      <c r="D53" s="497"/>
      <c r="E53" s="498">
        <f>IF(E48&lt;E49,E49/E48-1,E48/E49-1)</f>
        <v>0.10000000000000009</v>
      </c>
      <c r="F53" s="499" t="str">
        <f>IF(OR(E53&gt;=0.3,E53&lt;=-0.3),"超过30%","")</f>
        <v/>
      </c>
      <c r="G53" s="498">
        <f>IF(G48&lt;G49,G49/G48-1,G48/G49-1)</f>
        <v>7.2727272727272751E-2</v>
      </c>
      <c r="H53" s="499" t="str">
        <f>IF(OR(G53&gt;=0.3,G53&lt;=-0.3),"超过30%","")</f>
        <v/>
      </c>
      <c r="I53" s="498">
        <f>IF(I48&lt;I49,I49/I48-1,I48/I49-1)</f>
        <v>8.0000000000000071E-2</v>
      </c>
      <c r="J53" s="499" t="str">
        <f>IF(OR(I53&gt;=0.3,I53&lt;=-0.3),"超过30%","")</f>
        <v/>
      </c>
      <c r="K53" s="1105"/>
      <c r="L53" s="1106"/>
      <c r="M53" s="1144"/>
      <c r="N53" s="1144"/>
      <c r="O53" s="1144"/>
    </row>
    <row r="54" spans="1:29" ht="13.5" customHeight="1">
      <c r="A54" s="1144"/>
      <c r="B54" s="1144"/>
      <c r="C54" s="496" t="s">
        <v>2583</v>
      </c>
      <c r="D54" s="500"/>
      <c r="E54" s="498">
        <f>IF(E49&lt;G49,G49/E49-1,E49/G49-1)</f>
        <v>7.2727272727272751E-2</v>
      </c>
      <c r="F54" s="499" t="str">
        <f>IF(OR(E54&gt;=0.2,E54&lt;=-0.2),"超过20%","")</f>
        <v/>
      </c>
      <c r="G54" s="498">
        <f>IF(G49&lt;I49,I49/G49-1,G49/I49-1)</f>
        <v>9.259259259259256E-2</v>
      </c>
      <c r="H54" s="499" t="str">
        <f>IF(OR(G54&gt;=0.2,G54&lt;=-0.2),"超过20%","")</f>
        <v/>
      </c>
      <c r="I54" s="498">
        <f>IF(I49&lt;E49,E49/I49-1,I49/E49-1)</f>
        <v>1.8518518518518379E-2</v>
      </c>
      <c r="J54" s="499" t="str">
        <f>IF(OR(I54&gt;=0.2,I54&lt;=-0.2),"超过20%","")</f>
        <v/>
      </c>
      <c r="K54" s="1105"/>
      <c r="L54" s="1106"/>
      <c r="M54" s="1144"/>
      <c r="N54" s="1144"/>
      <c r="O54" s="1144"/>
    </row>
    <row r="55" spans="1:29" s="501" customFormat="1" ht="13.5" customHeight="1">
      <c r="A55" s="1145"/>
      <c r="B55" s="1145"/>
      <c r="C55" s="496" t="s">
        <v>2584</v>
      </c>
      <c r="D55" s="500"/>
      <c r="E55" s="498">
        <f>IF(E48&lt;G48,G48/E48-1,E48/G48-1)</f>
        <v>0.10000000000000009</v>
      </c>
      <c r="F55" s="499" t="str">
        <f>IF(OR(E55&gt;=0.3,E55&lt;=-0.3),"超过30%","")</f>
        <v/>
      </c>
      <c r="G55" s="498">
        <f>IF(G48&lt;I48,I48/G48-1,G48/I48-1)</f>
        <v>0.10000000000000009</v>
      </c>
      <c r="H55" s="499" t="str">
        <f>IF(OR(G55&gt;=0.3,G55&lt;=-0.3),"超过30%","")</f>
        <v/>
      </c>
      <c r="I55" s="498">
        <f>IF(I48&lt;E48,E48/I48-1,I48/E48-1)</f>
        <v>0</v>
      </c>
      <c r="J55" s="499" t="str">
        <f>IF(OR(I55&gt;=0.3,I55&lt;=-0.3),"超过30%","")</f>
        <v/>
      </c>
      <c r="K55" s="1148"/>
      <c r="L55" s="1149"/>
      <c r="M55" s="1145"/>
      <c r="N55" s="1145"/>
      <c r="O55" s="1145"/>
      <c r="P55" s="2678"/>
    </row>
    <row r="56" spans="1:29" s="501"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0" t="s">
        <v>2585</v>
      </c>
      <c r="B58" s="756"/>
      <c r="C58" s="761"/>
      <c r="D58" s="761"/>
      <c r="E58" s="761"/>
      <c r="F58" s="762"/>
      <c r="G58" s="762"/>
      <c r="H58" s="761"/>
      <c r="I58" s="761"/>
      <c r="J58" s="761"/>
      <c r="K58" s="763"/>
      <c r="L58" s="1161"/>
      <c r="M58" s="1159"/>
      <c r="N58" s="1159"/>
      <c r="O58" s="1159"/>
      <c r="P58" s="2679"/>
      <c r="Q58" s="503"/>
    </row>
    <row r="59" spans="1:29" s="507" customFormat="1" ht="15">
      <c r="A59" s="504" t="s">
        <v>2550</v>
      </c>
      <c r="B59" s="505"/>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6" customFormat="1" ht="15">
      <c r="A60" s="508"/>
      <c r="B60" s="509"/>
      <c r="C60" s="1572">
        <v>100</v>
      </c>
      <c r="D60" s="511">
        <v>100</v>
      </c>
      <c r="E60" s="511">
        <v>100</v>
      </c>
      <c r="F60" s="511">
        <v>99</v>
      </c>
      <c r="G60" s="511">
        <v>99</v>
      </c>
      <c r="H60" s="511">
        <v>99</v>
      </c>
      <c r="I60" s="511">
        <v>98</v>
      </c>
      <c r="J60" s="511">
        <v>98</v>
      </c>
      <c r="K60" s="511">
        <v>98</v>
      </c>
      <c r="L60" s="511">
        <v>97</v>
      </c>
      <c r="M60" s="512">
        <v>97</v>
      </c>
      <c r="N60" s="511">
        <v>97</v>
      </c>
      <c r="O60" s="512">
        <v>96</v>
      </c>
      <c r="P60" s="2680"/>
    </row>
    <row r="61" spans="1:29" s="116" customFormat="1" ht="15.75" thickBot="1">
      <c r="A61" s="514" t="s">
        <v>2587</v>
      </c>
      <c r="B61" s="515"/>
      <c r="C61" s="516"/>
      <c r="D61" s="517"/>
      <c r="E61" s="517"/>
      <c r="F61" s="517"/>
      <c r="G61" s="517"/>
      <c r="H61" s="517"/>
      <c r="I61" s="517"/>
      <c r="J61" s="517"/>
      <c r="K61" s="517"/>
      <c r="L61" s="517"/>
      <c r="M61" s="518"/>
      <c r="N61" s="517"/>
      <c r="O61" s="518"/>
      <c r="P61" s="2680"/>
      <c r="Q61" s="503"/>
    </row>
    <row r="62" spans="1:29" s="116" customFormat="1" ht="15">
      <c r="A62" s="520" t="s">
        <v>2552</v>
      </c>
      <c r="B62" s="509"/>
      <c r="C62" s="521" t="s">
        <v>2589</v>
      </c>
      <c r="D62" s="522"/>
      <c r="E62" s="522"/>
      <c r="F62" s="522"/>
      <c r="G62" s="522"/>
      <c r="H62" s="522"/>
      <c r="I62" s="522"/>
      <c r="J62" s="522"/>
      <c r="K62" s="522"/>
      <c r="L62" s="523"/>
      <c r="M62" s="524"/>
      <c r="N62" s="1151"/>
      <c r="O62" s="1151"/>
      <c r="P62" s="2681"/>
      <c r="Q62" s="503"/>
    </row>
    <row r="63" spans="1:29" s="116" customFormat="1" ht="15.75" thickBot="1">
      <c r="A63" s="520"/>
      <c r="B63" s="509"/>
      <c r="C63" s="510">
        <v>100</v>
      </c>
      <c r="D63" s="511"/>
      <c r="E63" s="511"/>
      <c r="F63" s="511"/>
      <c r="G63" s="511"/>
      <c r="H63" s="511"/>
      <c r="I63" s="511"/>
      <c r="J63" s="511"/>
      <c r="K63" s="511"/>
      <c r="L63" s="511"/>
      <c r="M63" s="513"/>
      <c r="N63" s="1151"/>
      <c r="O63" s="1151"/>
      <c r="P63" s="2680"/>
      <c r="Q63" s="503"/>
    </row>
    <row r="64" spans="1:29">
      <c r="A64" s="526" t="s">
        <v>2590</v>
      </c>
      <c r="B64" s="527" t="s">
        <v>2556</v>
      </c>
      <c r="C64" s="528" t="str">
        <f>C9</f>
        <v>办公</v>
      </c>
      <c r="D64" s="529"/>
      <c r="E64" s="529"/>
      <c r="F64" s="529"/>
      <c r="G64" s="529"/>
      <c r="H64" s="529"/>
      <c r="I64" s="529"/>
      <c r="J64" s="529"/>
      <c r="K64" s="530"/>
      <c r="L64" s="531"/>
      <c r="M64" s="532"/>
      <c r="N64" s="1152"/>
      <c r="O64" s="1152"/>
      <c r="P64" s="2682"/>
      <c r="Q64" s="503"/>
    </row>
    <row r="65" spans="1:17" ht="15.75" thickBot="1">
      <c r="A65" s="533"/>
      <c r="B65" s="534"/>
      <c r="C65" s="535">
        <v>100</v>
      </c>
      <c r="D65" s="535"/>
      <c r="E65" s="535"/>
      <c r="F65" s="535"/>
      <c r="G65" s="535"/>
      <c r="H65" s="535"/>
      <c r="I65" s="535"/>
      <c r="J65" s="535"/>
      <c r="K65" s="535"/>
      <c r="L65" s="535"/>
      <c r="M65" s="536"/>
      <c r="N65" s="1153"/>
      <c r="O65" s="1153"/>
      <c r="P65" s="2682"/>
      <c r="Q65" s="503"/>
    </row>
    <row r="66" spans="1:17" ht="27.75" thickTop="1">
      <c r="A66" s="533"/>
      <c r="B66" s="537" t="s">
        <v>2559</v>
      </c>
      <c r="C66" s="538" t="s">
        <v>2591</v>
      </c>
      <c r="D66" s="538" t="s">
        <v>2592</v>
      </c>
      <c r="E66" s="538" t="s">
        <v>2593</v>
      </c>
      <c r="F66" s="538" t="s">
        <v>2594</v>
      </c>
      <c r="G66" s="538" t="s">
        <v>2595</v>
      </c>
      <c r="H66" s="538" t="s">
        <v>2596</v>
      </c>
      <c r="I66" s="538" t="s">
        <v>2597</v>
      </c>
      <c r="J66" s="538"/>
      <c r="K66" s="539"/>
      <c r="L66" s="540"/>
      <c r="M66" s="541"/>
      <c r="N66" s="1152"/>
      <c r="O66" s="1152"/>
      <c r="P66" s="2682"/>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3"/>
      <c r="O67" s="1153"/>
      <c r="P67" s="2682"/>
      <c r="Q67" s="503"/>
    </row>
    <row r="68" spans="1:17" ht="15.75" thickTop="1">
      <c r="A68" s="533"/>
      <c r="B68" s="545" t="s">
        <v>2560</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2"/>
      <c r="Q68" s="503"/>
    </row>
    <row r="69" spans="1:17" ht="15">
      <c r="A69" s="533"/>
      <c r="B69" s="547"/>
      <c r="C69" s="548">
        <v>0</v>
      </c>
      <c r="D69" s="548">
        <v>1</v>
      </c>
      <c r="E69" s="548">
        <v>2</v>
      </c>
      <c r="F69" s="548">
        <v>3</v>
      </c>
      <c r="G69" s="548">
        <v>4</v>
      </c>
      <c r="H69" s="548"/>
      <c r="I69" s="548"/>
      <c r="J69" s="548"/>
      <c r="K69" s="549"/>
      <c r="L69" s="550"/>
      <c r="M69" s="551"/>
      <c r="N69" s="1152"/>
      <c r="O69" s="1152"/>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2"/>
      <c r="Q70" s="503"/>
    </row>
    <row r="71" spans="1:17" s="470" customFormat="1" ht="15.75" thickTop="1">
      <c r="A71" s="552"/>
      <c r="B71" s="537">
        <f>B12</f>
        <v>111</v>
      </c>
      <c r="C71" s="553"/>
      <c r="D71" s="553"/>
      <c r="E71" s="553"/>
      <c r="F71" s="553"/>
      <c r="G71" s="553"/>
      <c r="H71" s="554"/>
      <c r="I71" s="554"/>
      <c r="J71" s="554"/>
      <c r="K71" s="554"/>
      <c r="L71" s="555"/>
      <c r="M71" s="556"/>
      <c r="N71" s="1154"/>
      <c r="O71" s="1154"/>
      <c r="P71" s="2683"/>
      <c r="Q71" s="558"/>
    </row>
    <row r="72" spans="1:17" s="470" customFormat="1" ht="15.75" thickBot="1">
      <c r="A72" s="552"/>
      <c r="B72" s="542"/>
      <c r="C72" s="559"/>
      <c r="D72" s="535"/>
      <c r="E72" s="535"/>
      <c r="F72" s="535"/>
      <c r="G72" s="535"/>
      <c r="H72" s="535"/>
      <c r="I72" s="535"/>
      <c r="J72" s="535"/>
      <c r="K72" s="535"/>
      <c r="L72" s="535"/>
      <c r="M72" s="536"/>
      <c r="N72" s="1153"/>
      <c r="O72" s="1153"/>
      <c r="P72" s="2683"/>
      <c r="Q72" s="558"/>
    </row>
    <row r="73" spans="1:17" s="470" customFormat="1" ht="15.75" thickTop="1">
      <c r="A73" s="552"/>
      <c r="B73" s="537">
        <f>B13</f>
        <v>111</v>
      </c>
      <c r="C73" s="553"/>
      <c r="D73" s="553"/>
      <c r="E73" s="553"/>
      <c r="F73" s="553"/>
      <c r="G73" s="553"/>
      <c r="H73" s="554"/>
      <c r="I73" s="554"/>
      <c r="J73" s="554"/>
      <c r="K73" s="554"/>
      <c r="L73" s="555"/>
      <c r="M73" s="556"/>
      <c r="N73" s="1154"/>
      <c r="O73" s="1154"/>
      <c r="P73" s="2684"/>
      <c r="Q73" s="560"/>
    </row>
    <row r="74" spans="1:17" s="470" customFormat="1" ht="15.75" thickBot="1">
      <c r="A74" s="552"/>
      <c r="B74" s="542"/>
      <c r="C74" s="559"/>
      <c r="D74" s="559"/>
      <c r="E74" s="559"/>
      <c r="F74" s="559"/>
      <c r="G74" s="559"/>
      <c r="H74" s="561"/>
      <c r="I74" s="561"/>
      <c r="J74" s="561"/>
      <c r="K74" s="561"/>
      <c r="L74" s="561"/>
      <c r="M74" s="562"/>
      <c r="N74" s="1154"/>
      <c r="O74" s="1154"/>
      <c r="P74" s="2683"/>
      <c r="Q74" s="558"/>
    </row>
    <row r="75" spans="1:17" s="470" customFormat="1" ht="15.75" thickTop="1">
      <c r="A75" s="552"/>
      <c r="B75" s="545">
        <f>B14</f>
        <v>111</v>
      </c>
      <c r="C75" s="522"/>
      <c r="D75" s="522"/>
      <c r="E75" s="522"/>
      <c r="F75" s="522"/>
      <c r="G75" s="522"/>
      <c r="H75" s="563"/>
      <c r="I75" s="563"/>
      <c r="J75" s="563"/>
      <c r="K75" s="563"/>
      <c r="L75" s="564"/>
      <c r="M75" s="565"/>
      <c r="N75" s="1154"/>
      <c r="O75" s="1154"/>
      <c r="P75" s="2685"/>
      <c r="Q75" s="558"/>
    </row>
    <row r="76" spans="1:17" s="470" customFormat="1" ht="15.75" thickBot="1">
      <c r="A76" s="567"/>
      <c r="B76" s="568"/>
      <c r="C76" s="569"/>
      <c r="D76" s="569"/>
      <c r="E76" s="569"/>
      <c r="F76" s="569"/>
      <c r="G76" s="569"/>
      <c r="H76" s="570"/>
      <c r="I76" s="570"/>
      <c r="J76" s="570"/>
      <c r="K76" s="570"/>
      <c r="L76" s="570"/>
      <c r="M76" s="571"/>
      <c r="N76" s="1154"/>
      <c r="O76" s="1154"/>
      <c r="P76" s="2683"/>
      <c r="Q76" s="558"/>
    </row>
    <row r="77" spans="1:17">
      <c r="A77" s="526" t="s">
        <v>2561</v>
      </c>
      <c r="B77" s="527" t="s">
        <v>2699</v>
      </c>
      <c r="C77" s="572" t="s">
        <v>2599</v>
      </c>
      <c r="D77" s="572" t="s">
        <v>2600</v>
      </c>
      <c r="E77" s="572" t="s">
        <v>2601</v>
      </c>
      <c r="F77" s="572" t="s">
        <v>2602</v>
      </c>
      <c r="G77" s="572" t="s">
        <v>2603</v>
      </c>
      <c r="H77" s="528"/>
      <c r="I77" s="528"/>
      <c r="J77" s="528"/>
      <c r="K77" s="573"/>
      <c r="L77" s="574"/>
      <c r="M77" s="575"/>
      <c r="N77" s="1152"/>
      <c r="O77" s="1152"/>
      <c r="P77" s="2686"/>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2"/>
      <c r="Q78" s="503"/>
    </row>
    <row r="79" spans="1:17" ht="15.75" thickTop="1">
      <c r="A79" s="533"/>
      <c r="B79" s="537" t="s">
        <v>2604</v>
      </c>
      <c r="C79" s="577" t="s">
        <v>2599</v>
      </c>
      <c r="D79" s="577" t="s">
        <v>2600</v>
      </c>
      <c r="E79" s="577" t="s">
        <v>2601</v>
      </c>
      <c r="F79" s="577" t="s">
        <v>2602</v>
      </c>
      <c r="G79" s="577" t="s">
        <v>2603</v>
      </c>
      <c r="H79" s="538"/>
      <c r="I79" s="538"/>
      <c r="J79" s="538"/>
      <c r="K79" s="539"/>
      <c r="L79" s="540"/>
      <c r="M79" s="541"/>
      <c r="N79" s="1152"/>
      <c r="O79" s="1152"/>
      <c r="P79" s="2682"/>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2"/>
      <c r="Q80" s="503"/>
    </row>
    <row r="81" spans="1:17" ht="15.75" thickTop="1">
      <c r="A81" s="533"/>
      <c r="B81" s="537" t="s">
        <v>2605</v>
      </c>
      <c r="C81" s="577" t="s">
        <v>2599</v>
      </c>
      <c r="D81" s="577" t="s">
        <v>2600</v>
      </c>
      <c r="E81" s="577" t="s">
        <v>2601</v>
      </c>
      <c r="F81" s="577" t="s">
        <v>2602</v>
      </c>
      <c r="G81" s="577" t="s">
        <v>2603</v>
      </c>
      <c r="H81" s="538"/>
      <c r="I81" s="538"/>
      <c r="J81" s="538"/>
      <c r="K81" s="539"/>
      <c r="L81" s="540"/>
      <c r="M81" s="541"/>
      <c r="N81" s="1152"/>
      <c r="O81" s="1152"/>
      <c r="P81" s="2682"/>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2"/>
      <c r="Q82" s="503"/>
    </row>
    <row r="83" spans="1:17" ht="15.75" thickTop="1">
      <c r="A83" s="533"/>
      <c r="B83" s="545" t="s">
        <v>2691</v>
      </c>
      <c r="C83" s="659" t="s">
        <v>2677</v>
      </c>
      <c r="D83" s="659" t="s">
        <v>2678</v>
      </c>
      <c r="E83" s="659" t="s">
        <v>2679</v>
      </c>
      <c r="F83" s="659" t="s">
        <v>2680</v>
      </c>
      <c r="G83" s="659" t="s">
        <v>2681</v>
      </c>
      <c r="H83" s="538"/>
      <c r="I83" s="538"/>
      <c r="J83" s="538"/>
      <c r="K83" s="538"/>
      <c r="L83" s="538"/>
      <c r="M83" s="1381"/>
      <c r="N83" s="1153"/>
      <c r="O83" s="1153"/>
      <c r="P83" s="2682"/>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2"/>
      <c r="Q84" s="503"/>
    </row>
    <row r="85" spans="1:17" ht="15.75" thickTop="1">
      <c r="A85" s="533"/>
      <c r="B85" s="537" t="s">
        <v>2700</v>
      </c>
      <c r="C85" s="577" t="s">
        <v>2599</v>
      </c>
      <c r="D85" s="577" t="s">
        <v>2600</v>
      </c>
      <c r="E85" s="577" t="s">
        <v>2601</v>
      </c>
      <c r="F85" s="577" t="s">
        <v>2602</v>
      </c>
      <c r="G85" s="577" t="s">
        <v>2603</v>
      </c>
      <c r="H85" s="538"/>
      <c r="I85" s="538"/>
      <c r="J85" s="538"/>
      <c r="K85" s="539"/>
      <c r="L85" s="540"/>
      <c r="M85" s="541"/>
      <c r="N85" s="1152"/>
      <c r="O85" s="1152"/>
      <c r="P85" s="2682"/>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2"/>
      <c r="Q86" s="503"/>
    </row>
    <row r="87" spans="1:17" s="116" customFormat="1" ht="27.75" thickTop="1">
      <c r="A87" s="578"/>
      <c r="B87" s="537" t="s">
        <v>2701</v>
      </c>
      <c r="C87" s="3028" t="s">
        <v>3075</v>
      </c>
      <c r="D87" s="3028" t="s">
        <v>3076</v>
      </c>
      <c r="E87" s="3028" t="s">
        <v>3077</v>
      </c>
      <c r="F87" s="3028" t="s">
        <v>3078</v>
      </c>
      <c r="G87" s="3028" t="s">
        <v>3079</v>
      </c>
      <c r="H87" s="553"/>
      <c r="I87" s="553"/>
      <c r="J87" s="553"/>
      <c r="K87" s="553"/>
      <c r="L87" s="579"/>
      <c r="M87" s="580"/>
      <c r="N87" s="1151"/>
      <c r="O87" s="1151"/>
      <c r="P87" s="2682"/>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3"/>
      <c r="O88" s="1153"/>
      <c r="P88" s="2682"/>
      <c r="Q88" s="503"/>
    </row>
    <row r="89" spans="1:17" s="116" customFormat="1" ht="15.75" thickTop="1">
      <c r="A89" s="578"/>
      <c r="B89" s="537" t="str">
        <f>B27</f>
        <v>楼层</v>
      </c>
      <c r="C89" s="3028" t="s">
        <v>3080</v>
      </c>
      <c r="D89" s="3028" t="s">
        <v>3081</v>
      </c>
      <c r="E89" s="3028" t="s">
        <v>3082</v>
      </c>
      <c r="F89" s="2633"/>
      <c r="G89" s="553"/>
      <c r="H89" s="553"/>
      <c r="I89" s="553"/>
      <c r="J89" s="553"/>
      <c r="K89" s="553"/>
      <c r="L89" s="553"/>
      <c r="M89" s="580"/>
      <c r="N89" s="1151"/>
      <c r="O89" s="1151"/>
      <c r="P89" s="2682"/>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3"/>
      <c r="O90" s="1153"/>
      <c r="P90" s="268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3"/>
      <c r="Q92" s="558"/>
    </row>
    <row r="93" spans="1:17" ht="15.75" thickTop="1">
      <c r="A93" s="533"/>
      <c r="B93" s="537">
        <f>B29</f>
        <v>111</v>
      </c>
      <c r="C93" s="553"/>
      <c r="D93" s="553"/>
      <c r="E93" s="553"/>
      <c r="F93" s="553"/>
      <c r="G93" s="553"/>
      <c r="H93" s="553"/>
      <c r="I93" s="553"/>
      <c r="J93" s="553"/>
      <c r="K93" s="553"/>
      <c r="L93" s="579"/>
      <c r="M93" s="580"/>
      <c r="N93" s="1152"/>
      <c r="O93" s="1152"/>
      <c r="P93" s="2682"/>
      <c r="Q93" s="503"/>
    </row>
    <row r="94" spans="1:17" ht="15.75" thickBot="1">
      <c r="A94" s="533"/>
      <c r="B94" s="542"/>
      <c r="C94" s="559"/>
      <c r="D94" s="535"/>
      <c r="E94" s="535"/>
      <c r="F94" s="535"/>
      <c r="G94" s="535"/>
      <c r="H94" s="535"/>
      <c r="I94" s="535"/>
      <c r="J94" s="535"/>
      <c r="K94" s="535"/>
      <c r="L94" s="535"/>
      <c r="M94" s="536"/>
      <c r="N94" s="1153"/>
      <c r="O94" s="1153"/>
      <c r="P94" s="2682"/>
      <c r="Q94" s="503"/>
    </row>
    <row r="95" spans="1:17" ht="15.75" thickTop="1">
      <c r="A95" s="533"/>
      <c r="B95" s="537">
        <f>B30</f>
        <v>111</v>
      </c>
      <c r="C95" s="553"/>
      <c r="D95" s="553"/>
      <c r="E95" s="553"/>
      <c r="F95" s="553"/>
      <c r="G95" s="582"/>
      <c r="H95" s="582"/>
      <c r="I95" s="582"/>
      <c r="J95" s="582"/>
      <c r="K95" s="583"/>
      <c r="L95" s="584"/>
      <c r="M95" s="585"/>
      <c r="N95" s="1152"/>
      <c r="O95" s="1152"/>
      <c r="P95" s="2682"/>
      <c r="Q95" s="503"/>
    </row>
    <row r="96" spans="1:17" ht="15.75" thickBot="1">
      <c r="A96" s="533"/>
      <c r="B96" s="542"/>
      <c r="C96" s="559"/>
      <c r="D96" s="559"/>
      <c r="E96" s="559"/>
      <c r="F96" s="559"/>
      <c r="G96" s="535"/>
      <c r="H96" s="535"/>
      <c r="I96" s="535"/>
      <c r="J96" s="535"/>
      <c r="K96" s="535"/>
      <c r="L96" s="535"/>
      <c r="M96" s="536"/>
      <c r="N96" s="1153"/>
      <c r="O96" s="1153"/>
      <c r="P96" s="2682"/>
      <c r="Q96" s="503"/>
    </row>
    <row r="97" spans="1:17" ht="15.75" thickTop="1">
      <c r="A97" s="533"/>
      <c r="B97" s="537">
        <f>B31</f>
        <v>111</v>
      </c>
      <c r="C97" s="553"/>
      <c r="D97" s="553"/>
      <c r="E97" s="553"/>
      <c r="F97" s="553"/>
      <c r="G97" s="582"/>
      <c r="H97" s="582"/>
      <c r="I97" s="582"/>
      <c r="J97" s="582"/>
      <c r="K97" s="583"/>
      <c r="L97" s="584"/>
      <c r="M97" s="585"/>
      <c r="N97" s="1152"/>
      <c r="O97" s="1152"/>
      <c r="P97" s="2682"/>
      <c r="Q97" s="503"/>
    </row>
    <row r="98" spans="1:17" ht="15.75" thickBot="1">
      <c r="A98" s="533"/>
      <c r="B98" s="542"/>
      <c r="C98" s="559"/>
      <c r="D98" s="535"/>
      <c r="E98" s="535"/>
      <c r="F98" s="535"/>
      <c r="G98" s="535"/>
      <c r="H98" s="535"/>
      <c r="I98" s="535"/>
      <c r="J98" s="535"/>
      <c r="K98" s="535"/>
      <c r="L98" s="535"/>
      <c r="M98" s="536"/>
      <c r="N98" s="1153"/>
      <c r="O98" s="1153"/>
      <c r="P98" s="2682"/>
      <c r="Q98" s="503"/>
    </row>
    <row r="99" spans="1:17" ht="15.75" thickTop="1">
      <c r="A99" s="533"/>
      <c r="B99" s="545">
        <f>B32</f>
        <v>111</v>
      </c>
      <c r="C99" s="522"/>
      <c r="D99" s="522"/>
      <c r="E99" s="522"/>
      <c r="F99" s="522"/>
      <c r="G99" s="586"/>
      <c r="H99" s="586"/>
      <c r="I99" s="586"/>
      <c r="J99" s="586"/>
      <c r="K99" s="587"/>
      <c r="L99" s="588"/>
      <c r="M99" s="589"/>
      <c r="N99" s="1152"/>
      <c r="O99" s="1152"/>
      <c r="P99" s="2682"/>
      <c r="Q99" s="503"/>
    </row>
    <row r="100" spans="1:17" ht="15.75" thickBot="1">
      <c r="A100" s="2634"/>
      <c r="B100" s="568"/>
      <c r="C100" s="569"/>
      <c r="D100" s="569"/>
      <c r="E100" s="569"/>
      <c r="F100" s="569"/>
      <c r="G100" s="590"/>
      <c r="H100" s="590"/>
      <c r="I100" s="590"/>
      <c r="J100" s="590"/>
      <c r="K100" s="590"/>
      <c r="L100" s="590"/>
      <c r="M100" s="591"/>
      <c r="N100" s="1153"/>
      <c r="O100" s="1153"/>
      <c r="P100" s="2682"/>
      <c r="Q100" s="503"/>
    </row>
    <row r="101" spans="1:17">
      <c r="A101" s="526" t="s">
        <v>2565</v>
      </c>
      <c r="B101" s="527" t="s">
        <v>2614</v>
      </c>
      <c r="C101" s="3026" t="s">
        <v>3083</v>
      </c>
      <c r="D101" s="3026" t="s">
        <v>3084</v>
      </c>
      <c r="E101" s="529"/>
      <c r="F101" s="529"/>
      <c r="G101" s="529"/>
      <c r="H101" s="529"/>
      <c r="I101" s="529"/>
      <c r="J101" s="529"/>
      <c r="K101" s="530"/>
      <c r="L101" s="531"/>
      <c r="M101" s="532"/>
      <c r="N101" s="1152"/>
      <c r="O101" s="1152"/>
      <c r="P101" s="2682"/>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3"/>
      <c r="O102" s="1153"/>
      <c r="P102" s="2682"/>
      <c r="Q102" s="503"/>
    </row>
    <row r="103" spans="1:17" ht="29.25" thickTop="1">
      <c r="A103" s="533"/>
      <c r="B103" s="537" t="s">
        <v>2615</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682"/>
      <c r="Q103" s="503"/>
    </row>
    <row r="104" spans="1:17" s="470" customFormat="1">
      <c r="A104" s="592"/>
      <c r="B104" s="593"/>
      <c r="C104" s="3031">
        <v>0</v>
      </c>
      <c r="D104" s="3031">
        <v>200</v>
      </c>
      <c r="E104" s="3031">
        <v>400</v>
      </c>
      <c r="F104" s="3031">
        <v>600</v>
      </c>
      <c r="G104" s="3031">
        <v>800</v>
      </c>
      <c r="H104" s="3031">
        <v>1000</v>
      </c>
      <c r="I104" s="3031">
        <v>2000</v>
      </c>
      <c r="J104" s="3032">
        <v>5000</v>
      </c>
      <c r="K104" s="3032">
        <v>10000</v>
      </c>
      <c r="L104" s="3033">
        <v>20000</v>
      </c>
      <c r="M104" s="597"/>
      <c r="N104" s="1154"/>
      <c r="O104" s="1154"/>
      <c r="P104" s="2683"/>
      <c r="Q104" s="558"/>
    </row>
    <row r="105" spans="1:17" s="470" customFormat="1" ht="15.75" thickBot="1">
      <c r="A105" s="552"/>
      <c r="B105" s="542"/>
      <c r="C105" s="3029">
        <v>98</v>
      </c>
      <c r="D105" s="3027">
        <v>99</v>
      </c>
      <c r="E105" s="3027">
        <v>100</v>
      </c>
      <c r="F105" s="3027">
        <v>99</v>
      </c>
      <c r="G105" s="3027">
        <v>98</v>
      </c>
      <c r="H105" s="3027">
        <v>97</v>
      </c>
      <c r="I105" s="3027">
        <v>96</v>
      </c>
      <c r="J105" s="3027">
        <v>95</v>
      </c>
      <c r="K105" s="3027">
        <v>94</v>
      </c>
      <c r="L105" s="3027">
        <v>93</v>
      </c>
      <c r="M105" s="536"/>
      <c r="N105" s="1153"/>
      <c r="O105" s="1153"/>
      <c r="P105" s="2683"/>
      <c r="Q105" s="558"/>
    </row>
    <row r="106" spans="1:17" ht="15" thickTop="1">
      <c r="A106" s="598"/>
      <c r="B106" s="537" t="s">
        <v>2616</v>
      </c>
      <c r="C106" s="3028" t="s">
        <v>3085</v>
      </c>
      <c r="D106" s="3028" t="s">
        <v>3086</v>
      </c>
      <c r="E106" s="3030" t="s">
        <v>3087</v>
      </c>
      <c r="F106" s="582"/>
      <c r="G106" s="582"/>
      <c r="H106" s="582"/>
      <c r="I106" s="582"/>
      <c r="J106" s="582"/>
      <c r="K106" s="583"/>
      <c r="L106" s="584"/>
      <c r="M106" s="585"/>
      <c r="N106" s="1152"/>
      <c r="O106" s="1152"/>
      <c r="P106" s="2682"/>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3"/>
      <c r="O107" s="1153"/>
      <c r="P107" s="2682"/>
      <c r="Q107" s="503"/>
    </row>
    <row r="108" spans="1:17" ht="15" thickTop="1">
      <c r="A108" s="598"/>
      <c r="B108" s="537" t="s">
        <v>2618</v>
      </c>
      <c r="C108" s="3028" t="s">
        <v>3088</v>
      </c>
      <c r="D108" s="3028" t="s">
        <v>3089</v>
      </c>
      <c r="E108" s="3028" t="s">
        <v>3090</v>
      </c>
      <c r="F108" s="3030" t="s">
        <v>3091</v>
      </c>
      <c r="G108" s="582"/>
      <c r="H108" s="582"/>
      <c r="I108" s="582"/>
      <c r="J108" s="582"/>
      <c r="K108" s="583"/>
      <c r="L108" s="584"/>
      <c r="M108" s="585"/>
      <c r="N108" s="1152"/>
      <c r="O108" s="1152"/>
      <c r="P108" s="2682"/>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3"/>
      <c r="O109" s="1153"/>
      <c r="P109" s="2682"/>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2"/>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3"/>
      <c r="O112" s="1153"/>
      <c r="P112" s="2682"/>
      <c r="Q112" s="503"/>
    </row>
    <row r="113" spans="1:17" s="470" customFormat="1" ht="15" thickTop="1">
      <c r="A113" s="592"/>
      <c r="B113" s="537" t="s">
        <v>2702</v>
      </c>
      <c r="C113" s="3028" t="s">
        <v>3092</v>
      </c>
      <c r="D113" s="3028" t="s">
        <v>3093</v>
      </c>
      <c r="E113" s="3028" t="s">
        <v>3094</v>
      </c>
      <c r="F113" s="553"/>
      <c r="G113" s="553"/>
      <c r="H113" s="582"/>
      <c r="I113" s="582"/>
      <c r="J113" s="582"/>
      <c r="K113" s="583"/>
      <c r="L113" s="584"/>
      <c r="M113" s="585"/>
      <c r="N113" s="1154"/>
      <c r="O113" s="1154"/>
      <c r="P113" s="2683"/>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4"/>
      <c r="O114" s="1154"/>
      <c r="P114" s="2683"/>
      <c r="Q114" s="558"/>
    </row>
    <row r="115" spans="1:17" ht="15" thickTop="1">
      <c r="A115" s="598"/>
      <c r="B115" s="537" t="s">
        <v>2619</v>
      </c>
      <c r="C115" s="3028" t="s">
        <v>3095</v>
      </c>
      <c r="D115" s="3028" t="s">
        <v>3096</v>
      </c>
      <c r="E115" s="582"/>
      <c r="F115" s="582"/>
      <c r="G115" s="582"/>
      <c r="H115" s="582"/>
      <c r="I115" s="582"/>
      <c r="J115" s="582"/>
      <c r="K115" s="583"/>
      <c r="L115" s="584"/>
      <c r="M115" s="585"/>
      <c r="N115" s="1152"/>
      <c r="O115" s="1152"/>
      <c r="P115" s="2682"/>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3"/>
      <c r="O116" s="1153"/>
      <c r="P116" s="2682"/>
      <c r="Q116" s="503"/>
    </row>
    <row r="117" spans="1:17" ht="15" thickTop="1">
      <c r="A117" s="598"/>
      <c r="B117" s="537" t="s">
        <v>2620</v>
      </c>
      <c r="C117" s="3028" t="s">
        <v>3097</v>
      </c>
      <c r="D117" s="3028" t="s">
        <v>3098</v>
      </c>
      <c r="E117" s="3028" t="s">
        <v>3099</v>
      </c>
      <c r="F117" s="3028" t="s">
        <v>3100</v>
      </c>
      <c r="G117" s="3028" t="s">
        <v>3101</v>
      </c>
      <c r="H117" s="582"/>
      <c r="I117" s="582"/>
      <c r="J117" s="582"/>
      <c r="K117" s="583"/>
      <c r="L117" s="584"/>
      <c r="M117" s="585"/>
      <c r="N117" s="1152"/>
      <c r="O117" s="1152"/>
      <c r="P117" s="2682"/>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2"/>
      <c r="Q118" s="503"/>
    </row>
    <row r="119" spans="1:17" ht="15" thickTop="1">
      <c r="A119" s="598"/>
      <c r="B119" s="635" t="s">
        <v>2703</v>
      </c>
      <c r="C119" s="3030" t="s">
        <v>3102</v>
      </c>
      <c r="D119" s="3030" t="s">
        <v>3103</v>
      </c>
      <c r="E119" s="582"/>
      <c r="F119" s="582"/>
      <c r="G119" s="582"/>
      <c r="H119" s="582"/>
      <c r="I119" s="582"/>
      <c r="J119" s="582"/>
      <c r="K119" s="582"/>
      <c r="L119" s="2687"/>
      <c r="M119" s="2688"/>
      <c r="N119" s="1153"/>
      <c r="O119" s="1153"/>
      <c r="P119" s="2689"/>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53"/>
      <c r="O120" s="1153"/>
      <c r="P120" s="2682"/>
      <c r="Q120" s="503"/>
    </row>
    <row r="121" spans="1:17" s="470" customFormat="1" ht="15" thickTop="1">
      <c r="A121" s="592"/>
      <c r="B121" s="537" t="s">
        <v>2686</v>
      </c>
      <c r="C121" s="553"/>
      <c r="D121" s="553"/>
      <c r="E121" s="553"/>
      <c r="F121" s="582"/>
      <c r="G121" s="554"/>
      <c r="H121" s="554"/>
      <c r="I121" s="554"/>
      <c r="J121" s="554"/>
      <c r="K121" s="554"/>
      <c r="L121" s="555"/>
      <c r="M121" s="556"/>
      <c r="N121" s="1154"/>
      <c r="O121" s="1154"/>
      <c r="P121" s="268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3"/>
      <c r="Q122" s="558"/>
    </row>
    <row r="123" spans="1:17" ht="15" thickTop="1">
      <c r="A123" s="598"/>
      <c r="B123" s="537" t="s">
        <v>2622</v>
      </c>
      <c r="C123" s="3028" t="s">
        <v>3088</v>
      </c>
      <c r="D123" s="3028" t="s">
        <v>3089</v>
      </c>
      <c r="E123" s="3028" t="s">
        <v>3090</v>
      </c>
      <c r="F123" s="3030" t="s">
        <v>3091</v>
      </c>
      <c r="G123" s="582"/>
      <c r="H123" s="582"/>
      <c r="I123" s="582"/>
      <c r="J123" s="582"/>
      <c r="K123" s="583"/>
      <c r="L123" s="584"/>
      <c r="M123" s="585"/>
      <c r="N123" s="1152"/>
      <c r="O123" s="1152"/>
      <c r="P123" s="2682"/>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3"/>
      <c r="O124" s="1153"/>
      <c r="P124" s="2682"/>
      <c r="Q124" s="503"/>
    </row>
    <row r="125" spans="1:17" ht="15" thickTop="1">
      <c r="A125" s="598"/>
      <c r="B125" s="537" t="s">
        <v>2623</v>
      </c>
      <c r="C125" s="577" t="s">
        <v>2599</v>
      </c>
      <c r="D125" s="577" t="s">
        <v>2600</v>
      </c>
      <c r="E125" s="577" t="s">
        <v>2601</v>
      </c>
      <c r="F125" s="577" t="s">
        <v>2602</v>
      </c>
      <c r="G125" s="577" t="s">
        <v>2603</v>
      </c>
      <c r="H125" s="538"/>
      <c r="I125" s="538"/>
      <c r="J125" s="538"/>
      <c r="K125" s="539"/>
      <c r="L125" s="540"/>
      <c r="M125" s="541"/>
      <c r="N125" s="1152"/>
      <c r="O125" s="1152"/>
      <c r="P125" s="2683"/>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3"/>
      <c r="O126" s="1153"/>
      <c r="P126" s="2682"/>
      <c r="Q126" s="503"/>
    </row>
    <row r="127" spans="1:17" s="470" customFormat="1" ht="15" thickTop="1">
      <c r="A127" s="592"/>
      <c r="B127" s="537" t="str">
        <f>B45</f>
        <v>智能环保系统</v>
      </c>
      <c r="C127" s="3028" t="s">
        <v>3104</v>
      </c>
      <c r="D127" s="3028" t="s">
        <v>3105</v>
      </c>
      <c r="E127" s="553"/>
      <c r="F127" s="553"/>
      <c r="G127" s="553"/>
      <c r="H127" s="554"/>
      <c r="I127" s="554"/>
      <c r="J127" s="554"/>
      <c r="K127" s="554"/>
      <c r="L127" s="555"/>
      <c r="M127" s="556"/>
      <c r="N127" s="1154"/>
      <c r="O127" s="1154"/>
      <c r="P127" s="2683"/>
      <c r="Q127" s="558"/>
    </row>
    <row r="128" spans="1:17" s="470" customFormat="1" ht="15.75" thickBot="1">
      <c r="A128" s="552"/>
      <c r="B128" s="542"/>
      <c r="C128" s="3029">
        <v>100</v>
      </c>
      <c r="D128" s="3027">
        <v>97</v>
      </c>
      <c r="E128" s="535"/>
      <c r="F128" s="535"/>
      <c r="G128" s="559"/>
      <c r="H128" s="561"/>
      <c r="I128" s="561"/>
      <c r="J128" s="561"/>
      <c r="K128" s="561"/>
      <c r="L128" s="561"/>
      <c r="M128" s="562"/>
      <c r="N128" s="1154"/>
      <c r="O128" s="1154"/>
      <c r="P128" s="2683"/>
      <c r="Q128" s="558"/>
    </row>
    <row r="129" spans="1:17" ht="15" thickTop="1">
      <c r="A129" s="598"/>
      <c r="B129" s="537" t="str">
        <f>B46</f>
        <v>建筑品质</v>
      </c>
      <c r="C129" s="3015" t="s">
        <v>3119</v>
      </c>
      <c r="D129" s="3015" t="s">
        <v>3120</v>
      </c>
      <c r="E129" s="553"/>
      <c r="F129" s="553"/>
      <c r="G129" s="582"/>
      <c r="H129" s="582"/>
      <c r="I129" s="582"/>
      <c r="J129" s="582"/>
      <c r="K129" s="583"/>
      <c r="L129" s="584"/>
      <c r="M129" s="585"/>
      <c r="N129" s="1152"/>
      <c r="O129" s="1152"/>
      <c r="P129" s="2682"/>
      <c r="Q129" s="503"/>
    </row>
    <row r="130" spans="1:17" ht="15.75" thickBot="1">
      <c r="A130" s="533"/>
      <c r="B130" s="542"/>
      <c r="C130" s="559">
        <v>100</v>
      </c>
      <c r="D130" s="559">
        <v>98</v>
      </c>
      <c r="E130" s="559"/>
      <c r="F130" s="559"/>
      <c r="G130" s="535"/>
      <c r="H130" s="535"/>
      <c r="I130" s="535"/>
      <c r="J130" s="535"/>
      <c r="K130" s="535"/>
      <c r="L130" s="535"/>
      <c r="M130" s="536"/>
      <c r="N130" s="1153"/>
      <c r="O130" s="1153"/>
      <c r="P130" s="2682"/>
      <c r="Q130" s="503"/>
    </row>
    <row r="131" spans="1:17" ht="15" thickTop="1">
      <c r="A131" s="598"/>
      <c r="B131" s="545">
        <f>B47</f>
        <v>111</v>
      </c>
      <c r="C131" s="522"/>
      <c r="D131" s="522"/>
      <c r="E131" s="522"/>
      <c r="F131" s="522"/>
      <c r="G131" s="586"/>
      <c r="H131" s="586"/>
      <c r="I131" s="586"/>
      <c r="J131" s="586"/>
      <c r="K131" s="522"/>
      <c r="L131" s="523"/>
      <c r="M131" s="589"/>
      <c r="N131" s="1152"/>
      <c r="O131" s="1152"/>
      <c r="P131" s="2682"/>
      <c r="Q131" s="503"/>
    </row>
    <row r="132" spans="1:17" ht="15.75" thickBot="1">
      <c r="A132" s="2634"/>
      <c r="B132" s="568"/>
      <c r="C132" s="569"/>
      <c r="D132" s="569"/>
      <c r="E132" s="569"/>
      <c r="F132" s="569"/>
      <c r="G132" s="590"/>
      <c r="H132" s="590"/>
      <c r="I132" s="590"/>
      <c r="J132" s="590"/>
      <c r="K132" s="590"/>
      <c r="L132" s="590"/>
      <c r="M132" s="591"/>
      <c r="N132" s="1153"/>
      <c r="O132" s="1153"/>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72" priority="16" stopIfTrue="1" operator="containsText" text="超过">
      <formula>NOT(ISERROR(SEARCH("超过",F53)))</formula>
    </cfRule>
  </conditionalFormatting>
  <conditionalFormatting sqref="H55">
    <cfRule type="containsText" dxfId="171" priority="15" stopIfTrue="1" operator="containsText" text="超过">
      <formula>NOT(ISERROR(SEARCH("超过",H55)))</formula>
    </cfRule>
  </conditionalFormatting>
  <conditionalFormatting sqref="F55">
    <cfRule type="containsText" dxfId="170" priority="14" stopIfTrue="1" operator="containsText" text="超过">
      <formula>NOT(ISERROR(SEARCH("超过",F55)))</formula>
    </cfRule>
  </conditionalFormatting>
  <conditionalFormatting sqref="F54 H54">
    <cfRule type="containsText" dxfId="169" priority="13" stopIfTrue="1" operator="containsText" text="超过">
      <formula>NOT(ISERROR(SEARCH("超过",F54)))</formula>
    </cfRule>
  </conditionalFormatting>
  <conditionalFormatting sqref="E53">
    <cfRule type="expression" dxfId="168" priority="12" stopIfTrue="1">
      <formula>$F$53="超过30%"</formula>
    </cfRule>
  </conditionalFormatting>
  <conditionalFormatting sqref="E54">
    <cfRule type="expression" dxfId="167" priority="11" stopIfTrue="1">
      <formula>$F$54="超过20%"</formula>
    </cfRule>
  </conditionalFormatting>
  <conditionalFormatting sqref="E55">
    <cfRule type="expression" dxfId="166" priority="10" stopIfTrue="1">
      <formula>$F$55="超过30%"</formula>
    </cfRule>
  </conditionalFormatting>
  <conditionalFormatting sqref="G55">
    <cfRule type="expression" dxfId="165" priority="9" stopIfTrue="1">
      <formula>$H$55="超过30%"</formula>
    </cfRule>
  </conditionalFormatting>
  <conditionalFormatting sqref="G53">
    <cfRule type="expression" dxfId="164" priority="8" stopIfTrue="1">
      <formula>$H$53="超过30%"</formula>
    </cfRule>
  </conditionalFormatting>
  <conditionalFormatting sqref="G54">
    <cfRule type="expression" dxfId="163" priority="7" stopIfTrue="1">
      <formula>$H$54="超过20%"</formula>
    </cfRule>
  </conditionalFormatting>
  <conditionalFormatting sqref="J53">
    <cfRule type="containsText" dxfId="162" priority="6" stopIfTrue="1" operator="containsText" text="超过">
      <formula>NOT(ISERROR(SEARCH("超过",J53)))</formula>
    </cfRule>
  </conditionalFormatting>
  <conditionalFormatting sqref="J55">
    <cfRule type="containsText" dxfId="161" priority="5" stopIfTrue="1" operator="containsText" text="超过">
      <formula>NOT(ISERROR(SEARCH("超过",J55)))</formula>
    </cfRule>
  </conditionalFormatting>
  <conditionalFormatting sqref="J54">
    <cfRule type="containsText" dxfId="160" priority="4" stopIfTrue="1" operator="containsText" text="超过">
      <formula>NOT(ISERROR(SEARCH("超过",J54)))</formula>
    </cfRule>
  </conditionalFormatting>
  <conditionalFormatting sqref="I53">
    <cfRule type="expression" dxfId="159" priority="3" stopIfTrue="1">
      <formula>$J$53="超过30%"</formula>
    </cfRule>
  </conditionalFormatting>
  <conditionalFormatting sqref="I54">
    <cfRule type="expression" dxfId="158" priority="2" stopIfTrue="1">
      <formula>$J$53+$J$54="超过20%"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E18"/>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1" t="s">
        <v>2118</v>
      </c>
      <c r="B1" s="2414"/>
      <c r="C1" s="2415"/>
      <c r="D1" s="2414"/>
      <c r="E1" s="2414"/>
      <c r="F1" s="2416" t="s">
        <v>2119</v>
      </c>
      <c r="G1" s="2067" t="s">
        <v>3202</v>
      </c>
      <c r="H1" s="2417" t="str">
        <f>IF(G1="现房","——","估价对象范围")</f>
        <v>——</v>
      </c>
      <c r="I1" s="2418"/>
    </row>
    <row r="2" spans="1:12" ht="21.75" customHeight="1" thickBot="1">
      <c r="A2" s="3373" t="str">
        <f>项目基本情况!S2</f>
        <v>北京市经济技术开发区荣华南路1号院1号楼房地产</v>
      </c>
      <c r="B2" s="3374"/>
      <c r="C2" s="3374"/>
      <c r="D2" s="3374"/>
      <c r="E2" s="3374"/>
      <c r="F2" s="3374"/>
      <c r="G2" s="3374"/>
      <c r="H2" s="3374"/>
      <c r="I2" s="3375"/>
    </row>
    <row r="3" spans="1:12" ht="12.75">
      <c r="A3" s="3377" t="s">
        <v>2121</v>
      </c>
      <c r="B3" s="3378"/>
      <c r="C3" s="3378"/>
      <c r="D3" s="3378"/>
      <c r="E3" s="3378"/>
      <c r="F3" s="3378"/>
      <c r="G3" s="3378"/>
      <c r="H3" s="3378"/>
      <c r="I3" s="3378"/>
    </row>
    <row r="4" spans="1:12" ht="14.25">
      <c r="A4" s="2421" t="s">
        <v>2122</v>
      </c>
      <c r="B4" s="2422" t="s">
        <v>2123</v>
      </c>
      <c r="C4" s="2423" t="s">
        <v>3131</v>
      </c>
      <c r="D4" s="2423" t="s">
        <v>3126</v>
      </c>
      <c r="E4" s="3370" t="s">
        <v>2124</v>
      </c>
      <c r="F4" s="3371"/>
      <c r="G4" s="3371"/>
      <c r="H4" s="3371"/>
      <c r="I4" s="3379"/>
      <c r="K4" s="2424" t="str">
        <f>IF(ISNUMBER(FIND("比较法",'结果表-办公'!C4)),"比较法",IF(ISNUMBER(FIND("成本法",'结果表-办公'!C4)),"成本法",IF(ISNUMBER(FIND("假设开发法",'结果表-办公'!C4)),"假设开发法",IF(ISNUMBER(FIND("收益法",'结果表-办公'!C4)),"收益法","基准地价系数修正法"))))</f>
        <v>比较法</v>
      </c>
      <c r="L4" s="242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53" t="s">
        <v>2125</v>
      </c>
      <c r="B5" s="3280">
        <v>25</v>
      </c>
      <c r="C5" s="3356"/>
      <c r="D5" s="3376"/>
      <c r="E5" s="139" t="s">
        <v>2126</v>
      </c>
      <c r="F5" s="2425"/>
      <c r="G5" s="2425"/>
      <c r="H5" s="2425"/>
      <c r="I5" s="1830"/>
    </row>
    <row r="6" spans="1:12" ht="12.75">
      <c r="A6" s="3353"/>
      <c r="B6" s="3280"/>
      <c r="C6" s="3357"/>
      <c r="D6" s="3376"/>
      <c r="E6" s="139" t="s">
        <v>2127</v>
      </c>
      <c r="F6" s="2425"/>
      <c r="G6" s="2425"/>
      <c r="H6" s="2425"/>
      <c r="I6" s="1830"/>
    </row>
    <row r="7" spans="1:12" ht="12.75">
      <c r="A7" s="3353"/>
      <c r="B7" s="3280"/>
      <c r="C7" s="3358"/>
      <c r="D7" s="3376"/>
      <c r="E7" s="139" t="s">
        <v>2128</v>
      </c>
      <c r="F7" s="2425"/>
      <c r="G7" s="2425"/>
      <c r="H7" s="2425"/>
      <c r="I7" s="1830"/>
    </row>
    <row r="8" spans="1:12" ht="12.75">
      <c r="A8" s="3353" t="s">
        <v>2129</v>
      </c>
      <c r="B8" s="3280">
        <v>15</v>
      </c>
      <c r="C8" s="3356"/>
      <c r="D8" s="3376"/>
      <c r="E8" s="139" t="s">
        <v>2130</v>
      </c>
      <c r="F8" s="2425"/>
      <c r="G8" s="2425"/>
      <c r="H8" s="2425"/>
      <c r="I8" s="1830"/>
    </row>
    <row r="9" spans="1:12" ht="12.75">
      <c r="A9" s="3353"/>
      <c r="B9" s="3280"/>
      <c r="C9" s="3358"/>
      <c r="D9" s="3376"/>
      <c r="E9" s="139" t="s">
        <v>2131</v>
      </c>
      <c r="F9" s="2425"/>
      <c r="G9" s="2425"/>
      <c r="H9" s="2425"/>
      <c r="I9" s="1830"/>
    </row>
    <row r="10" spans="1:12" ht="12.75">
      <c r="A10" s="3353" t="s">
        <v>2132</v>
      </c>
      <c r="B10" s="3280">
        <v>15</v>
      </c>
      <c r="C10" s="3356"/>
      <c r="D10" s="3376"/>
      <c r="E10" s="139" t="s">
        <v>2133</v>
      </c>
      <c r="F10" s="2425"/>
      <c r="G10" s="2425"/>
      <c r="H10" s="2425"/>
      <c r="I10" s="1830"/>
    </row>
    <row r="11" spans="1:12" ht="12.75">
      <c r="A11" s="3353"/>
      <c r="B11" s="3280"/>
      <c r="C11" s="3358"/>
      <c r="D11" s="3376"/>
      <c r="E11" s="139" t="s">
        <v>2134</v>
      </c>
      <c r="F11" s="2425"/>
      <c r="G11" s="2425"/>
      <c r="H11" s="2425"/>
      <c r="I11" s="1830"/>
    </row>
    <row r="12" spans="1:12" ht="12.75">
      <c r="A12" s="3353" t="s">
        <v>2135</v>
      </c>
      <c r="B12" s="3280">
        <v>15</v>
      </c>
      <c r="C12" s="3356"/>
      <c r="D12" s="3376"/>
      <c r="E12" s="139" t="s">
        <v>2136</v>
      </c>
      <c r="F12" s="2425"/>
      <c r="G12" s="2425"/>
      <c r="H12" s="2425"/>
      <c r="I12" s="1830"/>
    </row>
    <row r="13" spans="1:12" ht="12.75">
      <c r="A13" s="3353"/>
      <c r="B13" s="3280"/>
      <c r="C13" s="3358"/>
      <c r="D13" s="3376"/>
      <c r="E13" s="139" t="s">
        <v>2137</v>
      </c>
      <c r="F13" s="2425"/>
      <c r="G13" s="2425"/>
      <c r="H13" s="2425"/>
      <c r="I13" s="1830"/>
    </row>
    <row r="14" spans="1:12" ht="12.75">
      <c r="A14" s="3353" t="s">
        <v>2138</v>
      </c>
      <c r="B14" s="3280">
        <v>30</v>
      </c>
      <c r="C14" s="3356">
        <v>5</v>
      </c>
      <c r="D14" s="3376">
        <v>5</v>
      </c>
      <c r="E14" s="139" t="s">
        <v>2139</v>
      </c>
      <c r="F14" s="2425"/>
      <c r="G14" s="2425"/>
      <c r="H14" s="2425"/>
      <c r="I14" s="1830"/>
    </row>
    <row r="15" spans="1:12" ht="12.75">
      <c r="A15" s="3353"/>
      <c r="B15" s="3280"/>
      <c r="C15" s="3357"/>
      <c r="D15" s="3376"/>
      <c r="E15" s="139" t="s">
        <v>2140</v>
      </c>
      <c r="F15" s="2425"/>
      <c r="G15" s="2425"/>
      <c r="H15" s="2425"/>
      <c r="I15" s="1830"/>
    </row>
    <row r="16" spans="1:12" ht="12.75">
      <c r="A16" s="3353"/>
      <c r="B16" s="3280"/>
      <c r="C16" s="3358"/>
      <c r="D16" s="3376"/>
      <c r="E16" s="139" t="s">
        <v>2141</v>
      </c>
      <c r="F16" s="2425"/>
      <c r="G16" s="2425"/>
      <c r="H16" s="2425"/>
      <c r="I16" s="1830"/>
    </row>
    <row r="17" spans="1:35" ht="15">
      <c r="A17" s="2426" t="s">
        <v>2142</v>
      </c>
      <c r="B17" s="63"/>
      <c r="C17" s="140">
        <f>SUM(C5:C16)</f>
        <v>5</v>
      </c>
      <c r="D17" s="140">
        <f>SUM(D5:D16)</f>
        <v>5</v>
      </c>
      <c r="E17" s="137"/>
      <c r="F17" s="137"/>
      <c r="G17" s="137"/>
      <c r="H17" s="137"/>
      <c r="I17" s="137"/>
      <c r="K17" s="2424"/>
      <c r="L17" s="2427" t="s">
        <v>2143</v>
      </c>
      <c r="M17" s="2427" t="s">
        <v>2144</v>
      </c>
    </row>
    <row r="18" spans="1:35" ht="15.75" thickBot="1">
      <c r="A18" s="2428" t="s">
        <v>2145</v>
      </c>
      <c r="B18" s="2429"/>
      <c r="C18" s="141">
        <f>ROUND(C17/SUM(C17:D17),2)</f>
        <v>0.5</v>
      </c>
      <c r="D18" s="141">
        <f>1-C18</f>
        <v>0.5</v>
      </c>
      <c r="E18" s="137"/>
      <c r="F18" s="137"/>
      <c r="G18" s="137"/>
      <c r="H18" s="137"/>
      <c r="I18" s="137"/>
      <c r="K18" s="2424" t="s">
        <v>2146</v>
      </c>
      <c r="L18" s="2424">
        <f>IF(C1="",'数据-汇总表'!E3,SUMIF(项目类型,C1,'数据-汇总表'!E17:E26)+SUMIF(项目类型,C1,'数据-汇总表'!I17:I26))</f>
        <v>16929.979999999996</v>
      </c>
      <c r="M18" s="2424">
        <f>IF(C1="",'数据-汇总表'!E3,SUMIF(项目类型,C1,'数据-汇总表'!E17:E26))</f>
        <v>16929.979999999996</v>
      </c>
    </row>
    <row r="19" spans="1:35" ht="15">
      <c r="A19" s="2430" t="s">
        <v>2147</v>
      </c>
      <c r="B19" s="2431" t="s">
        <v>2148</v>
      </c>
      <c r="C19" s="142">
        <f ca="1">SUMIF(INDIRECT("'"&amp;C4&amp;"'"&amp;"!A:A"),'结果表-办公'!B19,INDIRECT("'"&amp;C4&amp;"'"&amp;"!B:B"))</f>
        <v>11135</v>
      </c>
      <c r="D19" s="143" t="e">
        <f ca="1">SUMIF(INDIRECT("'"&amp;D4&amp;"'"&amp;"!A:A"),'结果表-办公'!B19,INDIRECT("'"&amp;D4&amp;"'"&amp;"!B:B"))</f>
        <v>#REF!</v>
      </c>
      <c r="E19" s="2430" t="s">
        <v>2149</v>
      </c>
      <c r="F19" s="2431" t="s">
        <v>2148</v>
      </c>
      <c r="G19" s="144" t="e">
        <f ca="1">ROUND(C19*$C$18+D19*$D$18,0)</f>
        <v>#REF!</v>
      </c>
      <c r="H19" s="2432" t="s">
        <v>2150</v>
      </c>
      <c r="I19" s="137"/>
      <c r="K19" s="2424" t="s">
        <v>2151</v>
      </c>
      <c r="L19" s="2424">
        <f>IF(C1="",'数据-汇总表'!D3,SUMIF(项目类型,C1,'数据-汇总表'!D17:D26)+SUMIF(项目类型,C1,'数据-汇总表'!H17:H27))</f>
        <v>0</v>
      </c>
      <c r="M19" s="2424">
        <f>IF(C1="",'数据-汇总表'!D3,SUMIF(项目类型,C1,'数据-汇总表'!D17:D26))</f>
        <v>0</v>
      </c>
    </row>
    <row r="20" spans="1:35" ht="15">
      <c r="A20" s="2433"/>
      <c r="B20" s="1246" t="s">
        <v>2152</v>
      </c>
      <c r="C20" s="145">
        <f ca="1">SUMIF(INDIRECT("'"&amp;C4&amp;"'"&amp;"!A:A"),'结果表-办公'!B20,INDIRECT("'"&amp;C4&amp;"'"&amp;"!B:B"))</f>
        <v>41561</v>
      </c>
      <c r="D20" s="146" t="e">
        <f ca="1">SUMIF(INDIRECT("'"&amp;D4&amp;"'"&amp;"!A:A"),'结果表-办公'!B20,INDIRECT("'"&amp;D4&amp;"'"&amp;"!B:B"))</f>
        <v>#REF!</v>
      </c>
      <c r="E20" s="2433"/>
      <c r="F20" s="1246" t="s">
        <v>2152</v>
      </c>
      <c r="G20" s="147" t="e">
        <f ca="1">ROUND(C20*$C$18+D20*$D$18,0)</f>
        <v>#REF!</v>
      </c>
      <c r="H20" s="980" t="s">
        <v>2153</v>
      </c>
      <c r="I20" s="137"/>
    </row>
    <row r="21" spans="1:35" ht="15" customHeight="1" thickBot="1">
      <c r="A21" s="1000"/>
      <c r="B21" s="2434" t="s">
        <v>2154</v>
      </c>
      <c r="C21" s="786" t="e">
        <f ca="1">ROUND(C19*10000/L19,0)</f>
        <v>#DIV/0!</v>
      </c>
      <c r="D21" s="787" t="e">
        <f ca="1">ROUND(D19*10000/L19,0)</f>
        <v>#REF!</v>
      </c>
      <c r="E21" s="1000"/>
      <c r="F21" s="2434" t="s">
        <v>2154</v>
      </c>
      <c r="G21" s="148" t="e">
        <f ca="1">ROUND(G19*10000/L19,0)</f>
        <v>#REF!</v>
      </c>
      <c r="H21" s="2435" t="s">
        <v>2153</v>
      </c>
      <c r="I21" s="137"/>
    </row>
    <row r="22" spans="1:35" ht="15" thickBot="1">
      <c r="A22" s="2276" t="s">
        <v>2155</v>
      </c>
      <c r="B22" s="2436"/>
      <c r="C22" s="2437"/>
      <c r="D22" s="788" t="e">
        <f ca="1">IF(C19&lt;D19,D19/C19-1,C19/D19-1)</f>
        <v>#REF!</v>
      </c>
      <c r="E22" s="137"/>
      <c r="F22" s="137"/>
      <c r="G22" s="137"/>
      <c r="H22" s="137"/>
      <c r="I22" s="137"/>
    </row>
    <row r="23" spans="1:35" ht="13.5" thickBot="1">
      <c r="A23" s="2414"/>
      <c r="B23" s="2414"/>
      <c r="C23" s="2414"/>
      <c r="D23" s="2414"/>
      <c r="E23" s="137"/>
      <c r="F23" s="137"/>
      <c r="G23" s="137"/>
      <c r="H23" s="137"/>
      <c r="I23" s="137"/>
    </row>
    <row r="24" spans="1:35" ht="14.25">
      <c r="A24" s="3347" t="s">
        <v>2156</v>
      </c>
      <c r="B24" s="2431" t="s">
        <v>2148</v>
      </c>
      <c r="C24" s="144">
        <f>IF(B30=0,0,D30)</f>
        <v>0</v>
      </c>
      <c r="D24" s="2438"/>
      <c r="E24" s="137"/>
      <c r="F24" s="137"/>
      <c r="G24" s="137"/>
      <c r="H24" s="137"/>
      <c r="I24" s="137"/>
    </row>
    <row r="25" spans="1:35" ht="14.25">
      <c r="A25" s="3348"/>
      <c r="B25" s="1246" t="s">
        <v>2152</v>
      </c>
      <c r="C25" s="149">
        <f>IF(B30=0,0,C30)</f>
        <v>0</v>
      </c>
      <c r="D25" s="2439"/>
      <c r="E25" s="137"/>
      <c r="F25" s="137"/>
      <c r="G25" s="137"/>
      <c r="H25" s="137"/>
      <c r="I25" s="137"/>
    </row>
    <row r="26" spans="1:35" ht="13.5" customHeight="1">
      <c r="A26" s="2440" t="s">
        <v>2157</v>
      </c>
      <c r="B26" s="150" t="s">
        <v>2158</v>
      </c>
      <c r="C26" s="150" t="s">
        <v>2159</v>
      </c>
      <c r="D26" s="151" t="s">
        <v>2160</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2161</v>
      </c>
      <c r="B30" s="150"/>
      <c r="C30" s="150"/>
      <c r="D30" s="150"/>
      <c r="E30" s="2921" t="s">
        <v>3035</v>
      </c>
      <c r="F30" s="137"/>
      <c r="G30" s="137"/>
      <c r="H30" s="137"/>
      <c r="I30" s="137"/>
    </row>
    <row r="31" spans="1:35" s="2442" customFormat="1" ht="15" thickBot="1">
      <c r="A31" s="2441"/>
      <c r="B31" s="2441"/>
      <c r="C31" s="2441"/>
      <c r="D31" s="2441"/>
      <c r="E31" s="137"/>
      <c r="F31" s="137"/>
      <c r="G31" s="137"/>
      <c r="H31" s="137"/>
      <c r="I31" s="137"/>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2162</v>
      </c>
      <c r="B32" s="2444"/>
      <c r="C32" s="152" t="e">
        <f ca="1">IF(D32="总价",G19-C24,G20-C25)</f>
        <v>#REF!</v>
      </c>
      <c r="D32" s="2445" t="s">
        <v>2163</v>
      </c>
      <c r="E32" s="137"/>
      <c r="F32" s="137"/>
      <c r="G32" s="137"/>
      <c r="H32" s="137"/>
      <c r="I32" s="137"/>
    </row>
    <row r="33" spans="1:15" ht="15">
      <c r="A33" s="957" t="s">
        <v>2164</v>
      </c>
      <c r="B33" s="2446"/>
      <c r="C33" s="2447"/>
      <c r="D33" s="2448"/>
      <c r="E33" s="2449" t="s">
        <v>2165</v>
      </c>
      <c r="F33" s="2949" t="str">
        <f>IF(D32="楼面单价","取值（单价）","取值（总价）")</f>
        <v>取值（总价）</v>
      </c>
      <c r="G33" s="137"/>
      <c r="H33" s="137"/>
      <c r="I33" s="137"/>
    </row>
    <row r="34" spans="1:15" ht="15">
      <c r="A34" s="2451"/>
      <c r="B34" s="2452" t="s">
        <v>2166</v>
      </c>
      <c r="C34" s="156" t="e">
        <f ca="1">IF(C33="自定义",F34,C32-C35)</f>
        <v>#REF!</v>
      </c>
      <c r="D34" s="1055" t="e">
        <f ca="1">IF(C33="自定义",ROUND(C34/C32,3),IF(C33="收益比率",SUMIF(INDIRECT("'"&amp;D33&amp;"'"&amp;"!b:b"),"土地收益比率",INDIRECT("'"&amp;D33&amp;"'"&amp;"!c:c")),SUMIF(INDIRECT("'"&amp;D33&amp;"'"&amp;"!b:b"),"土地成本比率",INDIRECT("'"&amp;D33&amp;"'"&amp;"!c:c"))))</f>
        <v>#REF!</v>
      </c>
      <c r="E34" s="2453" t="s">
        <v>2167</v>
      </c>
      <c r="F34" s="1735"/>
      <c r="G34" s="137"/>
      <c r="H34" s="137"/>
      <c r="I34" s="137"/>
    </row>
    <row r="35" spans="1:15" ht="15.75" thickBot="1">
      <c r="A35" s="2454"/>
      <c r="B35" s="2455"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2169</v>
      </c>
      <c r="F35" s="162"/>
      <c r="G35" s="137"/>
      <c r="H35" s="137"/>
      <c r="I35" s="137"/>
    </row>
    <row r="36" spans="1:15" ht="15.75" thickBot="1">
      <c r="A36" s="3365" t="s">
        <v>2170</v>
      </c>
      <c r="B36" s="2457" t="s">
        <v>2171</v>
      </c>
      <c r="C36" s="153"/>
      <c r="D36" s="2458"/>
      <c r="E36" s="2459"/>
      <c r="F36" s="2460"/>
      <c r="G36" s="137"/>
      <c r="H36" s="137"/>
      <c r="I36" s="137"/>
    </row>
    <row r="37" spans="1:15" ht="15.75" thickBot="1">
      <c r="A37" s="3366"/>
      <c r="B37" s="2262" t="s">
        <v>2172</v>
      </c>
      <c r="C37" s="155"/>
      <c r="D37" s="1391"/>
      <c r="E37" s="1391"/>
      <c r="F37" s="2460"/>
      <c r="G37" s="137"/>
      <c r="H37" s="137"/>
      <c r="I37" s="137"/>
    </row>
    <row r="38" spans="1:15" ht="15.75" thickBot="1">
      <c r="A38" s="3367"/>
      <c r="B38" s="2461" t="s">
        <v>2173</v>
      </c>
      <c r="C38" s="724"/>
      <c r="D38" s="2462" t="s">
        <v>2174</v>
      </c>
      <c r="E38" s="1391"/>
      <c r="F38" s="2460"/>
      <c r="G38" s="137"/>
      <c r="H38" s="137"/>
      <c r="I38" s="137"/>
    </row>
    <row r="39" spans="1:15" ht="15">
      <c r="A39" s="2433" t="s">
        <v>2175</v>
      </c>
      <c r="B39" s="2463" t="s">
        <v>2158</v>
      </c>
      <c r="C39" s="2464" t="s">
        <v>2159</v>
      </c>
      <c r="D39" s="2464" t="s">
        <v>2178</v>
      </c>
      <c r="E39" s="2465" t="s">
        <v>2160</v>
      </c>
      <c r="F39" s="2460"/>
      <c r="G39" s="137"/>
      <c r="H39" s="137"/>
      <c r="I39" s="137"/>
    </row>
    <row r="40" spans="1:15" ht="14.25">
      <c r="A40" s="2466" t="s">
        <v>2180</v>
      </c>
      <c r="B40" s="157"/>
      <c r="C40" s="158"/>
      <c r="D40" s="158"/>
      <c r="E40" s="159"/>
      <c r="F40" s="2460"/>
      <c r="G40" s="137"/>
      <c r="H40" s="137"/>
      <c r="I40" s="137"/>
    </row>
    <row r="41" spans="1:15" ht="14.25">
      <c r="A41" s="2466" t="s">
        <v>2181</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2182</v>
      </c>
      <c r="B44" s="2471"/>
      <c r="C44" s="2471"/>
      <c r="D44" s="2472"/>
      <c r="E44" s="2472"/>
      <c r="F44" s="2473"/>
      <c r="G44" s="2473"/>
      <c r="H44" s="2473"/>
      <c r="I44" s="2473"/>
      <c r="J44" s="2474" t="s">
        <v>2183</v>
      </c>
      <c r="K44" s="2475"/>
      <c r="L44" s="2475"/>
      <c r="M44" s="2475"/>
      <c r="N44" s="2475"/>
      <c r="O44" s="2475"/>
    </row>
    <row r="45" spans="1:15" ht="14.25" customHeight="1" thickBot="1">
      <c r="A45" s="3344" t="s">
        <v>2184</v>
      </c>
      <c r="B45" s="3345"/>
      <c r="C45" s="3346"/>
      <c r="D45" s="163" t="e">
        <f ca="1">ROUND(H101*F45,0)</f>
        <v>#REF!</v>
      </c>
      <c r="E45" s="164" t="s">
        <v>2185</v>
      </c>
      <c r="F45" s="165">
        <v>1</v>
      </c>
      <c r="G45" s="166" t="s">
        <v>2186</v>
      </c>
      <c r="H45" s="137"/>
      <c r="I45" s="137"/>
      <c r="J45" s="3404" t="s">
        <v>2187</v>
      </c>
      <c r="K45" s="3404"/>
      <c r="L45" s="3404"/>
      <c r="M45" s="3404"/>
      <c r="N45" s="3404"/>
      <c r="O45" s="3404"/>
    </row>
    <row r="46" spans="1:15" ht="14.25" customHeight="1">
      <c r="A46" s="3341" t="s">
        <v>2188</v>
      </c>
      <c r="B46" s="3342"/>
      <c r="C46" s="3342"/>
      <c r="D46" s="3342"/>
      <c r="E46" s="3342"/>
      <c r="F46" s="3342"/>
      <c r="G46" s="3343"/>
      <c r="H46" s="2476"/>
      <c r="I46" s="167"/>
      <c r="J46" s="2955">
        <v>1</v>
      </c>
      <c r="K46" s="3404" t="s">
        <v>2189</v>
      </c>
      <c r="L46" s="3404"/>
      <c r="M46" s="3424"/>
      <c r="N46" s="3424"/>
      <c r="O46" s="3424"/>
    </row>
    <row r="47" spans="1:15" ht="12" customHeight="1">
      <c r="A47" s="168" t="s">
        <v>2190</v>
      </c>
      <c r="B47" s="169"/>
      <c r="C47" s="170"/>
      <c r="D47" s="171" t="s">
        <v>2191</v>
      </c>
      <c r="E47" s="23" t="s">
        <v>2192</v>
      </c>
      <c r="F47" s="172" t="s">
        <v>2193</v>
      </c>
      <c r="G47" s="173" t="s">
        <v>2194</v>
      </c>
      <c r="H47" s="2476"/>
      <c r="I47" s="167"/>
      <c r="J47" s="2955">
        <v>2</v>
      </c>
      <c r="K47" s="3404" t="s">
        <v>2195</v>
      </c>
      <c r="L47" s="3404"/>
      <c r="M47" s="3425">
        <f>'数据-取费表'!B2</f>
        <v>43553</v>
      </c>
      <c r="N47" s="3425"/>
      <c r="O47" s="3425"/>
    </row>
    <row r="48" spans="1:15" ht="25.5">
      <c r="A48" s="3372" t="s">
        <v>2196</v>
      </c>
      <c r="B48" s="3355"/>
      <c r="C48" s="3355"/>
      <c r="D48" s="139">
        <f>IF(H48="情况1",0,IF(H48="情况2",D52,IF(H48="情况3",D53,IF(H48="情况4",D54))))</f>
        <v>0</v>
      </c>
      <c r="E48" s="2965" t="str">
        <f>IF(H48="情况4","(销售额-原购置价)×税（费）率","销售额×税（费）率")</f>
        <v>销售额×税（费）率</v>
      </c>
      <c r="F48" s="174" t="str">
        <f>IF(H48="情况1","免征",'数据-取费表'!B41)</f>
        <v>免征</v>
      </c>
      <c r="G48" s="2477" t="s">
        <v>2197</v>
      </c>
      <c r="H48" s="2478" t="s">
        <v>2198</v>
      </c>
      <c r="I48" s="2476"/>
      <c r="J48" s="2955">
        <v>3</v>
      </c>
      <c r="K48" s="3404" t="s">
        <v>2199</v>
      </c>
      <c r="L48" s="3404"/>
      <c r="M48" s="3426" t="e">
        <f ca="1">H101</f>
        <v>#REF!</v>
      </c>
      <c r="N48" s="3426"/>
      <c r="O48" s="3426"/>
    </row>
    <row r="49" spans="1:35" ht="25.5" customHeight="1">
      <c r="A49" s="175" t="s">
        <v>2200</v>
      </c>
      <c r="B49" s="3340" t="s">
        <v>2201</v>
      </c>
      <c r="C49" s="3340"/>
      <c r="D49" s="176">
        <v>0</v>
      </c>
      <c r="E49" s="22" t="s">
        <v>2202</v>
      </c>
      <c r="F49" s="27" t="s">
        <v>34</v>
      </c>
      <c r="G49" s="3410"/>
      <c r="H49" s="137"/>
      <c r="I49" s="2479"/>
      <c r="J49" s="2955">
        <v>4</v>
      </c>
      <c r="K49" s="3404" t="str">
        <f>IF(项目基本情况!E8="房地产抵押价值","房地产抵押价值","抵押担保权已注销时的房地产抵押价值")</f>
        <v>抵押担保权已注销时的房地产抵押价值</v>
      </c>
      <c r="L49" s="3404"/>
      <c r="M49" s="3426" t="e">
        <f ca="1">IF(项目基本情况!E8="房地产抵押价值",H107,H109)</f>
        <v>#REF!</v>
      </c>
      <c r="N49" s="3426"/>
      <c r="O49" s="3426"/>
    </row>
    <row r="50" spans="1:35" ht="25.5" customHeight="1">
      <c r="A50" s="177"/>
      <c r="B50" s="3340" t="s">
        <v>2203</v>
      </c>
      <c r="C50" s="3340"/>
      <c r="D50" s="178"/>
      <c r="E50" s="30"/>
      <c r="F50" s="179"/>
      <c r="G50" s="3411"/>
      <c r="H50" s="137"/>
      <c r="I50" s="2479"/>
      <c r="J50" s="3404" t="s">
        <v>2204</v>
      </c>
      <c r="K50" s="3404"/>
      <c r="L50" s="3404"/>
      <c r="M50" s="3404"/>
      <c r="N50" s="3404"/>
      <c r="O50" s="3404"/>
    </row>
    <row r="51" spans="1:35" ht="12" customHeight="1">
      <c r="A51" s="180"/>
      <c r="B51" s="3340" t="s">
        <v>2205</v>
      </c>
      <c r="C51" s="3340"/>
      <c r="D51" s="181"/>
      <c r="E51" s="29"/>
      <c r="F51" s="179"/>
      <c r="G51" s="3412"/>
      <c r="H51" s="137"/>
      <c r="I51" s="2479"/>
      <c r="J51" s="2952" t="s">
        <v>2206</v>
      </c>
      <c r="K51" s="3404" t="s">
        <v>2207</v>
      </c>
      <c r="L51" s="3404"/>
      <c r="M51" s="2952" t="s">
        <v>2208</v>
      </c>
      <c r="N51" s="2952" t="s">
        <v>2209</v>
      </c>
      <c r="O51" s="2952" t="s">
        <v>2210</v>
      </c>
    </row>
    <row r="52" spans="1:35" ht="24" customHeight="1">
      <c r="A52" s="182" t="s">
        <v>2211</v>
      </c>
      <c r="B52" s="3340" t="s">
        <v>2212</v>
      </c>
      <c r="C52" s="3340"/>
      <c r="D52" s="181" t="e">
        <f ca="1">ROUND(D45*'数据-取费表'!B41/(1+'数据-取费表'!C42),0)</f>
        <v>#REF!</v>
      </c>
      <c r="E52" s="11" t="s">
        <v>2213</v>
      </c>
      <c r="F52" s="183">
        <f>'数据-取费表'!B41</f>
        <v>5.5000000000000007E-2</v>
      </c>
      <c r="G52" s="2481"/>
      <c r="H52" s="137"/>
      <c r="I52" s="2479"/>
      <c r="J52" s="2955">
        <v>1</v>
      </c>
      <c r="K52" s="3405" t="s">
        <v>2214</v>
      </c>
      <c r="L52" s="3405"/>
      <c r="M52" s="1750">
        <f>D48</f>
        <v>0</v>
      </c>
      <c r="N52" s="2955" t="str">
        <f>E48</f>
        <v>销售额×税（费）率</v>
      </c>
      <c r="O52" s="1751" t="str">
        <f>F48</f>
        <v>免征</v>
      </c>
    </row>
    <row r="53" spans="1:35" ht="12" customHeight="1">
      <c r="A53" s="182" t="s">
        <v>2215</v>
      </c>
      <c r="B53" s="3363" t="s">
        <v>2216</v>
      </c>
      <c r="C53" s="3364"/>
      <c r="D53" s="181" t="e">
        <f ca="1">ROUND(D45*'数据-取费表'!B41/(1+'数据-取费表'!C42),0)</f>
        <v>#REF!</v>
      </c>
      <c r="E53" s="11" t="s">
        <v>2213</v>
      </c>
      <c r="F53" s="183">
        <f>'数据-取费表'!B41</f>
        <v>5.5000000000000007E-2</v>
      </c>
      <c r="G53" s="2481"/>
      <c r="H53" s="137"/>
      <c r="I53" s="2479"/>
      <c r="J53" s="2955">
        <v>2</v>
      </c>
      <c r="K53" s="3405" t="s">
        <v>2217</v>
      </c>
      <c r="L53" s="3405"/>
      <c r="M53" s="1750" t="e">
        <f t="shared" ref="M53:O54" ca="1" si="0">D55</f>
        <v>#REF!</v>
      </c>
      <c r="N53" s="2955" t="str">
        <f t="shared" si="0"/>
        <v>销售额×税（费）率</v>
      </c>
      <c r="O53" s="1751">
        <f t="shared" si="0"/>
        <v>5.0000000000000001E-4</v>
      </c>
    </row>
    <row r="54" spans="1:35" ht="12" customHeight="1">
      <c r="A54" s="182" t="s">
        <v>2218</v>
      </c>
      <c r="B54" s="3363" t="s">
        <v>2219</v>
      </c>
      <c r="C54" s="3364"/>
      <c r="D54" s="181" t="e">
        <f ca="1">C68</f>
        <v>#REF!</v>
      </c>
      <c r="E54" s="29" t="s">
        <v>2220</v>
      </c>
      <c r="F54" s="183">
        <f>'数据-取费表'!B41</f>
        <v>5.5000000000000007E-2</v>
      </c>
      <c r="G54" s="2481"/>
      <c r="H54" s="2482"/>
      <c r="I54" s="2479"/>
      <c r="J54" s="2955">
        <v>3</v>
      </c>
      <c r="K54" s="3405" t="s">
        <v>2221</v>
      </c>
      <c r="L54" s="3405"/>
      <c r="M54" s="1750" t="e">
        <f t="shared" ca="1" si="0"/>
        <v>#REF!</v>
      </c>
      <c r="N54" s="2955" t="str">
        <f t="shared" si="0"/>
        <v>增值额×税（费）率</v>
      </c>
      <c r="O54" s="1752" t="str">
        <f t="shared" si="0"/>
        <v>——</v>
      </c>
    </row>
    <row r="55" spans="1:35" ht="24" customHeight="1">
      <c r="A55" s="3354" t="s">
        <v>2222</v>
      </c>
      <c r="B55" s="3355"/>
      <c r="C55" s="3355"/>
      <c r="D55" s="184" t="e">
        <f ca="1">IF(H55="个人住宅",0,ROUND(D45*I55,0))</f>
        <v>#REF!</v>
      </c>
      <c r="E55" s="11" t="s">
        <v>2223</v>
      </c>
      <c r="F55" s="183">
        <f>IF(H55="正常",I55,"免征")</f>
        <v>5.0000000000000001E-4</v>
      </c>
      <c r="G55" s="2481"/>
      <c r="H55" s="2478" t="s">
        <v>2224</v>
      </c>
      <c r="I55" s="185">
        <f>'数据-取费表'!B49</f>
        <v>5.0000000000000001E-4</v>
      </c>
      <c r="J55" s="2955" t="str">
        <f>IF(H59="非个人房产","",4)</f>
        <v/>
      </c>
      <c r="K55" s="3405" t="str">
        <f>IF(H59="非个人房产","——","个人所得税")</f>
        <v>——</v>
      </c>
      <c r="L55" s="3405"/>
      <c r="M55" s="1753" t="str">
        <f>D59</f>
        <v>——</v>
      </c>
      <c r="N55" s="2956" t="str">
        <f>E59</f>
        <v>——</v>
      </c>
      <c r="O55" s="1754" t="str">
        <f>F59</f>
        <v>——</v>
      </c>
    </row>
    <row r="56" spans="1:35" ht="24.75">
      <c r="A56" s="3354" t="s">
        <v>2225</v>
      </c>
      <c r="B56" s="3355"/>
      <c r="C56" s="3355"/>
      <c r="D56" s="184" t="e">
        <f ca="1">IF(H56="个人住宅",D57,D58)</f>
        <v>#REF!</v>
      </c>
      <c r="E56" s="11" t="s">
        <v>2226</v>
      </c>
      <c r="F56" s="183" t="str">
        <f>IF(H56="正常",F58,"免征")</f>
        <v>——</v>
      </c>
      <c r="G56" s="2483" t="s">
        <v>2227</v>
      </c>
      <c r="H56" s="2484" t="s">
        <v>2224</v>
      </c>
      <c r="I56" s="2485"/>
      <c r="J56" s="2955" t="str">
        <f>IF(项目基本情况!K6="上海银行",IF(J55="",4,J55+1),"")</f>
        <v/>
      </c>
      <c r="K56" s="3428" t="str">
        <f>IF(项目基本情况!K6="上海银行","其他处置费用","")</f>
        <v/>
      </c>
      <c r="L56" s="3429"/>
      <c r="M56" s="1750" t="str">
        <f>IF(项目基本情况!K6="上海银行",M69,"")</f>
        <v/>
      </c>
      <c r="N56" s="3431" t="str">
        <f>IF(项目基本情况!K6="上海银行","包含处置中涉及的律师、诉讼、拍卖、评估等费用","")</f>
        <v/>
      </c>
      <c r="O56" s="3432"/>
    </row>
    <row r="57" spans="1:35" ht="12.75">
      <c r="A57" s="182" t="s">
        <v>2200</v>
      </c>
      <c r="B57" s="3370" t="s">
        <v>2228</v>
      </c>
      <c r="C57" s="3379"/>
      <c r="D57" s="186">
        <v>0</v>
      </c>
      <c r="E57" s="22" t="s">
        <v>2202</v>
      </c>
      <c r="F57" s="154"/>
      <c r="G57" s="2481"/>
      <c r="H57" s="2485"/>
      <c r="I57" s="2485"/>
      <c r="J57" s="3405">
        <f>IF(AND(J55="",J56=""),4,IF(项目基本情况!K6="上海银行",'结果表-办公'!J56+1,'结果表-办公'!J55+1))</f>
        <v>4</v>
      </c>
      <c r="K57" s="3405" t="s">
        <v>2229</v>
      </c>
      <c r="L57" s="2486" t="s">
        <v>2230</v>
      </c>
      <c r="M57" s="1755"/>
      <c r="N57" s="1756">
        <f ca="1">SUMIF(M52:M56,"&lt;9e307")</f>
        <v>0</v>
      </c>
      <c r="O57" s="2487"/>
      <c r="P57" s="1749" t="e">
        <f ca="1">N57/M49</f>
        <v>#REF!</v>
      </c>
    </row>
    <row r="58" spans="1:35" ht="24.75">
      <c r="A58" s="182" t="s">
        <v>2211</v>
      </c>
      <c r="B58" s="3370" t="s">
        <v>2231</v>
      </c>
      <c r="C58" s="3371"/>
      <c r="D58" s="184" t="e">
        <f ca="1">IF(H58="转让取得",C81,C97)</f>
        <v>#REF!</v>
      </c>
      <c r="E58" s="11" t="s">
        <v>2226</v>
      </c>
      <c r="F58" s="23" t="s">
        <v>34</v>
      </c>
      <c r="G58" s="2481"/>
      <c r="H58" s="2484" t="s">
        <v>2232</v>
      </c>
      <c r="I58" s="2485"/>
      <c r="J58" s="3405"/>
      <c r="K58" s="3405"/>
      <c r="L58" s="2486" t="s">
        <v>2233</v>
      </c>
      <c r="M58" s="1757"/>
      <c r="N58" s="2488" t="str">
        <f ca="1">NUMBERSTRING(INT(N57*10000),2)&amp;"元整"</f>
        <v>零元整</v>
      </c>
      <c r="O58" s="2489"/>
    </row>
    <row r="59" spans="1:35" ht="24.75" thickBot="1">
      <c r="A59" s="3408" t="s">
        <v>2234</v>
      </c>
      <c r="B59" s="3409"/>
      <c r="C59" s="3409"/>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6">
        <f>J57+1</f>
        <v>5</v>
      </c>
      <c r="K59" s="3405" t="s">
        <v>2236</v>
      </c>
      <c r="L59" s="2955" t="s">
        <v>2230</v>
      </c>
      <c r="M59" s="1758"/>
      <c r="N59" s="1759" t="e">
        <f ca="1">M49-N57</f>
        <v>#REF!</v>
      </c>
      <c r="O59" s="2491"/>
    </row>
    <row r="60" spans="1:35" ht="12" customHeight="1">
      <c r="A60" s="2492"/>
      <c r="B60" s="2414"/>
      <c r="C60" s="2414"/>
      <c r="D60" s="2414"/>
      <c r="E60" s="2162"/>
      <c r="F60" s="2485"/>
      <c r="G60" s="2485"/>
      <c r="H60" s="2493"/>
      <c r="I60" s="137"/>
      <c r="J60" s="3407"/>
      <c r="K60" s="3405"/>
      <c r="L60" s="2486" t="s">
        <v>2233</v>
      </c>
      <c r="M60" s="1757"/>
      <c r="N60" s="2488" t="e">
        <f ca="1">NUMBERSTRING(INT(N59*10000),2)&amp;"元整"</f>
        <v>#REF!</v>
      </c>
      <c r="O60" s="2489"/>
    </row>
    <row r="61" spans="1:35" ht="13.5" thickBot="1">
      <c r="A61" s="3352" t="s">
        <v>2237</v>
      </c>
      <c r="B61" s="3352"/>
      <c r="C61" s="3352"/>
      <c r="D61" s="3352"/>
      <c r="E61" s="3352"/>
      <c r="F61" s="2485"/>
      <c r="G61" s="2485"/>
      <c r="H61" s="2493"/>
      <c r="I61" s="137"/>
      <c r="J61" s="2955">
        <f>J59+1</f>
        <v>6</v>
      </c>
      <c r="K61" s="3405" t="s">
        <v>2238</v>
      </c>
      <c r="L61" s="3405"/>
      <c r="M61" s="1760"/>
      <c r="N61" s="1761" t="e">
        <f ca="1">ROUND(N59*10000/'数据-汇总表'!E3,0)</f>
        <v>#REF!</v>
      </c>
      <c r="O61" s="2494"/>
    </row>
    <row r="62" spans="1:35" ht="12.75">
      <c r="A62" s="3368" t="s">
        <v>2239</v>
      </c>
      <c r="B62" s="3369"/>
      <c r="C62" s="2960"/>
      <c r="D62" s="2960" t="s">
        <v>2240</v>
      </c>
      <c r="E62" s="191" t="s">
        <v>2241</v>
      </c>
      <c r="F62" s="2485"/>
      <c r="G62" s="2485"/>
      <c r="H62" s="2493"/>
      <c r="I62" s="137"/>
    </row>
    <row r="63" spans="1:35" ht="12.75">
      <c r="A63" s="202" t="s">
        <v>775</v>
      </c>
      <c r="B63" s="192" t="s">
        <v>2242</v>
      </c>
      <c r="C63" s="193" t="e">
        <f ca="1">ROUND((C64+C65)/(1+'数据-取费表'!C42),0)</f>
        <v>#REF!</v>
      </c>
      <c r="D63" s="194"/>
      <c r="E63" s="195"/>
      <c r="F63" s="2485"/>
      <c r="G63" s="2485"/>
      <c r="H63" s="2493"/>
      <c r="I63" s="137"/>
      <c r="J63" s="3430" t="s">
        <v>2243</v>
      </c>
      <c r="K63" s="2953" t="s">
        <v>2244</v>
      </c>
      <c r="L63" s="1748" t="e">
        <f ca="1">IF(M49&gt;10000,M49*0.5%,IF(AND(M49&gt;1000,M49&lt;=10000),M49*1%,IF(AND(M49&gt;100,M49&lt;=1000),M49*3%,IF(AND(M49&gt;10,M49&lt;=100),M49*5%,M49*8%))))</f>
        <v>#REF!</v>
      </c>
      <c r="M63" s="23" t="e">
        <f ca="1">ROUND(L63,1)</f>
        <v>#REF!</v>
      </c>
      <c r="Z63" s="2419"/>
      <c r="AI63" s="2420"/>
    </row>
    <row r="64" spans="1:35" ht="14.25" customHeight="1">
      <c r="A64" s="196" t="s">
        <v>770</v>
      </c>
      <c r="B64" s="197" t="s">
        <v>2245</v>
      </c>
      <c r="C64" s="198" t="e">
        <f ca="1">D45</f>
        <v>#REF!</v>
      </c>
      <c r="D64" s="199" t="s">
        <v>32</v>
      </c>
      <c r="E64" s="200"/>
      <c r="F64" s="2485"/>
      <c r="G64" s="2485"/>
      <c r="H64" s="2493"/>
      <c r="I64" s="137"/>
      <c r="J64" s="3430"/>
      <c r="K64" s="2953" t="s">
        <v>2246</v>
      </c>
      <c r="L64" s="1748" t="e">
        <f ca="1">IF(M49&gt;2000,M49*0.5%,IF(AND(M49&gt;1000,M49&lt;=2000),M49*0.6%,IF(AND(M49&gt;500,M49&lt;=1000),M49*0.7%,IF(AND(M49&gt;200,M49&lt;=500),M49*0.8%,IF(AND(M49&gt;100,M49&lt;=200),M49*0.9%,IF(AND(M49&gt;50,M49&lt;=100),M49*1%,IF(AND(M49&gt;20,M49&lt;=50),M49*1.5%,IF(AND(M49&gt;10,M49&lt;=20),M49*2%,IF(AND(M49&gt;1,M49&lt;=10),M49*2.5%)))))))))</f>
        <v>#REF!</v>
      </c>
      <c r="M64" s="23" t="e">
        <f t="shared" ref="M64:M65" ca="1" si="1">ROUND(L64,1)</f>
        <v>#REF!</v>
      </c>
      <c r="N64" s="137" t="s">
        <v>2247</v>
      </c>
      <c r="Z64" s="2419"/>
      <c r="AI64" s="2420"/>
    </row>
    <row r="65" spans="1:35" ht="14.25" customHeight="1">
      <c r="A65" s="196" t="s">
        <v>771</v>
      </c>
      <c r="B65" s="197" t="s">
        <v>2248</v>
      </c>
      <c r="C65" s="201"/>
      <c r="D65" s="199"/>
      <c r="E65" s="200"/>
      <c r="F65" s="2485"/>
      <c r="G65" s="2485"/>
      <c r="H65" s="2493"/>
      <c r="I65" s="137"/>
      <c r="J65" s="3430"/>
      <c r="K65" s="2953" t="s">
        <v>2249</v>
      </c>
      <c r="L65" s="1748" t="e">
        <f ca="1">IF(M49&gt;1000,M49*0.1%,IF(AND(M49&gt;500,M49&lt;=1000),M49*0.5%,IF(AND(M49&gt;50,M49&lt;=500),M49*1%,IF(AND(M49&gt;1,M49&lt;=50),M49*1.5%))))</f>
        <v>#REF!</v>
      </c>
      <c r="M65" s="23" t="e">
        <f t="shared" ca="1" si="1"/>
        <v>#REF!</v>
      </c>
      <c r="N65" s="137" t="s">
        <v>2247</v>
      </c>
      <c r="Z65" s="2419"/>
      <c r="AI65" s="2420"/>
    </row>
    <row r="66" spans="1:35" ht="14.25" customHeight="1">
      <c r="A66" s="202" t="s">
        <v>772</v>
      </c>
      <c r="B66" s="203" t="s">
        <v>2250</v>
      </c>
      <c r="C66" s="204"/>
      <c r="D66" s="205" t="s">
        <v>32</v>
      </c>
      <c r="E66" s="1772" t="s">
        <v>1367</v>
      </c>
      <c r="F66" s="2485"/>
      <c r="G66" s="2485"/>
      <c r="H66" s="2493"/>
      <c r="I66" s="137"/>
      <c r="J66" s="3430"/>
      <c r="K66" s="2953" t="s">
        <v>2251</v>
      </c>
      <c r="L66" s="1748" t="e">
        <f ca="1">M49*0.5%</f>
        <v>#REF!</v>
      </c>
      <c r="M66" s="23" t="e">
        <f ca="1">IF(L66&gt;0.5,0.5,ROUND(L66,0))</f>
        <v>#REF!</v>
      </c>
      <c r="N66" s="137" t="s">
        <v>2252</v>
      </c>
      <c r="Z66" s="2419"/>
      <c r="AI66" s="2420"/>
    </row>
    <row r="67" spans="1:35" ht="14.25" customHeight="1">
      <c r="A67" s="202" t="s">
        <v>773</v>
      </c>
      <c r="B67" s="203" t="s">
        <v>2253</v>
      </c>
      <c r="C67" s="206" t="e">
        <f ca="1">C63-C66</f>
        <v>#REF!</v>
      </c>
      <c r="D67" s="199" t="s">
        <v>32</v>
      </c>
      <c r="E67" s="200"/>
      <c r="F67" s="2485"/>
      <c r="G67" s="2485"/>
      <c r="H67" s="2493"/>
      <c r="I67" s="137"/>
      <c r="J67" s="3430"/>
      <c r="K67" s="2953" t="s">
        <v>2254</v>
      </c>
      <c r="L67" s="1748" t="e">
        <f ca="1">IF(M49&gt;=10000,(8.25+(M49-10000)*0.01%),IF(AND(M49&gt;=8000,M49&lt;10000),(7.85+(M49-8000)*0.02%),IF(AND(M49&gt;=5000,M49&lt;8000),(6.65+(M49-5000)*0.04%),IF(AND(M49&gt;=2000,M49&lt;5000),(4.25+(PM49-2000)*0.08%),IF(AND(M49&gt;=1000,M49&lt;2000),(2.75+(M49-1000)*0.15%),IF(AND(M49&gt;=100,M49&lt;1000),(0.5+(M49-100)*0.25%),IF(AND(M49&gt;0,M49&lt;100),M49*0.5%)))))))</f>
        <v>#REF!</v>
      </c>
      <c r="M67" s="23" t="e">
        <f ca="1">ROUND(L67*0.9,1)</f>
        <v>#REF!</v>
      </c>
      <c r="Z67" s="2419"/>
      <c r="AI67" s="2420"/>
    </row>
    <row r="68" spans="1:35" ht="14.25" customHeight="1" thickBot="1">
      <c r="A68" s="207" t="s">
        <v>774</v>
      </c>
      <c r="B68" s="208" t="s">
        <v>2255</v>
      </c>
      <c r="C68" s="209" t="e">
        <f ca="1">IF(C67&lt;=0,0,ROUND(C67*D68,0))</f>
        <v>#REF!</v>
      </c>
      <c r="D68" s="210">
        <f>'数据-取费表'!B41</f>
        <v>5.5000000000000007E-2</v>
      </c>
      <c r="E68" s="211"/>
      <c r="F68" s="2485"/>
      <c r="G68" s="2485"/>
      <c r="H68" s="2493"/>
      <c r="I68" s="137"/>
      <c r="J68" s="3430"/>
      <c r="K68" s="2953" t="s">
        <v>2256</v>
      </c>
      <c r="L68" s="1748" t="e">
        <f ca="1">IF(M49&gt;10000,M49*0.5%,IF(AND(M49&gt;5000,M49&lt;=10000),M49*1%,IF(AND(M49&gt;1000,M49&lt;=5000),M49*2%,IF(AND(M49&gt;200,M49&lt;=1000),M49*3%,M49*5%))))</f>
        <v>#REF!</v>
      </c>
      <c r="M68" s="23" t="e">
        <f ca="1">ROUND(L68,1)</f>
        <v>#REF!</v>
      </c>
      <c r="Z68" s="2419"/>
      <c r="AI68" s="2420"/>
    </row>
    <row r="69" spans="1:35" s="2442" customFormat="1" ht="16.5" customHeight="1">
      <c r="A69" s="2496"/>
      <c r="B69" s="2497"/>
      <c r="C69" s="2498"/>
      <c r="D69" s="2499"/>
      <c r="E69" s="2500"/>
      <c r="F69" s="2162"/>
      <c r="G69" s="2162"/>
      <c r="H69" s="2161"/>
      <c r="I69" s="2414"/>
      <c r="J69" s="3430"/>
      <c r="K69" s="2953" t="s">
        <v>2257</v>
      </c>
      <c r="L69" s="2501"/>
      <c r="M69" s="23" t="e">
        <f ca="1">ROUND(SUM(M63:M68),0)</f>
        <v>#REF!</v>
      </c>
      <c r="N69" s="1749" t="e">
        <f ca="1">M69/M49</f>
        <v>#REF!</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5" thickBot="1">
      <c r="A70" s="3389" t="s">
        <v>2258</v>
      </c>
      <c r="B70" s="3390"/>
      <c r="C70" s="3390"/>
      <c r="D70" s="3390"/>
      <c r="E70" s="3390"/>
      <c r="F70" s="3390"/>
      <c r="G70" s="3390"/>
      <c r="H70" s="3390"/>
      <c r="I70" s="3036"/>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368" t="s">
        <v>2239</v>
      </c>
      <c r="B71" s="3369"/>
      <c r="C71" s="2960"/>
      <c r="D71" s="2960" t="s">
        <v>2240</v>
      </c>
      <c r="E71" s="212" t="s">
        <v>2241</v>
      </c>
      <c r="F71" s="213"/>
      <c r="G71" s="213"/>
      <c r="H71" s="3018"/>
      <c r="I71" s="3037"/>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2259</v>
      </c>
      <c r="C72" s="206" t="e">
        <f ca="1">ROUND(D45/(1+'数据-取费表'!C42),0)</f>
        <v>#REF!</v>
      </c>
      <c r="D72" s="199" t="s">
        <v>32</v>
      </c>
      <c r="E72" s="2962"/>
      <c r="F72" s="2961"/>
      <c r="G72" s="2961"/>
      <c r="H72" s="3019"/>
      <c r="I72" s="3037"/>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2260</v>
      </c>
      <c r="C73" s="206" t="e">
        <f ca="1">C74+C78</f>
        <v>#REF!</v>
      </c>
      <c r="D73" s="199" t="s">
        <v>32</v>
      </c>
      <c r="E73" s="2962"/>
      <c r="F73" s="2961"/>
      <c r="G73" s="2961"/>
      <c r="H73" s="3019"/>
      <c r="I73" s="3037"/>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2261</v>
      </c>
      <c r="C74" s="199">
        <f>ROUND(IF(G77="2016年5月1日后购买",C75/(1+'数据-取费表'!C42)+C76+C77,C75+C76+C77),0)</f>
        <v>0</v>
      </c>
      <c r="D74" s="199" t="s">
        <v>32</v>
      </c>
      <c r="E74" s="2962"/>
      <c r="F74" s="2961"/>
      <c r="G74" s="2961"/>
      <c r="H74" s="3019"/>
      <c r="I74" s="3037"/>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2262</v>
      </c>
      <c r="C75" s="217"/>
      <c r="D75" s="199" t="s">
        <v>32</v>
      </c>
      <c r="E75" s="3020" t="s">
        <v>2263</v>
      </c>
      <c r="F75" s="3038" t="s">
        <v>2264</v>
      </c>
      <c r="G75" s="3020" t="s">
        <v>2265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2266</v>
      </c>
      <c r="C76" s="199">
        <f>IF(F75="购房发票",ROUND(C75*H75*D76,0),0)</f>
        <v>0</v>
      </c>
      <c r="D76" s="221">
        <v>0.05</v>
      </c>
      <c r="E76" s="3363" t="s">
        <v>2267</v>
      </c>
      <c r="F76" s="3340"/>
      <c r="G76" s="3340"/>
      <c r="H76" s="3388"/>
      <c r="I76" s="3037"/>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2268</v>
      </c>
      <c r="C77" s="199">
        <f>ROUND(IF(G77="个人住宅",0,IF(G77="2016年5月1日前购买",C75*D77,C75*D77/(1+'数据-取费表'!C42))),0)</f>
        <v>0</v>
      </c>
      <c r="D77" s="222">
        <f>'数据-取费表'!B48+'数据-取费表'!B49</f>
        <v>3.0499999999999999E-2</v>
      </c>
      <c r="E77" s="2954" t="s">
        <v>2269</v>
      </c>
      <c r="F77" s="223"/>
      <c r="G77" s="2509" t="s">
        <v>2270</v>
      </c>
      <c r="H77" s="2963" t="str">
        <f>IF(G77="个人买卖住房","免征印花税"," ")</f>
        <v xml:space="preserve"> </v>
      </c>
      <c r="I77" s="3037"/>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2271</v>
      </c>
      <c r="C78" s="224" t="e">
        <f ca="1">ROUND(D45*D78/(1+'数据-取费表'!C42),0)</f>
        <v>#REF!</v>
      </c>
      <c r="D78" s="225">
        <f>'数据-取费表'!B43</f>
        <v>5.000000000000001E-3</v>
      </c>
      <c r="E78" s="3349" t="s">
        <v>2272</v>
      </c>
      <c r="F78" s="3350"/>
      <c r="G78" s="3350"/>
      <c r="H78" s="3359"/>
      <c r="I78" s="3039"/>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3" t="s">
        <v>2273</v>
      </c>
      <c r="C79" s="206" t="e">
        <f ca="1">C72-C73</f>
        <v>#REF!</v>
      </c>
      <c r="D79" s="199" t="s">
        <v>32</v>
      </c>
      <c r="E79" s="2962"/>
      <c r="F79" s="2961"/>
      <c r="G79" s="2961"/>
      <c r="H79" s="3019"/>
      <c r="I79" s="3037"/>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2274</v>
      </c>
      <c r="C80" s="226" t="e">
        <f ca="1">IF(C79&lt;=0,0,C79/C73)</f>
        <v>#REF!</v>
      </c>
      <c r="D80" s="199" t="s">
        <v>32</v>
      </c>
      <c r="E80" s="2954" t="e">
        <f ca="1">IF(C80&gt;=200%,"增值额超过扣除项目金额200%",IF(C80&gt;=100%,"增值额超过扣除项目金额100%，未超过200%",IF(C80&gt;=50%,"增值额超过扣除项目金额50%，未超过100%",IF(C80&lt;50%,"增值额未超过扣除项目金额50%"))))</f>
        <v>#REF!</v>
      </c>
      <c r="F80" s="2961"/>
      <c r="G80" s="2961"/>
      <c r="H80" s="3019"/>
      <c r="I80" s="3037"/>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2275</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3021"/>
      <c r="I81" s="3037"/>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3034"/>
      <c r="I82" s="3039"/>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389" t="s">
        <v>2276</v>
      </c>
      <c r="B83" s="3390"/>
      <c r="C83" s="3390"/>
      <c r="D83" s="3390"/>
      <c r="E83" s="3390"/>
      <c r="F83" s="3390"/>
      <c r="G83" s="3390"/>
      <c r="H83" s="339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368" t="s">
        <v>2239</v>
      </c>
      <c r="B84" s="3369"/>
      <c r="C84" s="2960"/>
      <c r="D84" s="2960" t="s">
        <v>2240</v>
      </c>
      <c r="E84" s="212" t="s">
        <v>2241</v>
      </c>
      <c r="F84" s="213"/>
      <c r="G84" s="213"/>
      <c r="H84" s="302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2259</v>
      </c>
      <c r="C85" s="206" t="e">
        <f ca="1">ROUND(D45/(1+'数据-取费表'!C42),0)</f>
        <v>#REF!</v>
      </c>
      <c r="D85" s="199" t="s">
        <v>32</v>
      </c>
      <c r="E85" s="2962"/>
      <c r="F85" s="2961"/>
      <c r="G85" s="2961"/>
      <c r="H85" s="302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2260</v>
      </c>
      <c r="C86" s="206" t="e">
        <f ca="1">IF(H88="仅含出让金",C87+C90+C91+C92+C93+C94,C87+C91+C92+C93+C94)</f>
        <v>#REF!</v>
      </c>
      <c r="D86" s="234"/>
      <c r="E86" s="2962"/>
      <c r="F86" s="2961"/>
      <c r="G86" s="2961"/>
      <c r="H86" s="302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2277</v>
      </c>
      <c r="C87" s="224">
        <f>C88+C89</f>
        <v>0</v>
      </c>
      <c r="D87" s="225"/>
      <c r="E87" s="2957"/>
      <c r="F87" s="2958"/>
      <c r="G87" s="2958"/>
      <c r="H87" s="295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2278</v>
      </c>
      <c r="C88" s="235"/>
      <c r="D88" s="225"/>
      <c r="E88" s="236" t="s">
        <v>2279</v>
      </c>
      <c r="F88" s="2958"/>
      <c r="G88" s="237" t="s">
        <v>2280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2268</v>
      </c>
      <c r="C89" s="224">
        <f>ROUND(C88*D89,0)</f>
        <v>0</v>
      </c>
      <c r="D89" s="225">
        <f>'数据-取费表'!B48+'数据-取费表'!B49</f>
        <v>3.0499999999999999E-2</v>
      </c>
      <c r="E89" s="236" t="s">
        <v>2281</v>
      </c>
      <c r="F89" s="2958"/>
      <c r="G89" s="2958"/>
      <c r="H89" s="295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2282</v>
      </c>
      <c r="C90" s="235"/>
      <c r="D90" s="225"/>
      <c r="E90" s="236" t="str">
        <f>IF(H88="-","土地取得成本中已包含该笔费用"," ")</f>
        <v xml:space="preserve"> </v>
      </c>
      <c r="F90" s="2958"/>
      <c r="G90" s="2958"/>
      <c r="H90" s="295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2283</v>
      </c>
      <c r="B91" s="197" t="s">
        <v>2284</v>
      </c>
      <c r="C91" s="224">
        <f>IF(H91="——",成本法!C33,I91)</f>
        <v>0</v>
      </c>
      <c r="D91" s="225"/>
      <c r="E91" s="3349" t="s">
        <v>2285</v>
      </c>
      <c r="F91" s="3350"/>
      <c r="G91" s="3350"/>
      <c r="H91" s="2514" t="s">
        <v>2286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2287</v>
      </c>
      <c r="B92" s="197" t="s">
        <v>2288</v>
      </c>
      <c r="C92" s="224">
        <f>ROUND((C87+C90+C91)*D92,0)</f>
        <v>0</v>
      </c>
      <c r="D92" s="225">
        <v>0.1</v>
      </c>
      <c r="E92" s="3349" t="s">
        <v>2289</v>
      </c>
      <c r="F92" s="3350"/>
      <c r="G92" s="3350"/>
      <c r="H92" s="335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2290</v>
      </c>
      <c r="B93" s="197" t="s">
        <v>2271</v>
      </c>
      <c r="C93" s="224" t="e">
        <f ca="1">ROUND(D45*D93/(1+'数据-取费表'!C42),0)</f>
        <v>#REF!</v>
      </c>
      <c r="D93" s="225">
        <f>'数据-取费表'!B43</f>
        <v>5.000000000000001E-3</v>
      </c>
      <c r="E93" s="3349" t="s">
        <v>2272</v>
      </c>
      <c r="F93" s="3350"/>
      <c r="G93" s="3350"/>
      <c r="H93" s="335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2291</v>
      </c>
      <c r="B94" s="197" t="s">
        <v>2292</v>
      </c>
      <c r="C94" s="235">
        <f>ROUND((C87+C90+C91)*D94,0)</f>
        <v>0</v>
      </c>
      <c r="D94" s="225">
        <v>0.2</v>
      </c>
      <c r="E94" s="3360" t="s">
        <v>2293</v>
      </c>
      <c r="F94" s="3361"/>
      <c r="G94" s="3361"/>
      <c r="H94" s="336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3" t="s">
        <v>2273</v>
      </c>
      <c r="C95" s="206" t="e">
        <f ca="1">ROUND(C85-C86,0)</f>
        <v>#REF!</v>
      </c>
      <c r="D95" s="199" t="s">
        <v>32</v>
      </c>
      <c r="E95" s="2962"/>
      <c r="F95" s="2961"/>
      <c r="G95" s="2961"/>
      <c r="H95" s="302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2274</v>
      </c>
      <c r="C96" s="226" t="e">
        <f ca="1">IF(C95&lt;=0,0,C95/C86)</f>
        <v>#REF!</v>
      </c>
      <c r="D96" s="199" t="s">
        <v>32</v>
      </c>
      <c r="E96" s="2954" t="e">
        <f ca="1">IF(C96&gt;=200%,"增值额超过扣除项目金额200%",IF(C96&gt;=100%,"增值额超过扣除项目金额100%，未超过200%",IF(C96&gt;=50%,"增值额超过扣除项目金额50%，未超过100%",IF(C96&lt;50%,"增值额未超过扣除项目金额50%"))))</f>
        <v>#REF!</v>
      </c>
      <c r="F96" s="2961"/>
      <c r="G96" s="2961"/>
      <c r="H96" s="302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2275</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302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2294</v>
      </c>
      <c r="B99" s="2414"/>
      <c r="C99" s="2414"/>
      <c r="D99" s="2414"/>
      <c r="E99" s="2162"/>
      <c r="F99" s="2162"/>
      <c r="G99" s="2162"/>
      <c r="H99" s="2161"/>
      <c r="I99" s="137"/>
    </row>
    <row r="100" spans="1:35" ht="18.75" customHeight="1">
      <c r="A100" s="3323" t="s">
        <v>2295</v>
      </c>
      <c r="B100" s="3324"/>
      <c r="C100" s="3324"/>
      <c r="D100" s="3351"/>
      <c r="E100" s="3324" t="s">
        <v>2296</v>
      </c>
      <c r="F100" s="3324"/>
      <c r="G100" s="3324"/>
      <c r="H100" s="3351"/>
      <c r="I100" s="137"/>
    </row>
    <row r="101" spans="1:35" ht="18.75" customHeight="1">
      <c r="A101" s="3413" t="s">
        <v>2297</v>
      </c>
      <c r="B101" s="3414"/>
      <c r="C101" s="733" t="str">
        <f>C4</f>
        <v>比较法-办公</v>
      </c>
      <c r="D101" s="734" t="str">
        <f>D4</f>
        <v>收益法-办公</v>
      </c>
      <c r="E101" s="3427" t="s">
        <v>2298</v>
      </c>
      <c r="F101" s="3381"/>
      <c r="G101" s="2516" t="s">
        <v>2299</v>
      </c>
      <c r="H101" s="1045" t="e">
        <f ca="1">H118</f>
        <v>#REF!</v>
      </c>
      <c r="I101" s="137"/>
    </row>
    <row r="102" spans="1:35" ht="18.75" customHeight="1">
      <c r="A102" s="3383" t="s">
        <v>2300</v>
      </c>
      <c r="B102" s="2516" t="s">
        <v>2299</v>
      </c>
      <c r="C102" s="733">
        <f ca="1">C19</f>
        <v>11135</v>
      </c>
      <c r="D102" s="734" t="e">
        <f ca="1">D19</f>
        <v>#REF!</v>
      </c>
      <c r="E102" s="3427"/>
      <c r="F102" s="3381"/>
      <c r="G102" s="2516" t="s">
        <v>2301</v>
      </c>
      <c r="H102" s="370" t="e">
        <f ca="1">I118</f>
        <v>#REF!</v>
      </c>
      <c r="I102" s="137"/>
    </row>
    <row r="103" spans="1:35" ht="42.75" customHeight="1">
      <c r="A103" s="3383"/>
      <c r="B103" s="2516" t="s">
        <v>2301</v>
      </c>
      <c r="C103" s="735">
        <f ca="1">C20</f>
        <v>41561</v>
      </c>
      <c r="D103" s="736" t="e">
        <f ca="1">D20</f>
        <v>#REF!</v>
      </c>
      <c r="E103" s="3422" t="s">
        <v>2302</v>
      </c>
      <c r="F103" s="3423"/>
      <c r="G103" s="2517" t="s">
        <v>2303</v>
      </c>
      <c r="H103" s="1045">
        <f>IF(D36="正常操作",H104+H105+H106,H105+H106)</f>
        <v>0</v>
      </c>
      <c r="I103" s="137"/>
    </row>
    <row r="104" spans="1:35" ht="18.75" customHeight="1">
      <c r="A104" s="3383" t="s">
        <v>2304</v>
      </c>
      <c r="B104" s="2518" t="s">
        <v>2299</v>
      </c>
      <c r="C104" s="737" t="e">
        <f ca="1">H118</f>
        <v>#REF!</v>
      </c>
      <c r="D104" s="738"/>
      <c r="E104" s="2262" t="s">
        <v>2305</v>
      </c>
      <c r="F104" s="2254"/>
      <c r="G104" s="2517" t="s">
        <v>2303</v>
      </c>
      <c r="H104" s="1046">
        <f>IF(D36="同一抵押权人同一抵押物续贷",C36&amp;"（未扣减，详见特别提示）",C36)</f>
        <v>0</v>
      </c>
      <c r="I104" s="137"/>
    </row>
    <row r="105" spans="1:35" ht="18.75" customHeight="1" thickBot="1">
      <c r="A105" s="3384"/>
      <c r="B105" s="2519" t="s">
        <v>2301</v>
      </c>
      <c r="C105" s="739" t="e">
        <f ca="1">I118</f>
        <v>#REF!</v>
      </c>
      <c r="D105" s="740"/>
      <c r="E105" s="2262" t="s">
        <v>2306</v>
      </c>
      <c r="F105" s="2254"/>
      <c r="G105" s="2517" t="s">
        <v>2303</v>
      </c>
      <c r="H105" s="1046">
        <f>C37</f>
        <v>0</v>
      </c>
      <c r="I105" s="137"/>
    </row>
    <row r="106" spans="1:35" ht="18.75" customHeight="1">
      <c r="A106" s="2414" t="s">
        <v>2307</v>
      </c>
      <c r="B106" s="2414"/>
      <c r="C106" s="2414"/>
      <c r="D106" s="2414"/>
      <c r="E106" s="2520" t="s">
        <v>2308</v>
      </c>
      <c r="F106" s="2254"/>
      <c r="G106" s="2517" t="s">
        <v>2303</v>
      </c>
      <c r="H106" s="1046">
        <f>C38</f>
        <v>0</v>
      </c>
      <c r="I106" s="137"/>
    </row>
    <row r="107" spans="1:35" ht="18.75" customHeight="1">
      <c r="A107" s="137"/>
      <c r="B107" s="137"/>
      <c r="C107" s="137"/>
      <c r="D107" s="137"/>
      <c r="E107" s="3380" t="str">
        <f>IF(项目基本情况!E8="已注销","——","3.房地产抵押价值")</f>
        <v>3.房地产抵押价值</v>
      </c>
      <c r="F107" s="3381"/>
      <c r="G107" s="2516" t="s">
        <v>2299</v>
      </c>
      <c r="H107" s="1045" t="e">
        <f ca="1">IF(E107="——","——",H101-H103)</f>
        <v>#REF!</v>
      </c>
      <c r="I107" s="137"/>
    </row>
    <row r="108" spans="1:35" ht="18.75" customHeight="1">
      <c r="A108" s="137"/>
      <c r="B108" s="137"/>
      <c r="C108" s="137"/>
      <c r="D108" s="137"/>
      <c r="E108" s="3380"/>
      <c r="F108" s="3381"/>
      <c r="G108" s="2516" t="s">
        <v>2301</v>
      </c>
      <c r="H108" s="370" t="e">
        <f ca="1">ROUND(H107*10000/'数据-汇总表'!E3,0)</f>
        <v>#REF!</v>
      </c>
      <c r="I108" s="137"/>
    </row>
    <row r="109" spans="1:35" ht="18.75" customHeight="1">
      <c r="A109" s="137"/>
      <c r="B109" s="137"/>
      <c r="C109" s="137"/>
      <c r="D109" s="137"/>
      <c r="E109" s="3380" t="str">
        <f>IF(项目基本情况!E8="已注销及未注销","4.抵押担保权已注销时的房地产抵押价值",IF(项目基本情况!E8="已注销","3.抵押担保权已注销时的房地产抵押价值","——"))</f>
        <v>4.抵押担保权已注销时的房地产抵押价值</v>
      </c>
      <c r="F109" s="3381"/>
      <c r="G109" s="2516" t="s">
        <v>2299</v>
      </c>
      <c r="H109" s="347" t="e">
        <f ca="1">IF(E109="——","——",H101-H105-H106)</f>
        <v>#REF!</v>
      </c>
      <c r="I109" s="137"/>
    </row>
    <row r="110" spans="1:35" ht="18.75" customHeight="1">
      <c r="A110" s="137"/>
      <c r="B110" s="137"/>
      <c r="C110" s="137"/>
      <c r="D110" s="137"/>
      <c r="E110" s="3380"/>
      <c r="F110" s="3381"/>
      <c r="G110" s="2516" t="s">
        <v>2301</v>
      </c>
      <c r="H110" s="370" t="e">
        <f ca="1">IF(H109="——","——",ROUND(H109*10000/'数据-汇总表'!E3,0))</f>
        <v>#REF!</v>
      </c>
      <c r="I110" s="137"/>
    </row>
    <row r="111" spans="1:35" ht="18.75" customHeight="1">
      <c r="A111" s="137"/>
      <c r="B111" s="137"/>
      <c r="C111" s="137"/>
      <c r="D111" s="137"/>
      <c r="E111" s="3415" t="str">
        <f>IF(项目基本情况!E9="抵押净值",IF(OR(项目基本情况!E8="已注销",项目基本情况!E8="房地产抵押价值"),"4.抵押净值","5.抵押净值"),"——")</f>
        <v>——</v>
      </c>
      <c r="F111" s="3416"/>
      <c r="G111" s="2516" t="s">
        <v>2299</v>
      </c>
      <c r="H111" s="1045" t="str">
        <f>IF(E111="——","——",N59)</f>
        <v>——</v>
      </c>
      <c r="I111" s="137"/>
    </row>
    <row r="112" spans="1:35" ht="18.75" customHeight="1" thickBot="1">
      <c r="A112" s="137"/>
      <c r="B112" s="137"/>
      <c r="C112" s="137"/>
      <c r="D112" s="137"/>
      <c r="E112" s="3417"/>
      <c r="F112" s="3418"/>
      <c r="G112" s="2521" t="s">
        <v>2301</v>
      </c>
      <c r="H112" s="787" t="str">
        <f>IF(E111="——","——",N61)</f>
        <v>——</v>
      </c>
      <c r="I112" s="137"/>
    </row>
    <row r="113" spans="1:11" ht="18.75" customHeight="1">
      <c r="A113" s="137"/>
      <c r="B113" s="137"/>
      <c r="C113" s="137"/>
      <c r="D113" s="137"/>
      <c r="E113" s="3385" t="s">
        <v>2307</v>
      </c>
      <c r="F113" s="3385"/>
      <c r="G113" s="3385"/>
      <c r="H113" s="3385"/>
      <c r="I113" s="137"/>
    </row>
    <row r="114" spans="1:11" ht="3.75" customHeight="1">
      <c r="A114" s="2414"/>
      <c r="B114" s="2414"/>
      <c r="C114" s="2414"/>
      <c r="D114" s="2414"/>
      <c r="E114" s="2492"/>
      <c r="F114" s="2492"/>
      <c r="G114" s="2492"/>
      <c r="H114" s="2492"/>
      <c r="I114" s="2414"/>
    </row>
    <row r="115" spans="1:11" ht="18.75" customHeight="1">
      <c r="A115" s="3398" t="s">
        <v>2309</v>
      </c>
      <c r="B115" s="3399"/>
      <c r="C115" s="3399"/>
      <c r="D115" s="3399"/>
      <c r="E115" s="3399"/>
      <c r="F115" s="3399"/>
      <c r="G115" s="3399"/>
      <c r="H115" s="3399"/>
      <c r="I115" s="3400"/>
    </row>
    <row r="116" spans="1:11" ht="27" customHeight="1">
      <c r="A116" s="3280" t="s">
        <v>2310</v>
      </c>
      <c r="B116" s="3386" t="s">
        <v>2311</v>
      </c>
      <c r="C116" s="3386" t="s">
        <v>2312</v>
      </c>
      <c r="D116" s="3402" t="s">
        <v>2313</v>
      </c>
      <c r="E116" s="3403"/>
      <c r="F116" s="3394" t="s">
        <v>2314</v>
      </c>
      <c r="G116" s="3394"/>
      <c r="H116" s="3280" t="s">
        <v>2315</v>
      </c>
      <c r="I116" s="3280"/>
    </row>
    <row r="117" spans="1:11" ht="18.75" customHeight="1">
      <c r="A117" s="3280"/>
      <c r="B117" s="3387"/>
      <c r="C117" s="3387"/>
      <c r="D117" s="2950" t="s">
        <v>2316</v>
      </c>
      <c r="E117" s="2950" t="s">
        <v>2317</v>
      </c>
      <c r="F117" s="2950" t="s">
        <v>2316</v>
      </c>
      <c r="G117" s="2950" t="s">
        <v>2318</v>
      </c>
      <c r="H117" s="2950" t="s">
        <v>2316</v>
      </c>
      <c r="I117" s="2950" t="s">
        <v>2318</v>
      </c>
    </row>
    <row r="118" spans="1:11" ht="24.75" customHeight="1">
      <c r="A118" s="2522" t="str">
        <f>项目基本情况!S2</f>
        <v>北京市经济技术开发区荣华南路1号院1号楼房地产</v>
      </c>
      <c r="B118" s="2950">
        <f>M18</f>
        <v>16929.979999999996</v>
      </c>
      <c r="C118" s="2950">
        <f>M19</f>
        <v>0</v>
      </c>
      <c r="D118" s="2950" t="e">
        <f ca="1">ROUND(IF(D32="总价",C34,E118*B118/10000),0)</f>
        <v>#REF!</v>
      </c>
      <c r="E118" s="2950" t="e">
        <f ca="1">ROUND(IF(C33="自定义",IF(D32="楼面单价",C34,D118*10000/B118),I118-G118),0)</f>
        <v>#REF!</v>
      </c>
      <c r="F118" s="2950" t="e">
        <f ca="1">ROUND(IF(D32="总价",C35,G118*B118/10000),0)</f>
        <v>#REF!</v>
      </c>
      <c r="G118" s="2950" t="e">
        <f ca="1">ROUND(IF(D32="楼面单价",C35,F118*10000/B118),0)</f>
        <v>#REF!</v>
      </c>
      <c r="H118" s="2950" t="e">
        <f ca="1">ROUND(IF(D32="总价",C32,I118*B118/10000),0)</f>
        <v>#REF!</v>
      </c>
      <c r="I118" s="2950" t="e">
        <f ca="1">ROUND(IF(D32="楼面单价",C32,H118*10000/B118),0)</f>
        <v>#REF!</v>
      </c>
    </row>
    <row r="119" spans="1:11" ht="18.75" customHeight="1">
      <c r="A119" s="3280" t="s">
        <v>2319</v>
      </c>
      <c r="B119" s="3280"/>
      <c r="C119" s="3280"/>
      <c r="D119" s="3391" t="e">
        <f ca="1">NUMBERSTRING(INT(D118*10000),2)&amp;"元整"</f>
        <v>#REF!</v>
      </c>
      <c r="E119" s="3393"/>
      <c r="F119" s="3391" t="e">
        <f ca="1">NUMBERSTRING(INT(F118*10000),2)&amp;"元整"</f>
        <v>#REF!</v>
      </c>
      <c r="G119" s="3393"/>
      <c r="H119" s="3391" t="e">
        <f ca="1">NUMBERSTRING(INT(H118*10000),2)&amp;"元整"</f>
        <v>#REF!</v>
      </c>
      <c r="I119" s="3393"/>
    </row>
    <row r="120" spans="1:11" ht="18.75" customHeight="1">
      <c r="A120" s="3419" t="str">
        <f>IF(项目基本情况!B9="房地产市场价值","",MID(E103,3,LEN(E103)-2))</f>
        <v>估价师知悉的法定优先受偿款</v>
      </c>
      <c r="B120" s="3420"/>
      <c r="C120" s="3421"/>
      <c r="D120" s="3419">
        <f>H103</f>
        <v>0</v>
      </c>
      <c r="E120" s="3420"/>
      <c r="F120" s="3420"/>
      <c r="G120" s="3420"/>
      <c r="H120" s="3420"/>
      <c r="I120" s="3421"/>
      <c r="K120" s="2419" t="str">
        <f>IF(D120=0,"故，本次评估不存在"&amp;A120,"故，本次评估"&amp;A120&amp;"为人民币"&amp;D120&amp;"万元整。")</f>
        <v>故，本次评估不存在估价师知悉的法定优先受偿款</v>
      </c>
    </row>
    <row r="121" spans="1:11" ht="18.75" customHeight="1">
      <c r="A121" s="3395" t="s">
        <v>2319</v>
      </c>
      <c r="B121" s="3396"/>
      <c r="C121" s="3397"/>
      <c r="D121" s="3391" t="str">
        <f>IF(D120=0,"零元整",NUMBERSTRING(INT(D120*10000),2)&amp;"元整")</f>
        <v>零元整</v>
      </c>
      <c r="E121" s="3392"/>
      <c r="F121" s="3392"/>
      <c r="G121" s="3392"/>
      <c r="H121" s="3392"/>
      <c r="I121" s="3393"/>
    </row>
    <row r="122" spans="1:11" ht="18.75" customHeight="1">
      <c r="A122" s="3382" t="str">
        <f>IF(项目基本情况!B9="房地产市场价值","",MID(E107,3,LEN(E107)-2))</f>
        <v>房地产抵押价值</v>
      </c>
      <c r="B122" s="3382"/>
      <c r="C122" s="3382"/>
      <c r="D122" s="3419" t="e">
        <f ca="1">H107</f>
        <v>#REF!</v>
      </c>
      <c r="E122" s="3420"/>
      <c r="F122" s="3420"/>
      <c r="G122" s="3420"/>
      <c r="H122" s="3420"/>
      <c r="I122" s="3421"/>
    </row>
    <row r="123" spans="1:11" ht="18.75" customHeight="1">
      <c r="A123" s="3280" t="s">
        <v>2319</v>
      </c>
      <c r="B123" s="3280"/>
      <c r="C123" s="3280"/>
      <c r="D123" s="3391" t="e">
        <f ca="1">NUMBERSTRING(INT(D122*10000),2)&amp;"元整"</f>
        <v>#REF!</v>
      </c>
      <c r="E123" s="3392"/>
      <c r="F123" s="3392"/>
      <c r="G123" s="3392"/>
      <c r="H123" s="3392"/>
      <c r="I123" s="3393"/>
    </row>
    <row r="124" spans="1:11" ht="18.75" customHeight="1">
      <c r="A124" s="3382" t="str">
        <f>IF(项目基本情况!B9="房地产市场价值","",MID(E109,3,LEN(E109)-2))</f>
        <v>抵押担保权已注销时的房地产抵押价值</v>
      </c>
      <c r="B124" s="3382"/>
      <c r="C124" s="3382"/>
      <c r="D124" s="3419" t="e">
        <f ca="1">H109</f>
        <v>#REF!</v>
      </c>
      <c r="E124" s="3420"/>
      <c r="F124" s="3420"/>
      <c r="G124" s="3420"/>
      <c r="H124" s="3420"/>
      <c r="I124" s="3421"/>
    </row>
    <row r="125" spans="1:11" ht="18.75" customHeight="1">
      <c r="A125" s="3280" t="s">
        <v>2319</v>
      </c>
      <c r="B125" s="3280"/>
      <c r="C125" s="3280"/>
      <c r="D125" s="3391" t="e">
        <f ca="1">NUMBERSTRING(INT(D124*10000),2)&amp;"元整"</f>
        <v>#REF!</v>
      </c>
      <c r="E125" s="3392"/>
      <c r="F125" s="3392"/>
      <c r="G125" s="3392"/>
      <c r="H125" s="3392"/>
      <c r="I125" s="3393"/>
    </row>
    <row r="126" spans="1:11" ht="18.75" customHeight="1">
      <c r="A126" s="3382" t="str">
        <f>IF(项目基本情况!B9="房地产市场价值","",MID(E111,3,LEN(E111)-2))</f>
        <v/>
      </c>
      <c r="B126" s="3382"/>
      <c r="C126" s="3382"/>
      <c r="D126" s="3419" t="str">
        <f>H111</f>
        <v>——</v>
      </c>
      <c r="E126" s="3420"/>
      <c r="F126" s="3420"/>
      <c r="G126" s="3420"/>
      <c r="H126" s="3420"/>
      <c r="I126" s="3421"/>
    </row>
    <row r="127" spans="1:11" ht="18.75" customHeight="1">
      <c r="A127" s="3280" t="s">
        <v>2319</v>
      </c>
      <c r="B127" s="3280"/>
      <c r="C127" s="3280"/>
      <c r="D127" s="3391" t="e">
        <f>NUMBERSTRING(INT(D126*10000),2)&amp;"元整"</f>
        <v>#VALUE!</v>
      </c>
      <c r="E127" s="3392"/>
      <c r="F127" s="3392"/>
      <c r="G127" s="3392"/>
      <c r="H127" s="3392"/>
      <c r="I127" s="3393"/>
    </row>
    <row r="128" spans="1:11" ht="21.75" customHeight="1">
      <c r="A128" s="3401" t="s">
        <v>2320</v>
      </c>
      <c r="B128" s="3401"/>
      <c r="C128" s="3401"/>
      <c r="D128" s="3401"/>
      <c r="E128" s="3401"/>
      <c r="F128" s="3401"/>
      <c r="G128" s="3401"/>
      <c r="H128" s="3401"/>
      <c r="I128" s="3401"/>
    </row>
    <row r="129" spans="1:35" ht="21.75" customHeight="1">
      <c r="A129" s="2523" t="s">
        <v>2321</v>
      </c>
      <c r="B129" s="2524"/>
      <c r="C129" s="2525" t="s">
        <v>2322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2323</v>
      </c>
      <c r="G135" s="2540"/>
      <c r="H135" s="2540"/>
      <c r="I135" s="2541" t="s">
        <v>2324</v>
      </c>
    </row>
    <row r="136" spans="1:35" ht="21.75" customHeight="1">
      <c r="A136" s="792"/>
      <c r="B136" s="2542"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2326</v>
      </c>
    </row>
    <row r="139" spans="1:35" ht="21.75" customHeight="1">
      <c r="A139" s="792"/>
      <c r="B139" s="2542" t="s">
        <v>2327</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2326</v>
      </c>
    </row>
    <row r="142" spans="1:35" ht="21.75" customHeight="1">
      <c r="A142" s="792"/>
      <c r="B142" s="2542"/>
      <c r="C142" s="2543"/>
      <c r="D142" s="2544"/>
      <c r="E142" s="2544"/>
      <c r="F142" s="2336"/>
      <c r="G142" s="792"/>
      <c r="H142" s="792"/>
      <c r="I142" s="792"/>
    </row>
    <row r="143" spans="1:35" s="138"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6" priority="10" stopIfTrue="1" operator="equal">
      <formula>25</formula>
    </cfRule>
  </conditionalFormatting>
  <conditionalFormatting sqref="C8:C9">
    <cfRule type="cellIs" dxfId="155" priority="9" stopIfTrue="1" operator="equal">
      <formula>15</formula>
    </cfRule>
  </conditionalFormatting>
  <conditionalFormatting sqref="C14:C16">
    <cfRule type="cellIs" dxfId="154" priority="8" stopIfTrue="1" operator="equal">
      <formula>30</formula>
    </cfRule>
  </conditionalFormatting>
  <conditionalFormatting sqref="D5:D7">
    <cfRule type="cellIs" dxfId="153" priority="7" stopIfTrue="1" operator="equal">
      <formula>25</formula>
    </cfRule>
  </conditionalFormatting>
  <conditionalFormatting sqref="D8:D9">
    <cfRule type="cellIs" dxfId="152" priority="6" stopIfTrue="1" operator="equal">
      <formula>15</formula>
    </cfRule>
  </conditionalFormatting>
  <conditionalFormatting sqref="C10:D13">
    <cfRule type="cellIs" dxfId="151" priority="5" stopIfTrue="1" operator="equal">
      <formula>15</formula>
    </cfRule>
  </conditionalFormatting>
  <conditionalFormatting sqref="D14:D16">
    <cfRule type="cellIs" dxfId="150" priority="4"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 zoomScale="90" zoomScaleNormal="90" workbookViewId="0">
      <selection activeCell="C22" sqref="C2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580" t="s">
        <v>2644</v>
      </c>
      <c r="C1" s="1633" t="s">
        <v>2532</v>
      </c>
      <c r="D1" s="1620" t="s">
        <v>3068</v>
      </c>
      <c r="E1" s="2655"/>
      <c r="F1" s="2582" t="s">
        <v>3074</v>
      </c>
      <c r="G1" s="1630" t="s">
        <v>2645</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7" customFormat="1" ht="28.5" customHeight="1" thickTop="1">
      <c r="A2" s="1616" t="s">
        <v>2329</v>
      </c>
      <c r="B2" s="1417">
        <f>IF(C2="——",ROUND(C49*D3/10000,0),ROUND(C49*D3/10000,0)-D2)</f>
        <v>0</v>
      </c>
      <c r="C2" s="2584" t="s">
        <v>70</v>
      </c>
      <c r="D2" s="1364" t="e">
        <f ca="1">SUMIF(INDIRECT("'"&amp;F2&amp;"'"&amp;"!A:A"),"承租人权益价值",INDIRECT("'"&amp;F2&amp;"'"&amp;"!c:c"))</f>
        <v>#REF!</v>
      </c>
      <c r="E2" s="2585" t="s">
        <v>2330</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7" customFormat="1" ht="28.5" customHeight="1" thickBot="1">
      <c r="A3" s="246" t="s">
        <v>2331</v>
      </c>
      <c r="B3" s="608">
        <f>IF(C2="——",C49,ROUND(B2*10000/D3,0))</f>
        <v>57035</v>
      </c>
      <c r="C3" s="399" t="s">
        <v>2646</v>
      </c>
      <c r="D3" s="398">
        <f>IF(D1="",'数据-汇总表'!E3,SUMIF('数据-汇总表'!$C19:$C33,D1,'数据-汇总表'!$E19:$E33))</f>
        <v>0</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0" t="s">
        <v>2647</v>
      </c>
      <c r="B4" s="401"/>
      <c r="C4" s="3451" t="s">
        <v>2648</v>
      </c>
      <c r="D4" s="3452"/>
      <c r="E4" s="3453" t="s">
        <v>2649</v>
      </c>
      <c r="F4" s="3454"/>
      <c r="G4" s="3451" t="s">
        <v>2650</v>
      </c>
      <c r="H4" s="3452"/>
      <c r="I4" s="3451" t="s">
        <v>2651</v>
      </c>
      <c r="J4" s="3452"/>
      <c r="K4" s="609" t="s">
        <v>2652</v>
      </c>
      <c r="L4" s="1130"/>
      <c r="M4" s="1131"/>
      <c r="N4" s="1131"/>
      <c r="O4" s="1131"/>
      <c r="P4" s="3499" t="s">
        <v>2653</v>
      </c>
      <c r="Q4" s="3500"/>
      <c r="R4" s="3503" t="s">
        <v>2649</v>
      </c>
      <c r="S4" s="3504"/>
      <c r="T4" s="3503" t="s">
        <v>2650</v>
      </c>
      <c r="U4" s="3504"/>
      <c r="V4" s="3468" t="s">
        <v>2651</v>
      </c>
      <c r="W4" s="3468"/>
      <c r="X4" s="1812"/>
      <c r="Y4" s="3503" t="s">
        <v>2653</v>
      </c>
      <c r="Z4" s="3504"/>
      <c r="AA4" s="3498" t="s">
        <v>2649</v>
      </c>
      <c r="AB4" s="3468" t="s">
        <v>2650</v>
      </c>
      <c r="AC4" s="3498" t="s">
        <v>2651</v>
      </c>
    </row>
    <row r="5" spans="1:29" ht="15">
      <c r="A5" s="403"/>
      <c r="B5" s="404"/>
      <c r="C5" s="3477" t="s">
        <v>2544</v>
      </c>
      <c r="D5" s="3472"/>
      <c r="E5" s="3471" t="s">
        <v>3171</v>
      </c>
      <c r="F5" s="3472"/>
      <c r="G5" s="3471" t="s">
        <v>3109</v>
      </c>
      <c r="H5" s="3472"/>
      <c r="I5" s="3471" t="s">
        <v>3172</v>
      </c>
      <c r="J5" s="3472"/>
      <c r="K5" s="609"/>
      <c r="L5" s="1130"/>
      <c r="M5" s="1131"/>
      <c r="N5" s="1131"/>
      <c r="O5" s="1131"/>
      <c r="P5" s="3501"/>
      <c r="Q5" s="3458"/>
      <c r="R5" s="3463"/>
      <c r="S5" s="3464"/>
      <c r="T5" s="3463"/>
      <c r="U5" s="3464"/>
      <c r="V5" s="3468"/>
      <c r="W5" s="3468"/>
      <c r="X5" s="1812"/>
      <c r="Y5" s="3463"/>
      <c r="Z5" s="3464"/>
      <c r="AA5" s="3481"/>
      <c r="AB5" s="3468"/>
      <c r="AC5" s="3481"/>
    </row>
    <row r="6" spans="1:29" ht="15.75" thickBot="1">
      <c r="A6" s="405"/>
      <c r="B6" s="406"/>
      <c r="C6" s="3469" t="s">
        <v>2548</v>
      </c>
      <c r="D6" s="3470"/>
      <c r="E6" s="3478" t="s">
        <v>2548</v>
      </c>
      <c r="F6" s="3479"/>
      <c r="G6" s="3469" t="s">
        <v>2548</v>
      </c>
      <c r="H6" s="3470"/>
      <c r="I6" s="3469" t="s">
        <v>2548</v>
      </c>
      <c r="J6" s="3470"/>
      <c r="K6" s="609" t="s">
        <v>2549</v>
      </c>
      <c r="L6" s="1130"/>
      <c r="M6" s="1131"/>
      <c r="N6" s="1131"/>
      <c r="O6" s="1131"/>
      <c r="P6" s="3502"/>
      <c r="Q6" s="3460"/>
      <c r="R6" s="3463"/>
      <c r="S6" s="3464"/>
      <c r="T6" s="3465"/>
      <c r="U6" s="3466"/>
      <c r="V6" s="3468"/>
      <c r="W6" s="3468"/>
      <c r="X6" s="1812"/>
      <c r="Y6" s="3465"/>
      <c r="Z6" s="3466"/>
      <c r="AA6" s="3482"/>
      <c r="AB6" s="3468"/>
      <c r="AC6" s="3482"/>
    </row>
    <row r="7" spans="1:29" s="116" customFormat="1" ht="15.75" thickBot="1">
      <c r="A7" s="407" t="s">
        <v>2550</v>
      </c>
      <c r="B7" s="408"/>
      <c r="C7" s="409">
        <f>'数据-取费表'!B2</f>
        <v>43553</v>
      </c>
      <c r="D7" s="410">
        <v>100</v>
      </c>
      <c r="E7" s="411">
        <v>43375</v>
      </c>
      <c r="F7" s="412">
        <f>SUMIF(58:58,YEAR(E7)&amp;"-"&amp;MONTH(E7),59:59)</f>
        <v>98</v>
      </c>
      <c r="G7" s="411">
        <v>43358</v>
      </c>
      <c r="H7" s="410">
        <f>SUMIF(58:58,YEAR(G7)&amp;"-"&amp;MONTH(G7),59:59)</f>
        <v>97</v>
      </c>
      <c r="I7" s="411">
        <v>43372</v>
      </c>
      <c r="J7" s="410">
        <f>SUMIF(58:58,YEAR(I7)&amp;"-"&amp;MONTH(I7),59:59)</f>
        <v>97</v>
      </c>
      <c r="K7" s="610"/>
      <c r="L7" s="1132"/>
      <c r="M7" s="1133"/>
      <c r="N7" s="1133"/>
      <c r="O7" s="1133"/>
      <c r="P7" s="3475" t="s">
        <v>2551</v>
      </c>
      <c r="Q7" s="3476"/>
      <c r="R7" s="767" t="s">
        <v>17</v>
      </c>
      <c r="S7" s="768">
        <f t="shared" ref="S7:S15" si="0">F7</f>
        <v>98</v>
      </c>
      <c r="T7" s="767" t="s">
        <v>17</v>
      </c>
      <c r="U7" s="768">
        <f t="shared" ref="U7:U15" si="1">H7</f>
        <v>97</v>
      </c>
      <c r="V7" s="767" t="s">
        <v>17</v>
      </c>
      <c r="W7" s="768">
        <f t="shared" ref="W7:W15" si="2">J7</f>
        <v>97</v>
      </c>
      <c r="X7" s="769"/>
      <c r="Y7" s="3475" t="s">
        <v>2551</v>
      </c>
      <c r="Z7" s="3474"/>
      <c r="AA7" s="770">
        <f>D7/F7</f>
        <v>1.0204081632653061</v>
      </c>
      <c r="AB7" s="770">
        <f>D7/H7</f>
        <v>1.0309278350515463</v>
      </c>
      <c r="AC7" s="770">
        <f>D7/J7</f>
        <v>1.0309278350515463</v>
      </c>
    </row>
    <row r="8" spans="1:29" s="116" customFormat="1" ht="15.75" thickBot="1">
      <c r="A8" s="407" t="s">
        <v>2552</v>
      </c>
      <c r="B8" s="408"/>
      <c r="C8" s="413" t="s">
        <v>2654</v>
      </c>
      <c r="D8" s="410">
        <v>100</v>
      </c>
      <c r="E8" s="413" t="s">
        <v>3110</v>
      </c>
      <c r="F8" s="412">
        <f>SUMIF(61:61,E8,62:62)-SUMIF(61:61,C8,62:62)+100</f>
        <v>100</v>
      </c>
      <c r="G8" s="413" t="s">
        <v>3110</v>
      </c>
      <c r="H8" s="410">
        <f>SUMIF(61:61,G8,62:62)-SUMIF(61:61,C8,62:62)+100</f>
        <v>100</v>
      </c>
      <c r="I8" s="413" t="s">
        <v>3110</v>
      </c>
      <c r="J8" s="410">
        <f>SUMIF(61:61,I8,62:62)-SUMIF(61:61,C8,62:62)+100</f>
        <v>100</v>
      </c>
      <c r="K8" s="610"/>
      <c r="L8" s="1132"/>
      <c r="M8" s="1133"/>
      <c r="N8" s="1133"/>
      <c r="O8" s="1133"/>
      <c r="P8" s="3475" t="s">
        <v>2554</v>
      </c>
      <c r="Q8" s="3474"/>
      <c r="R8" s="767" t="s">
        <v>17</v>
      </c>
      <c r="S8" s="768">
        <f t="shared" si="0"/>
        <v>100</v>
      </c>
      <c r="T8" s="767" t="s">
        <v>17</v>
      </c>
      <c r="U8" s="768">
        <f t="shared" si="1"/>
        <v>100</v>
      </c>
      <c r="V8" s="767" t="s">
        <v>17</v>
      </c>
      <c r="W8" s="768">
        <f t="shared" si="2"/>
        <v>100</v>
      </c>
      <c r="X8" s="769"/>
      <c r="Y8" s="3475" t="s">
        <v>2554</v>
      </c>
      <c r="Z8" s="3474"/>
      <c r="AA8" s="770">
        <f t="shared" ref="AA8:AA46" si="3">D8/F8</f>
        <v>1</v>
      </c>
      <c r="AB8" s="770">
        <f t="shared" ref="AB8:AB46" si="4">D8/H8</f>
        <v>1</v>
      </c>
      <c r="AC8" s="770">
        <f t="shared" ref="AC8:AC46" si="5">D8/J8</f>
        <v>1</v>
      </c>
    </row>
    <row r="9" spans="1:29" s="116" customFormat="1">
      <c r="A9" s="414" t="s">
        <v>2555</v>
      </c>
      <c r="B9" s="70" t="s">
        <v>2556</v>
      </c>
      <c r="C9" s="2995" t="s">
        <v>3173</v>
      </c>
      <c r="D9" s="134">
        <v>100</v>
      </c>
      <c r="E9" s="416" t="s">
        <v>1373</v>
      </c>
      <c r="F9" s="417">
        <f>SUMIF(63:63,E9,64:64)-SUMIF(63:63,C9,64:64)+100</f>
        <v>100</v>
      </c>
      <c r="G9" s="416" t="s">
        <v>1373</v>
      </c>
      <c r="H9" s="134">
        <f>SUMIF(63:63,G9,64:64)-SUMIF(63:63,C9,64:64)+100</f>
        <v>100</v>
      </c>
      <c r="I9" s="416" t="s">
        <v>1373</v>
      </c>
      <c r="J9" s="134">
        <f>SUMIF(63:63,I9,64:64)-SUMIF(63:63,C9,64:64)+100</f>
        <v>100</v>
      </c>
      <c r="K9" s="610"/>
      <c r="L9" s="1132"/>
      <c r="M9" s="1133"/>
      <c r="N9" s="1133"/>
      <c r="O9" s="1133"/>
      <c r="P9" s="3433" t="s">
        <v>2557</v>
      </c>
      <c r="Q9" s="1794" t="str">
        <f t="shared" ref="Q9:Q15" si="6">B9</f>
        <v>用途</v>
      </c>
      <c r="R9" s="767" t="s">
        <v>17</v>
      </c>
      <c r="S9" s="768">
        <f t="shared" si="0"/>
        <v>100</v>
      </c>
      <c r="T9" s="767" t="s">
        <v>17</v>
      </c>
      <c r="U9" s="768">
        <f t="shared" si="1"/>
        <v>100</v>
      </c>
      <c r="V9" s="767" t="s">
        <v>17</v>
      </c>
      <c r="W9" s="768">
        <f t="shared" si="2"/>
        <v>100</v>
      </c>
      <c r="X9" s="769"/>
      <c r="Y9" s="3280" t="s">
        <v>2558</v>
      </c>
      <c r="Z9" s="54" t="str">
        <f t="shared" ref="Z9:Z15" si="7">Q9</f>
        <v>用途</v>
      </c>
      <c r="AA9" s="770">
        <f t="shared" si="3"/>
        <v>1</v>
      </c>
      <c r="AB9" s="770">
        <f t="shared" si="4"/>
        <v>1</v>
      </c>
      <c r="AC9" s="770">
        <f t="shared" si="5"/>
        <v>1</v>
      </c>
    </row>
    <row r="10" spans="1:29" s="426" customFormat="1" ht="27">
      <c r="A10" s="420"/>
      <c r="B10" s="421" t="s">
        <v>2559</v>
      </c>
      <c r="C10" s="422" t="s">
        <v>3174</v>
      </c>
      <c r="D10" s="135">
        <v>100</v>
      </c>
      <c r="E10" s="423" t="s">
        <v>3174</v>
      </c>
      <c r="F10" s="424">
        <f>SUMIF(65:65,E10,66:66)-SUMIF(65:65,C10,66:66)+100</f>
        <v>100</v>
      </c>
      <c r="G10" s="422" t="s">
        <v>3174</v>
      </c>
      <c r="H10" s="135">
        <f>SUMIF(65:65,G10,66:66)-SUMIF(65:65,C10,66:66)+100</f>
        <v>100</v>
      </c>
      <c r="I10" s="422" t="s">
        <v>3174</v>
      </c>
      <c r="J10" s="135">
        <f>SUMIF(65:65,I10,66:66)-SUMIF(65:65,C10,66:66)+100</f>
        <v>100</v>
      </c>
      <c r="K10" s="611">
        <v>2</v>
      </c>
      <c r="L10" s="1135"/>
      <c r="M10" s="1136"/>
      <c r="N10" s="1136"/>
      <c r="O10" s="1136"/>
      <c r="P10" s="3433"/>
      <c r="Q10" s="1794" t="str">
        <f t="shared" si="6"/>
        <v>土地使用年限（年）</v>
      </c>
      <c r="R10" s="767" t="s">
        <v>17</v>
      </c>
      <c r="S10" s="768">
        <f t="shared" si="0"/>
        <v>100</v>
      </c>
      <c r="T10" s="767" t="s">
        <v>17</v>
      </c>
      <c r="U10" s="768">
        <f t="shared" si="1"/>
        <v>100</v>
      </c>
      <c r="V10" s="767" t="s">
        <v>17</v>
      </c>
      <c r="W10" s="768">
        <f t="shared" si="2"/>
        <v>100</v>
      </c>
      <c r="X10" s="769"/>
      <c r="Y10" s="3280"/>
      <c r="Z10" s="54" t="str">
        <f t="shared" si="7"/>
        <v>土地使用年限（年）</v>
      </c>
      <c r="AA10" s="770">
        <f t="shared" si="3"/>
        <v>1</v>
      </c>
      <c r="AB10" s="770">
        <f t="shared" si="4"/>
        <v>1</v>
      </c>
      <c r="AC10" s="770">
        <f t="shared" si="5"/>
        <v>1</v>
      </c>
    </row>
    <row r="11" spans="1:29" ht="15">
      <c r="A11" s="427"/>
      <c r="B11" s="421" t="s">
        <v>2560</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8"/>
      <c r="M11" s="1131"/>
      <c r="N11" s="1131"/>
      <c r="O11" s="1131"/>
      <c r="P11" s="3433"/>
      <c r="Q11" s="1794" t="str">
        <f t="shared" si="6"/>
        <v>容积率</v>
      </c>
      <c r="R11" s="767" t="s">
        <v>17</v>
      </c>
      <c r="S11" s="768">
        <f t="shared" si="0"/>
        <v>100</v>
      </c>
      <c r="T11" s="767" t="s">
        <v>17</v>
      </c>
      <c r="U11" s="768">
        <f t="shared" si="1"/>
        <v>100</v>
      </c>
      <c r="V11" s="767" t="s">
        <v>17</v>
      </c>
      <c r="W11" s="768">
        <f t="shared" si="2"/>
        <v>100</v>
      </c>
      <c r="X11" s="769"/>
      <c r="Y11" s="3280"/>
      <c r="Z11" s="54" t="str">
        <f t="shared" si="7"/>
        <v>容积率</v>
      </c>
      <c r="AA11" s="770">
        <f t="shared" si="3"/>
        <v>1</v>
      </c>
      <c r="AB11" s="770">
        <f t="shared" si="4"/>
        <v>1</v>
      </c>
      <c r="AC11" s="770">
        <f t="shared" si="5"/>
        <v>1</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433"/>
      <c r="Q12" s="1794">
        <f t="shared" si="6"/>
        <v>111</v>
      </c>
      <c r="R12" s="767" t="s">
        <v>17</v>
      </c>
      <c r="S12" s="768">
        <f t="shared" si="0"/>
        <v>100</v>
      </c>
      <c r="T12" s="767" t="s">
        <v>17</v>
      </c>
      <c r="U12" s="768">
        <f t="shared" si="1"/>
        <v>100</v>
      </c>
      <c r="V12" s="767" t="s">
        <v>17</v>
      </c>
      <c r="W12" s="768">
        <f t="shared" si="2"/>
        <v>100</v>
      </c>
      <c r="X12" s="769"/>
      <c r="Y12" s="3280"/>
      <c r="Z12" s="54">
        <f t="shared" si="7"/>
        <v>111</v>
      </c>
      <c r="AA12" s="770">
        <f>D12/F12</f>
        <v>1</v>
      </c>
      <c r="AB12" s="770">
        <f>D12/H12</f>
        <v>1</v>
      </c>
      <c r="AC12" s="770">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433"/>
      <c r="Q13" s="1794">
        <f t="shared" si="6"/>
        <v>111</v>
      </c>
      <c r="R13" s="767" t="s">
        <v>17</v>
      </c>
      <c r="S13" s="768">
        <f t="shared" si="0"/>
        <v>100</v>
      </c>
      <c r="T13" s="767" t="s">
        <v>17</v>
      </c>
      <c r="U13" s="768">
        <f t="shared" si="1"/>
        <v>100</v>
      </c>
      <c r="V13" s="767" t="s">
        <v>17</v>
      </c>
      <c r="W13" s="768">
        <f t="shared" si="2"/>
        <v>100</v>
      </c>
      <c r="X13" s="769"/>
      <c r="Y13" s="3280"/>
      <c r="Z13" s="54">
        <f t="shared" si="7"/>
        <v>111</v>
      </c>
      <c r="AA13" s="770">
        <f t="shared" si="3"/>
        <v>1</v>
      </c>
      <c r="AB13" s="770">
        <f t="shared" si="4"/>
        <v>1</v>
      </c>
      <c r="AC13" s="770">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433"/>
      <c r="Q14" s="1794">
        <f t="shared" si="6"/>
        <v>111</v>
      </c>
      <c r="R14" s="767" t="s">
        <v>17</v>
      </c>
      <c r="S14" s="768">
        <f t="shared" si="0"/>
        <v>100</v>
      </c>
      <c r="T14" s="767" t="s">
        <v>17</v>
      </c>
      <c r="U14" s="768">
        <f t="shared" si="1"/>
        <v>100</v>
      </c>
      <c r="V14" s="767" t="s">
        <v>17</v>
      </c>
      <c r="W14" s="768">
        <f t="shared" si="2"/>
        <v>100</v>
      </c>
      <c r="X14" s="769"/>
      <c r="Y14" s="3280"/>
      <c r="Z14" s="54">
        <f t="shared" si="7"/>
        <v>111</v>
      </c>
      <c r="AA14" s="770">
        <f t="shared" si="3"/>
        <v>1</v>
      </c>
      <c r="AB14" s="770">
        <f t="shared" si="4"/>
        <v>1</v>
      </c>
      <c r="AC14" s="770">
        <f t="shared" si="5"/>
        <v>1</v>
      </c>
    </row>
    <row r="15" spans="1:29" ht="71.25">
      <c r="A15" s="439" t="s">
        <v>2561</v>
      </c>
      <c r="B15" s="68" t="s">
        <v>2655</v>
      </c>
      <c r="C15" s="2601" t="str">
        <f>估价对象房地状况!C4</f>
        <v>估价对象位于XX商圈，周边商业氛围成熟，人流量大，商业繁华度好</v>
      </c>
      <c r="D15" s="440">
        <v>100</v>
      </c>
      <c r="E15" s="441"/>
      <c r="F15" s="442">
        <f>SUMIF(76:76,E16,77:77)-SUMIF(76:76,C16,77:77)+100</f>
        <v>98</v>
      </c>
      <c r="G15" s="443"/>
      <c r="H15" s="440">
        <f>SUMIF(76:76,G16,77:77)-SUMIF(76:76,C16,77:77)+100</f>
        <v>98</v>
      </c>
      <c r="I15" s="441"/>
      <c r="J15" s="440">
        <f>SUMIF(76:76,I16,77:77)-SUMIF(76:76,C16,77:77)+100</f>
        <v>98</v>
      </c>
      <c r="K15" s="613">
        <v>2</v>
      </c>
      <c r="L15" s="1140"/>
      <c r="M15" s="1131"/>
      <c r="N15" s="1131"/>
      <c r="O15" s="1131"/>
      <c r="P15" s="3439" t="s">
        <v>2562</v>
      </c>
      <c r="Q15" s="1809" t="str">
        <f t="shared" si="6"/>
        <v>商业繁华度</v>
      </c>
      <c r="R15" s="771" t="s">
        <v>17</v>
      </c>
      <c r="S15" s="772">
        <f t="shared" si="0"/>
        <v>98</v>
      </c>
      <c r="T15" s="771" t="s">
        <v>17</v>
      </c>
      <c r="U15" s="772">
        <f t="shared" si="1"/>
        <v>98</v>
      </c>
      <c r="V15" s="771" t="s">
        <v>17</v>
      </c>
      <c r="W15" s="772">
        <f t="shared" si="2"/>
        <v>98</v>
      </c>
      <c r="X15" s="1812"/>
      <c r="Y15" s="3441" t="s">
        <v>2562</v>
      </c>
      <c r="Z15" s="1813" t="str">
        <f t="shared" si="7"/>
        <v>商业繁华度</v>
      </c>
      <c r="AA15" s="1810">
        <f t="shared" si="3"/>
        <v>1.0204081632653061</v>
      </c>
      <c r="AB15" s="1810">
        <f t="shared" si="4"/>
        <v>1.0204081632653061</v>
      </c>
      <c r="AC15" s="1810">
        <f t="shared" si="5"/>
        <v>1.0204081632653061</v>
      </c>
    </row>
    <row r="16" spans="1:29" ht="15">
      <c r="A16" s="427"/>
      <c r="B16" s="445"/>
      <c r="C16" s="446" t="s">
        <v>3114</v>
      </c>
      <c r="D16" s="447"/>
      <c r="E16" s="446" t="s">
        <v>3113</v>
      </c>
      <c r="F16" s="448"/>
      <c r="G16" s="446" t="s">
        <v>3113</v>
      </c>
      <c r="H16" s="449"/>
      <c r="I16" s="446" t="s">
        <v>3113</v>
      </c>
      <c r="J16" s="447"/>
      <c r="K16" s="614"/>
      <c r="L16" s="1140"/>
      <c r="M16" s="1131"/>
      <c r="N16" s="1131"/>
      <c r="O16" s="1131"/>
      <c r="P16" s="3440"/>
      <c r="Q16" s="1809"/>
      <c r="R16" s="771"/>
      <c r="S16" s="772"/>
      <c r="T16" s="771"/>
      <c r="U16" s="772"/>
      <c r="V16" s="771"/>
      <c r="W16" s="772"/>
      <c r="X16" s="1812"/>
      <c r="Y16" s="3442"/>
      <c r="Z16" s="1813"/>
      <c r="AA16" s="1810">
        <v>1</v>
      </c>
      <c r="AB16" s="1810">
        <v>1</v>
      </c>
      <c r="AC16" s="1810">
        <v>1</v>
      </c>
    </row>
    <row r="17" spans="1:29" ht="85.5">
      <c r="A17" s="427"/>
      <c r="B17" s="450" t="s">
        <v>2097</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2</v>
      </c>
      <c r="L17" s="1140"/>
      <c r="M17" s="1131"/>
      <c r="N17" s="1131"/>
      <c r="O17" s="1131"/>
      <c r="P17" s="3440"/>
      <c r="Q17" s="1809" t="str">
        <f>B17</f>
        <v>交通便捷度</v>
      </c>
      <c r="R17" s="771" t="s">
        <v>17</v>
      </c>
      <c r="S17" s="772">
        <f>F17</f>
        <v>100</v>
      </c>
      <c r="T17" s="771" t="s">
        <v>17</v>
      </c>
      <c r="U17" s="772">
        <f>H17</f>
        <v>100</v>
      </c>
      <c r="V17" s="771" t="s">
        <v>17</v>
      </c>
      <c r="W17" s="772">
        <f>J17</f>
        <v>100</v>
      </c>
      <c r="X17" s="1812"/>
      <c r="Y17" s="3442"/>
      <c r="Z17" s="1813" t="str">
        <f>Q17</f>
        <v>交通便捷度</v>
      </c>
      <c r="AA17" s="1810">
        <f t="shared" si="3"/>
        <v>1</v>
      </c>
      <c r="AB17" s="1810">
        <f t="shared" si="4"/>
        <v>1</v>
      </c>
      <c r="AC17" s="1810">
        <f t="shared" si="5"/>
        <v>1</v>
      </c>
    </row>
    <row r="18" spans="1:29" ht="15">
      <c r="A18" s="427"/>
      <c r="B18" s="455"/>
      <c r="C18" s="2606" t="s">
        <v>3113</v>
      </c>
      <c r="D18" s="449"/>
      <c r="E18" s="2608" t="s">
        <v>3113</v>
      </c>
      <c r="F18" s="452"/>
      <c r="G18" s="2607" t="s">
        <v>3113</v>
      </c>
      <c r="H18" s="447"/>
      <c r="I18" s="2608" t="s">
        <v>3113</v>
      </c>
      <c r="J18" s="447"/>
      <c r="K18" s="614"/>
      <c r="L18" s="1140"/>
      <c r="M18" s="1131"/>
      <c r="N18" s="1131"/>
      <c r="O18" s="1131"/>
      <c r="P18" s="3440"/>
      <c r="Q18" s="1809"/>
      <c r="R18" s="771"/>
      <c r="S18" s="772"/>
      <c r="T18" s="771"/>
      <c r="U18" s="772"/>
      <c r="V18" s="771"/>
      <c r="W18" s="772"/>
      <c r="X18" s="1812"/>
      <c r="Y18" s="3442"/>
      <c r="Z18" s="1813"/>
      <c r="AA18" s="1810">
        <v>1</v>
      </c>
      <c r="AB18" s="1810">
        <v>1</v>
      </c>
      <c r="AC18" s="1810">
        <v>1</v>
      </c>
    </row>
    <row r="19" spans="1:29" ht="42.75">
      <c r="A19" s="427"/>
      <c r="B19" s="450" t="s">
        <v>2656</v>
      </c>
      <c r="C19" s="2605" t="str">
        <f>估价对象房地状况!C7</f>
        <v>估价对象所在区域公共配套设施齐备情况</v>
      </c>
      <c r="D19" s="454">
        <v>100</v>
      </c>
      <c r="E19" s="456"/>
      <c r="F19" s="457">
        <f>SUMIF(80:80,E20,81:81)-SUMIF(80:80,C20,81:81)+100</f>
        <v>98</v>
      </c>
      <c r="G19" s="458"/>
      <c r="H19" s="449">
        <f>SUMIF(80:80,G20,81:81)-SUMIF(80:80,C20,81:81)+100</f>
        <v>98</v>
      </c>
      <c r="I19" s="456"/>
      <c r="J19" s="449">
        <f>SUMIF(80:80,I20,81:81)-SUMIF(80:80,C20,81:81)+100</f>
        <v>98</v>
      </c>
      <c r="K19" s="613">
        <v>2</v>
      </c>
      <c r="L19" s="1140"/>
      <c r="M19" s="1131"/>
      <c r="N19" s="1131"/>
      <c r="O19" s="1131"/>
      <c r="P19" s="3440"/>
      <c r="Q19" s="1809" t="str">
        <f>B19</f>
        <v>公共配套设施</v>
      </c>
      <c r="R19" s="771" t="s">
        <v>17</v>
      </c>
      <c r="S19" s="772">
        <f>F19</f>
        <v>98</v>
      </c>
      <c r="T19" s="771" t="s">
        <v>17</v>
      </c>
      <c r="U19" s="772">
        <f>H19</f>
        <v>98</v>
      </c>
      <c r="V19" s="771" t="s">
        <v>17</v>
      </c>
      <c r="W19" s="772">
        <f>J19</f>
        <v>98</v>
      </c>
      <c r="X19" s="1812"/>
      <c r="Y19" s="3442"/>
      <c r="Z19" s="1813" t="str">
        <f>Q19</f>
        <v>公共配套设施</v>
      </c>
      <c r="AA19" s="1810">
        <f t="shared" si="3"/>
        <v>1.0204081632653061</v>
      </c>
      <c r="AB19" s="1810">
        <f t="shared" si="4"/>
        <v>1.0204081632653061</v>
      </c>
      <c r="AC19" s="1810">
        <f t="shared" si="5"/>
        <v>1.0204081632653061</v>
      </c>
    </row>
    <row r="20" spans="1:29" ht="15">
      <c r="A20" s="427"/>
      <c r="B20" s="455"/>
      <c r="C20" s="446" t="s">
        <v>3114</v>
      </c>
      <c r="D20" s="447"/>
      <c r="E20" s="2603" t="s">
        <v>3113</v>
      </c>
      <c r="F20" s="448"/>
      <c r="G20" s="2602" t="s">
        <v>3113</v>
      </c>
      <c r="H20" s="447"/>
      <c r="I20" s="2603" t="s">
        <v>3113</v>
      </c>
      <c r="J20" s="447"/>
      <c r="K20" s="614"/>
      <c r="L20" s="1140"/>
      <c r="M20" s="1131"/>
      <c r="N20" s="1131"/>
      <c r="O20" s="1131"/>
      <c r="P20" s="3440"/>
      <c r="Q20" s="1809"/>
      <c r="R20" s="771"/>
      <c r="S20" s="772"/>
      <c r="T20" s="771"/>
      <c r="U20" s="772"/>
      <c r="V20" s="771"/>
      <c r="W20" s="772"/>
      <c r="X20" s="1812"/>
      <c r="Y20" s="3442"/>
      <c r="Z20" s="1813"/>
      <c r="AA20" s="1810">
        <v>1</v>
      </c>
      <c r="AB20" s="1810">
        <v>1</v>
      </c>
      <c r="AC20" s="1810">
        <v>1</v>
      </c>
    </row>
    <row r="21" spans="1:29" ht="28.5">
      <c r="A21" s="427"/>
      <c r="B21" s="1383" t="s">
        <v>2657</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2</v>
      </c>
      <c r="L21" s="1140"/>
      <c r="M21" s="1131"/>
      <c r="N21" s="1131"/>
      <c r="O21" s="1131"/>
      <c r="P21" s="3440"/>
      <c r="Q21" s="1809" t="str">
        <f>B21</f>
        <v>基础设施水平</v>
      </c>
      <c r="R21" s="771" t="s">
        <v>17</v>
      </c>
      <c r="S21" s="772">
        <f>F21</f>
        <v>100</v>
      </c>
      <c r="T21" s="771" t="s">
        <v>17</v>
      </c>
      <c r="U21" s="772">
        <f>H21</f>
        <v>100</v>
      </c>
      <c r="V21" s="771" t="s">
        <v>17</v>
      </c>
      <c r="W21" s="772">
        <f>J21</f>
        <v>100</v>
      </c>
      <c r="X21" s="1812"/>
      <c r="Y21" s="3442"/>
      <c r="Z21" s="1813" t="str">
        <f>Q21</f>
        <v>基础设施水平</v>
      </c>
      <c r="AA21" s="1810">
        <f t="shared" ref="AA21" si="8">D21/F21</f>
        <v>1</v>
      </c>
      <c r="AB21" s="1810">
        <f t="shared" ref="AB21" si="9">D21/H21</f>
        <v>1</v>
      </c>
      <c r="AC21" s="1810">
        <f t="shared" ref="AC21" si="10">D21/J21</f>
        <v>1</v>
      </c>
    </row>
    <row r="22" spans="1:29" ht="15">
      <c r="A22" s="427"/>
      <c r="B22" s="1383"/>
      <c r="C22" s="3064" t="s">
        <v>3097</v>
      </c>
      <c r="D22" s="447"/>
      <c r="E22" s="446" t="s">
        <v>3097</v>
      </c>
      <c r="F22" s="448"/>
      <c r="G22" s="446" t="s">
        <v>3097</v>
      </c>
      <c r="H22" s="447"/>
      <c r="I22" s="446" t="s">
        <v>3097</v>
      </c>
      <c r="J22" s="447"/>
      <c r="K22" s="1382"/>
      <c r="L22" s="1140"/>
      <c r="M22" s="1131"/>
      <c r="N22" s="1131"/>
      <c r="O22" s="1131"/>
      <c r="P22" s="3440"/>
      <c r="Q22" s="1809"/>
      <c r="R22" s="771"/>
      <c r="S22" s="772"/>
      <c r="T22" s="771"/>
      <c r="U22" s="772"/>
      <c r="V22" s="771"/>
      <c r="W22" s="772"/>
      <c r="X22" s="1812"/>
      <c r="Y22" s="3442"/>
      <c r="Z22" s="1813"/>
      <c r="AA22" s="1810">
        <v>1</v>
      </c>
      <c r="AB22" s="1810">
        <v>1</v>
      </c>
      <c r="AC22" s="1810">
        <v>1</v>
      </c>
    </row>
    <row r="23" spans="1:29" ht="57">
      <c r="A23" s="427"/>
      <c r="B23" s="450" t="s">
        <v>2102</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2</v>
      </c>
      <c r="L23" s="1140"/>
      <c r="M23" s="1131"/>
      <c r="N23" s="1131"/>
      <c r="O23" s="1131"/>
      <c r="P23" s="3440"/>
      <c r="Q23" s="1809" t="str">
        <f>B23</f>
        <v>自然及人文环境</v>
      </c>
      <c r="R23" s="771" t="s">
        <v>17</v>
      </c>
      <c r="S23" s="772">
        <f>F23</f>
        <v>100</v>
      </c>
      <c r="T23" s="771" t="s">
        <v>17</v>
      </c>
      <c r="U23" s="772">
        <f>H23</f>
        <v>100</v>
      </c>
      <c r="V23" s="771" t="s">
        <v>17</v>
      </c>
      <c r="W23" s="772">
        <f>J23</f>
        <v>100</v>
      </c>
      <c r="X23" s="1812"/>
      <c r="Y23" s="3442"/>
      <c r="Z23" s="1813" t="str">
        <f>Q23</f>
        <v>自然及人文环境</v>
      </c>
      <c r="AA23" s="1810">
        <f t="shared" si="3"/>
        <v>1</v>
      </c>
      <c r="AB23" s="1810">
        <f t="shared" si="4"/>
        <v>1</v>
      </c>
      <c r="AC23" s="1810">
        <f t="shared" si="5"/>
        <v>1</v>
      </c>
    </row>
    <row r="24" spans="1:29" ht="15">
      <c r="A24" s="427"/>
      <c r="B24" s="455"/>
      <c r="C24" s="446" t="s">
        <v>3113</v>
      </c>
      <c r="D24" s="447"/>
      <c r="E24" s="2603" t="s">
        <v>3113</v>
      </c>
      <c r="F24" s="448"/>
      <c r="G24" s="2602" t="s">
        <v>3113</v>
      </c>
      <c r="H24" s="447"/>
      <c r="I24" s="2603" t="s">
        <v>3113</v>
      </c>
      <c r="J24" s="447"/>
      <c r="K24" s="614"/>
      <c r="L24" s="1140"/>
      <c r="M24" s="1131"/>
      <c r="N24" s="1131"/>
      <c r="O24" s="1131"/>
      <c r="P24" s="3440"/>
      <c r="Q24" s="1809"/>
      <c r="R24" s="771"/>
      <c r="S24" s="772"/>
      <c r="T24" s="771"/>
      <c r="U24" s="772"/>
      <c r="V24" s="771"/>
      <c r="W24" s="772"/>
      <c r="X24" s="1812"/>
      <c r="Y24" s="3442"/>
      <c r="Z24" s="1813"/>
      <c r="AA24" s="1810">
        <v>1</v>
      </c>
      <c r="AB24" s="1810">
        <v>1</v>
      </c>
      <c r="AC24" s="1810">
        <v>1</v>
      </c>
    </row>
    <row r="25" spans="1:29" ht="15">
      <c r="A25" s="427"/>
      <c r="B25" s="421" t="s">
        <v>2658</v>
      </c>
      <c r="C25" s="615" t="s">
        <v>3134</v>
      </c>
      <c r="D25" s="434">
        <v>100</v>
      </c>
      <c r="E25" s="615" t="s">
        <v>3132</v>
      </c>
      <c r="F25" s="460">
        <f>SUMIF(86:86,E25,87:87)-SUMIF(86:86,C25,87:87)+100</f>
        <v>104</v>
      </c>
      <c r="G25" s="615" t="s">
        <v>3134</v>
      </c>
      <c r="H25" s="434">
        <f>SUMIF(86:86,G25,87:87)-SUMIF(86:86,C25,87:87)+100</f>
        <v>100</v>
      </c>
      <c r="I25" s="615" t="s">
        <v>3134</v>
      </c>
      <c r="J25" s="434">
        <f>SUMIF(86:86,I25,87:87)-SUMIF(86:86,C25,87:87)+100</f>
        <v>100</v>
      </c>
      <c r="K25" s="611">
        <v>2</v>
      </c>
      <c r="L25" s="1140"/>
      <c r="M25" s="1131"/>
      <c r="N25" s="1131"/>
      <c r="O25" s="1131"/>
      <c r="P25" s="3440"/>
      <c r="Q25" s="1809" t="str">
        <f t="shared" ref="Q25:Q46" si="11">B25</f>
        <v>临街状况</v>
      </c>
      <c r="R25" s="771" t="s">
        <v>17</v>
      </c>
      <c r="S25" s="772">
        <f>F25</f>
        <v>104</v>
      </c>
      <c r="T25" s="771" t="s">
        <v>17</v>
      </c>
      <c r="U25" s="772">
        <f>H25</f>
        <v>100</v>
      </c>
      <c r="V25" s="771" t="s">
        <v>17</v>
      </c>
      <c r="W25" s="772">
        <f>J25</f>
        <v>100</v>
      </c>
      <c r="X25" s="1812"/>
      <c r="Y25" s="3442"/>
      <c r="Z25" s="1813" t="str">
        <f>Q25</f>
        <v>临街状况</v>
      </c>
      <c r="AA25" s="1810">
        <f t="shared" si="3"/>
        <v>0.96153846153846156</v>
      </c>
      <c r="AB25" s="1810">
        <f t="shared" si="4"/>
        <v>1</v>
      </c>
      <c r="AC25" s="1810">
        <f t="shared" si="5"/>
        <v>1</v>
      </c>
    </row>
    <row r="26" spans="1:29" ht="15">
      <c r="A26" s="427"/>
      <c r="B26" s="1385" t="s">
        <v>2659</v>
      </c>
      <c r="C26" s="3014" t="s">
        <v>3175</v>
      </c>
      <c r="D26" s="434">
        <v>100</v>
      </c>
      <c r="E26" s="3014" t="s">
        <v>3176</v>
      </c>
      <c r="F26" s="460">
        <f>SUMIF(88:88,E26,89:89)-SUMIF(88:88,C26,89:89)+100</f>
        <v>103</v>
      </c>
      <c r="G26" s="3014" t="s">
        <v>3175</v>
      </c>
      <c r="H26" s="434">
        <f>SUMIF(88:88,G26,89:89)-SUMIF(88:88,C26,89:89)+100</f>
        <v>100</v>
      </c>
      <c r="I26" s="3014" t="s">
        <v>3177</v>
      </c>
      <c r="J26" s="434">
        <f>SUMIF(88:88,I26,89:89)-SUMIF(88:88,C26,89:89)+100</f>
        <v>100</v>
      </c>
      <c r="K26" s="612"/>
      <c r="L26" s="1140"/>
      <c r="M26" s="1131"/>
      <c r="N26" s="1131"/>
      <c r="O26" s="1131"/>
      <c r="P26" s="3440"/>
      <c r="Q26" s="1809" t="str">
        <f t="shared" si="11"/>
        <v>平面位置/可视性</v>
      </c>
      <c r="R26" s="771" t="s">
        <v>17</v>
      </c>
      <c r="S26" s="772">
        <f>F26</f>
        <v>103</v>
      </c>
      <c r="T26" s="771" t="s">
        <v>17</v>
      </c>
      <c r="U26" s="772">
        <f>H26</f>
        <v>100</v>
      </c>
      <c r="V26" s="771" t="s">
        <v>17</v>
      </c>
      <c r="W26" s="772">
        <f>J26</f>
        <v>100</v>
      </c>
      <c r="X26" s="1812"/>
      <c r="Y26" s="3442"/>
      <c r="Z26" s="1813" t="str">
        <f>Q26</f>
        <v>平面位置/可视性</v>
      </c>
      <c r="AA26" s="1810">
        <f t="shared" si="3"/>
        <v>0.970873786407767</v>
      </c>
      <c r="AB26" s="1810">
        <f t="shared" si="4"/>
        <v>1</v>
      </c>
      <c r="AC26" s="1810">
        <f t="shared" si="5"/>
        <v>1</v>
      </c>
    </row>
    <row r="27" spans="1:29" s="116" customFormat="1" ht="15">
      <c r="A27" s="430"/>
      <c r="B27" s="450" t="s">
        <v>2660</v>
      </c>
      <c r="C27" s="2663" t="s">
        <v>3139</v>
      </c>
      <c r="D27" s="461">
        <v>100</v>
      </c>
      <c r="E27" s="2663" t="s">
        <v>3139</v>
      </c>
      <c r="F27" s="463">
        <f>SUMIF(90:90,E27,91:91)-SUMIF(90:90,C27,91:91)+100</f>
        <v>100</v>
      </c>
      <c r="G27" s="2663" t="s">
        <v>3140</v>
      </c>
      <c r="H27" s="461">
        <f>SUMIF(90:90,G27,91:91)-SUMIF(90:90,C27,91:91)+100</f>
        <v>98</v>
      </c>
      <c r="I27" s="2663" t="s">
        <v>3140</v>
      </c>
      <c r="J27" s="461">
        <f>SUMIF(90:90,I27,91:91)-SUMIF(90:90,C27,91:91)+100</f>
        <v>98</v>
      </c>
      <c r="K27" s="611">
        <v>2</v>
      </c>
      <c r="L27" s="1132"/>
      <c r="M27" s="1133"/>
      <c r="N27" s="1133"/>
      <c r="O27" s="1133"/>
      <c r="P27" s="3440"/>
      <c r="Q27" s="1794" t="str">
        <f t="shared" si="11"/>
        <v>人流量</v>
      </c>
      <c r="R27" s="767" t="s">
        <v>17</v>
      </c>
      <c r="S27" s="768">
        <f>F27</f>
        <v>100</v>
      </c>
      <c r="T27" s="767" t="s">
        <v>17</v>
      </c>
      <c r="U27" s="768">
        <f>H27</f>
        <v>98</v>
      </c>
      <c r="V27" s="767" t="s">
        <v>17</v>
      </c>
      <c r="W27" s="768">
        <f>J27</f>
        <v>98</v>
      </c>
      <c r="X27" s="769"/>
      <c r="Y27" s="3442"/>
      <c r="Z27" s="54" t="str">
        <f>Q27</f>
        <v>人流量</v>
      </c>
      <c r="AA27" s="1810">
        <f>D27/F27</f>
        <v>1</v>
      </c>
      <c r="AB27" s="1810">
        <f>D27/H27</f>
        <v>1.0204081632653061</v>
      </c>
      <c r="AC27" s="1810">
        <f>D27/J27</f>
        <v>1.0204081632653061</v>
      </c>
    </row>
    <row r="28" spans="1:29" ht="15">
      <c r="A28" s="427"/>
      <c r="B28" s="421" t="s">
        <v>2661</v>
      </c>
      <c r="C28" s="615" t="s">
        <v>3178</v>
      </c>
      <c r="D28" s="434">
        <v>100</v>
      </c>
      <c r="E28" s="615" t="s">
        <v>3178</v>
      </c>
      <c r="F28" s="460">
        <f>SUMIF(92:92,E28,93:93)-SUMIF(92:92,C28,93:93)+100</f>
        <v>100</v>
      </c>
      <c r="G28" s="615" t="s">
        <v>3178</v>
      </c>
      <c r="H28" s="434">
        <f>SUMIF(92:92,G28,93:93)-SUMIF(92:92,C28,93:93)+100</f>
        <v>100</v>
      </c>
      <c r="I28" s="615" t="s">
        <v>3178</v>
      </c>
      <c r="J28" s="434">
        <f>SUMIF(92:92,I28,93:93)-SUMIF(92:92,C28,93:93)+100</f>
        <v>100</v>
      </c>
      <c r="K28" s="612"/>
      <c r="L28" s="1140"/>
      <c r="M28" s="1131"/>
      <c r="N28" s="1131"/>
      <c r="O28" s="1131"/>
      <c r="P28" s="3440"/>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442"/>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440"/>
      <c r="Q29" s="1809">
        <f t="shared" si="11"/>
        <v>111</v>
      </c>
      <c r="R29" s="771" t="s">
        <v>17</v>
      </c>
      <c r="S29" s="772">
        <f t="shared" si="12"/>
        <v>100</v>
      </c>
      <c r="T29" s="771" t="s">
        <v>17</v>
      </c>
      <c r="U29" s="772">
        <f t="shared" si="13"/>
        <v>100</v>
      </c>
      <c r="V29" s="771" t="s">
        <v>17</v>
      </c>
      <c r="W29" s="772">
        <f t="shared" si="14"/>
        <v>100</v>
      </c>
      <c r="X29" s="1812"/>
      <c r="Y29" s="3442"/>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440"/>
      <c r="Q30" s="1809">
        <f t="shared" si="11"/>
        <v>111</v>
      </c>
      <c r="R30" s="771" t="s">
        <v>17</v>
      </c>
      <c r="S30" s="772">
        <f t="shared" si="12"/>
        <v>100</v>
      </c>
      <c r="T30" s="771" t="s">
        <v>17</v>
      </c>
      <c r="U30" s="772">
        <f t="shared" si="13"/>
        <v>100</v>
      </c>
      <c r="V30" s="771" t="s">
        <v>17</v>
      </c>
      <c r="W30" s="772">
        <f t="shared" si="14"/>
        <v>100</v>
      </c>
      <c r="X30" s="1812"/>
      <c r="Y30" s="3442"/>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440"/>
      <c r="Q31" s="1809">
        <f t="shared" si="11"/>
        <v>111</v>
      </c>
      <c r="R31" s="771" t="s">
        <v>17</v>
      </c>
      <c r="S31" s="772">
        <f t="shared" si="12"/>
        <v>100</v>
      </c>
      <c r="T31" s="771" t="s">
        <v>17</v>
      </c>
      <c r="U31" s="772">
        <f t="shared" si="13"/>
        <v>100</v>
      </c>
      <c r="V31" s="771" t="s">
        <v>17</v>
      </c>
      <c r="W31" s="772">
        <f t="shared" si="14"/>
        <v>100</v>
      </c>
      <c r="X31" s="1812"/>
      <c r="Y31" s="3442"/>
      <c r="Z31" s="1813">
        <f t="shared" si="15"/>
        <v>111</v>
      </c>
      <c r="AA31" s="1810">
        <f t="shared" si="3"/>
        <v>1</v>
      </c>
      <c r="AB31" s="1810">
        <f t="shared" si="4"/>
        <v>1</v>
      </c>
      <c r="AC31" s="1810">
        <f t="shared" si="5"/>
        <v>1</v>
      </c>
    </row>
    <row r="32" spans="1:29" ht="15">
      <c r="A32" s="439" t="s">
        <v>2565</v>
      </c>
      <c r="B32" s="70" t="s">
        <v>2662</v>
      </c>
      <c r="C32" s="2615" t="s">
        <v>3146</v>
      </c>
      <c r="D32" s="466">
        <v>100</v>
      </c>
      <c r="E32" s="2615" t="s">
        <v>3144</v>
      </c>
      <c r="F32" s="460">
        <f>SUMIF(100:100,E32,101:101)-SUMIF(100:100,C32,101:101)+100</f>
        <v>102</v>
      </c>
      <c r="G32" s="2615" t="s">
        <v>3148</v>
      </c>
      <c r="H32" s="434">
        <f>SUMIF(100:100,G32,101:101)-SUMIF(100:100,C32,101:101)+100</f>
        <v>98</v>
      </c>
      <c r="I32" s="2615" t="s">
        <v>3146</v>
      </c>
      <c r="J32" s="466">
        <f>SUMIF(100:100,I32,101:101)-SUMIF(100:100,C32,101:101)+100</f>
        <v>100</v>
      </c>
      <c r="K32" s="611">
        <v>2</v>
      </c>
      <c r="L32" s="1140"/>
      <c r="M32" s="1131"/>
      <c r="N32" s="1131"/>
      <c r="O32" s="1131"/>
      <c r="P32" s="3443" t="s">
        <v>2567</v>
      </c>
      <c r="Q32" s="1809" t="str">
        <f t="shared" si="11"/>
        <v>商业类型</v>
      </c>
      <c r="R32" s="771" t="s">
        <v>17</v>
      </c>
      <c r="S32" s="772">
        <f t="shared" si="12"/>
        <v>102</v>
      </c>
      <c r="T32" s="771" t="s">
        <v>17</v>
      </c>
      <c r="U32" s="772">
        <f t="shared" si="13"/>
        <v>98</v>
      </c>
      <c r="V32" s="771" t="s">
        <v>17</v>
      </c>
      <c r="W32" s="772">
        <f t="shared" si="14"/>
        <v>100</v>
      </c>
      <c r="X32" s="1812"/>
      <c r="Y32" s="3446" t="s">
        <v>2567</v>
      </c>
      <c r="Z32" s="1813" t="str">
        <f t="shared" si="15"/>
        <v>商业类型</v>
      </c>
      <c r="AA32" s="1810">
        <f t="shared" si="3"/>
        <v>0.98039215686274506</v>
      </c>
      <c r="AB32" s="1810">
        <f t="shared" si="4"/>
        <v>1.0204081632653061</v>
      </c>
      <c r="AC32" s="1810">
        <f t="shared" si="5"/>
        <v>1</v>
      </c>
    </row>
    <row r="33" spans="1:29" s="470" customFormat="1" ht="15">
      <c r="A33" s="467"/>
      <c r="B33" s="421" t="s">
        <v>2568</v>
      </c>
      <c r="C33" s="468">
        <f>抵押物清单!C31</f>
        <v>245.47</v>
      </c>
      <c r="D33" s="135">
        <v>100</v>
      </c>
      <c r="E33" s="429">
        <v>207</v>
      </c>
      <c r="F33" s="424">
        <f>LOOKUP(E33,103:103,104:104)-LOOKUP(C33,103:103,104:104)+100</f>
        <v>100</v>
      </c>
      <c r="G33" s="428">
        <v>161</v>
      </c>
      <c r="H33" s="135">
        <f>LOOKUP(G33,103:103,104:104)-LOOKUP(C33,103:103,104:104)+100</f>
        <v>102</v>
      </c>
      <c r="I33" s="428">
        <v>98</v>
      </c>
      <c r="J33" s="135">
        <f>LOOKUP(I33,103:103,104:104)-LOOKUP(C33,103:103,104:104)+100</f>
        <v>102</v>
      </c>
      <c r="K33" s="612"/>
      <c r="L33" s="1138"/>
      <c r="M33" s="1141"/>
      <c r="N33" s="1141"/>
      <c r="O33" s="1141"/>
      <c r="P33" s="3444"/>
      <c r="Q33" s="773" t="str">
        <f t="shared" si="11"/>
        <v>项目建筑规模</v>
      </c>
      <c r="R33" s="774" t="s">
        <v>17</v>
      </c>
      <c r="S33" s="775">
        <f t="shared" si="12"/>
        <v>100</v>
      </c>
      <c r="T33" s="774" t="s">
        <v>17</v>
      </c>
      <c r="U33" s="775">
        <f t="shared" si="13"/>
        <v>102</v>
      </c>
      <c r="V33" s="774" t="s">
        <v>17</v>
      </c>
      <c r="W33" s="775">
        <f t="shared" si="14"/>
        <v>102</v>
      </c>
      <c r="X33" s="776"/>
      <c r="Y33" s="3446"/>
      <c r="Z33" s="777" t="str">
        <f t="shared" si="15"/>
        <v>项目建筑规模</v>
      </c>
      <c r="AA33" s="1810">
        <f t="shared" si="3"/>
        <v>1</v>
      </c>
      <c r="AB33" s="1810">
        <f t="shared" si="4"/>
        <v>0.98039215686274506</v>
      </c>
      <c r="AC33" s="1810">
        <f t="shared" si="5"/>
        <v>0.98039215686274506</v>
      </c>
    </row>
    <row r="34" spans="1:29" ht="15">
      <c r="A34" s="471"/>
      <c r="B34" s="421" t="s">
        <v>2569</v>
      </c>
      <c r="C34" s="2617" t="s">
        <v>3086</v>
      </c>
      <c r="D34" s="434">
        <v>100</v>
      </c>
      <c r="E34" s="2617" t="s">
        <v>3086</v>
      </c>
      <c r="F34" s="460">
        <f>SUMIF(105:105,E34,106:106)-SUMIF(105:105,C34,106:106)+100</f>
        <v>100</v>
      </c>
      <c r="G34" s="2617" t="s">
        <v>3086</v>
      </c>
      <c r="H34" s="434">
        <f>SUMIF(105:105,G34,106:106)-SUMIF(105:105,C34,106:106)+100</f>
        <v>100</v>
      </c>
      <c r="I34" s="2617" t="s">
        <v>3086</v>
      </c>
      <c r="J34" s="434">
        <f>SUMIF(105:105,I34,106:106)-SUMIF(105:105,C34,106:106)+100</f>
        <v>100</v>
      </c>
      <c r="K34" s="611">
        <v>2</v>
      </c>
      <c r="L34" s="1140"/>
      <c r="M34" s="1131"/>
      <c r="N34" s="1131"/>
      <c r="O34" s="1131"/>
      <c r="P34" s="3444"/>
      <c r="Q34" s="1809" t="str">
        <f t="shared" si="11"/>
        <v>建筑结构</v>
      </c>
      <c r="R34" s="771" t="s">
        <v>17</v>
      </c>
      <c r="S34" s="772">
        <f t="shared" si="12"/>
        <v>100</v>
      </c>
      <c r="T34" s="771" t="s">
        <v>17</v>
      </c>
      <c r="U34" s="772">
        <f t="shared" si="13"/>
        <v>100</v>
      </c>
      <c r="V34" s="771" t="s">
        <v>17</v>
      </c>
      <c r="W34" s="772">
        <f t="shared" si="14"/>
        <v>100</v>
      </c>
      <c r="X34" s="1812"/>
      <c r="Y34" s="3446"/>
      <c r="Z34" s="1813" t="str">
        <f t="shared" si="15"/>
        <v>建筑结构</v>
      </c>
      <c r="AA34" s="1810">
        <f t="shared" si="3"/>
        <v>1</v>
      </c>
      <c r="AB34" s="1810">
        <f t="shared" si="4"/>
        <v>1</v>
      </c>
      <c r="AC34" s="1810">
        <f t="shared" si="5"/>
        <v>1</v>
      </c>
    </row>
    <row r="35" spans="1:29" ht="15">
      <c r="A35" s="471"/>
      <c r="B35" s="421" t="s">
        <v>2663</v>
      </c>
      <c r="C35" s="2611" t="s">
        <v>3153</v>
      </c>
      <c r="D35" s="434">
        <v>100</v>
      </c>
      <c r="E35" s="2611" t="s">
        <v>3153</v>
      </c>
      <c r="F35" s="460">
        <f>SUMIF(107:107,E35,108:108)-SUMIF(107:107,C35,108:108)+100</f>
        <v>100</v>
      </c>
      <c r="G35" s="2611" t="s">
        <v>3153</v>
      </c>
      <c r="H35" s="434">
        <f>SUMIF(107:107,G35,108:108)-SUMIF(107:107,C35,108:108)+100</f>
        <v>100</v>
      </c>
      <c r="I35" s="2611" t="s">
        <v>3153</v>
      </c>
      <c r="J35" s="434">
        <f>SUMIF(107:107,I35,108:108)-SUMIF(107:107,C35,108:108)+100</f>
        <v>100</v>
      </c>
      <c r="K35" s="611">
        <v>2</v>
      </c>
      <c r="L35" s="1140"/>
      <c r="M35" s="1131"/>
      <c r="N35" s="1131"/>
      <c r="O35" s="1131"/>
      <c r="P35" s="3444"/>
      <c r="Q35" s="1809" t="str">
        <f t="shared" si="11"/>
        <v>公共部分装修</v>
      </c>
      <c r="R35" s="771" t="s">
        <v>17</v>
      </c>
      <c r="S35" s="772">
        <f t="shared" si="12"/>
        <v>100</v>
      </c>
      <c r="T35" s="771" t="s">
        <v>17</v>
      </c>
      <c r="U35" s="772">
        <f t="shared" si="13"/>
        <v>100</v>
      </c>
      <c r="V35" s="771" t="s">
        <v>17</v>
      </c>
      <c r="W35" s="772">
        <f t="shared" si="14"/>
        <v>100</v>
      </c>
      <c r="X35" s="1812"/>
      <c r="Y35" s="3446"/>
      <c r="Z35" s="1813" t="str">
        <f t="shared" si="15"/>
        <v>公共部分装修</v>
      </c>
      <c r="AA35" s="1810">
        <f t="shared" si="3"/>
        <v>1</v>
      </c>
      <c r="AB35" s="1810">
        <f t="shared" si="4"/>
        <v>1</v>
      </c>
      <c r="AC35" s="1810">
        <f t="shared" si="5"/>
        <v>1</v>
      </c>
    </row>
    <row r="36" spans="1:29" ht="15">
      <c r="A36" s="471"/>
      <c r="B36" s="421" t="s">
        <v>2664</v>
      </c>
      <c r="C36" s="473">
        <v>1</v>
      </c>
      <c r="D36" s="434">
        <v>100</v>
      </c>
      <c r="E36" s="473">
        <v>0.87</v>
      </c>
      <c r="F36" s="460">
        <f>LOOKUP(E36,110:110,111:111)-LOOKUP(C36,110:110,111:111)+100</f>
        <v>98</v>
      </c>
      <c r="G36" s="473">
        <v>0.88</v>
      </c>
      <c r="H36" s="460">
        <f>LOOKUP(G36,110:110,111:111)-LOOKUP(C36,110:110,111:111)+100</f>
        <v>98</v>
      </c>
      <c r="I36" s="473">
        <v>0.88</v>
      </c>
      <c r="J36" s="434">
        <f>LOOKUP(I36,110:110,111:111)-LOOKUP(C36,110:110,111:111)+100</f>
        <v>98</v>
      </c>
      <c r="K36" s="611">
        <v>2</v>
      </c>
      <c r="L36" s="1140"/>
      <c r="M36" s="1131"/>
      <c r="N36" s="1131"/>
      <c r="O36" s="1131"/>
      <c r="P36" s="3444"/>
      <c r="Q36" s="1809" t="str">
        <f t="shared" si="11"/>
        <v>成新度</v>
      </c>
      <c r="R36" s="771" t="s">
        <v>17</v>
      </c>
      <c r="S36" s="772">
        <f t="shared" si="12"/>
        <v>98</v>
      </c>
      <c r="T36" s="771" t="s">
        <v>17</v>
      </c>
      <c r="U36" s="772">
        <f t="shared" si="13"/>
        <v>98</v>
      </c>
      <c r="V36" s="771" t="s">
        <v>17</v>
      </c>
      <c r="W36" s="772">
        <f t="shared" si="14"/>
        <v>98</v>
      </c>
      <c r="X36" s="1812"/>
      <c r="Y36" s="3446"/>
      <c r="Z36" s="1813" t="str">
        <f t="shared" si="15"/>
        <v>成新度</v>
      </c>
      <c r="AA36" s="1810">
        <f t="shared" si="3"/>
        <v>1.0204081632653061</v>
      </c>
      <c r="AB36" s="1810">
        <f t="shared" si="4"/>
        <v>1.0204081632653061</v>
      </c>
      <c r="AC36" s="1810">
        <f t="shared" si="5"/>
        <v>1.0204081632653061</v>
      </c>
    </row>
    <row r="37" spans="1:29" s="116" customFormat="1" ht="15">
      <c r="A37" s="472"/>
      <c r="B37" s="421" t="s">
        <v>2665</v>
      </c>
      <c r="C37" s="2611" t="s">
        <v>3097</v>
      </c>
      <c r="D37" s="135">
        <v>100</v>
      </c>
      <c r="E37" s="2611" t="s">
        <v>3097</v>
      </c>
      <c r="F37" s="460">
        <f>SUMIF(112:112,E37,113:113)-SUMIF(112:112,C37,113:113)+100</f>
        <v>100</v>
      </c>
      <c r="G37" s="2611" t="s">
        <v>3097</v>
      </c>
      <c r="H37" s="434">
        <f>SUMIF(112:112,G37,113:113)-SUMIF(112:112,C37,113:113)+100</f>
        <v>100</v>
      </c>
      <c r="I37" s="2611" t="s">
        <v>3097</v>
      </c>
      <c r="J37" s="434">
        <f>SUMIF(112:112,I37,113:113)-SUMIF(112:112,C37,113:113)+100</f>
        <v>100</v>
      </c>
      <c r="K37" s="611">
        <v>2</v>
      </c>
      <c r="L37" s="1132"/>
      <c r="M37" s="1133"/>
      <c r="N37" s="1133"/>
      <c r="O37" s="1133"/>
      <c r="P37" s="3444"/>
      <c r="Q37" s="1794" t="str">
        <f t="shared" si="11"/>
        <v>市政基础设施</v>
      </c>
      <c r="R37" s="767" t="s">
        <v>17</v>
      </c>
      <c r="S37" s="768">
        <f t="shared" si="12"/>
        <v>100</v>
      </c>
      <c r="T37" s="767" t="s">
        <v>17</v>
      </c>
      <c r="U37" s="768">
        <f t="shared" si="13"/>
        <v>100</v>
      </c>
      <c r="V37" s="767" t="s">
        <v>17</v>
      </c>
      <c r="W37" s="768">
        <f t="shared" si="14"/>
        <v>100</v>
      </c>
      <c r="X37" s="769"/>
      <c r="Y37" s="3446"/>
      <c r="Z37" s="54" t="str">
        <f t="shared" si="15"/>
        <v>市政基础设施</v>
      </c>
      <c r="AA37" s="770">
        <f t="shared" si="3"/>
        <v>1</v>
      </c>
      <c r="AB37" s="770">
        <f t="shared" si="4"/>
        <v>1</v>
      </c>
      <c r="AC37" s="770">
        <f t="shared" si="5"/>
        <v>1</v>
      </c>
    </row>
    <row r="38" spans="1:29" ht="15">
      <c r="A38" s="471"/>
      <c r="B38" s="421" t="s">
        <v>2666</v>
      </c>
      <c r="C38" s="2611" t="s">
        <v>3163</v>
      </c>
      <c r="D38" s="434">
        <v>100</v>
      </c>
      <c r="E38" s="2611" t="s">
        <v>3163</v>
      </c>
      <c r="F38" s="460">
        <f>SUMIF(114:114,E38,115:115)-SUMIF(114:114,C38,115:115)+100</f>
        <v>100</v>
      </c>
      <c r="G38" s="2611" t="s">
        <v>3165</v>
      </c>
      <c r="H38" s="434">
        <f>SUMIF(114:114,G38,115:115)-SUMIF(114:114,C38,115:115)+100</f>
        <v>98</v>
      </c>
      <c r="I38" s="2611" t="s">
        <v>3163</v>
      </c>
      <c r="J38" s="434">
        <f>SUMIF(114:114,I38,115:115)-SUMIF(114:114,C38,115:115)+100</f>
        <v>100</v>
      </c>
      <c r="K38" s="611">
        <v>2</v>
      </c>
      <c r="L38" s="1140"/>
      <c r="M38" s="1131"/>
      <c r="N38" s="1131"/>
      <c r="O38" s="1131"/>
      <c r="P38" s="3444" t="s">
        <v>2567</v>
      </c>
      <c r="Q38" s="1809" t="str">
        <f t="shared" si="11"/>
        <v>业态</v>
      </c>
      <c r="R38" s="771" t="s">
        <v>17</v>
      </c>
      <c r="S38" s="772">
        <f t="shared" si="12"/>
        <v>100</v>
      </c>
      <c r="T38" s="771" t="s">
        <v>17</v>
      </c>
      <c r="U38" s="772">
        <f t="shared" si="13"/>
        <v>98</v>
      </c>
      <c r="V38" s="771" t="s">
        <v>17</v>
      </c>
      <c r="W38" s="772">
        <f t="shared" si="14"/>
        <v>100</v>
      </c>
      <c r="X38" s="1812"/>
      <c r="Y38" s="3446" t="s">
        <v>2567</v>
      </c>
      <c r="Z38" s="1813" t="str">
        <f t="shared" si="15"/>
        <v>业态</v>
      </c>
      <c r="AA38" s="1810">
        <f t="shared" si="3"/>
        <v>1</v>
      </c>
      <c r="AB38" s="1810">
        <f t="shared" si="4"/>
        <v>1.0204081632653061</v>
      </c>
      <c r="AC38" s="1810">
        <f t="shared" si="5"/>
        <v>1</v>
      </c>
    </row>
    <row r="39" spans="1:29" ht="15">
      <c r="A39" s="471"/>
      <c r="B39" s="421" t="s">
        <v>2667</v>
      </c>
      <c r="C39" s="2611" t="s">
        <v>3167</v>
      </c>
      <c r="D39" s="434">
        <v>100</v>
      </c>
      <c r="E39" s="2611" t="s">
        <v>3169</v>
      </c>
      <c r="F39" s="460">
        <f>SUMIF(116:116,E39,117:117)-SUMIF(116:116,C39,117:117)+100</f>
        <v>98</v>
      </c>
      <c r="G39" s="2611" t="s">
        <v>3169</v>
      </c>
      <c r="H39" s="434">
        <f>SUMIF(116:116,G39,117:117)-SUMIF(116:116,C39,117:117)+100</f>
        <v>98</v>
      </c>
      <c r="I39" s="2611" t="s">
        <v>3169</v>
      </c>
      <c r="J39" s="434">
        <f>SUMIF(116:116,I39,117:117)-SUMIF(116:116,C39,117:117)+100</f>
        <v>98</v>
      </c>
      <c r="K39" s="611">
        <v>2</v>
      </c>
      <c r="L39" s="1140"/>
      <c r="M39" s="1131"/>
      <c r="N39" s="1131"/>
      <c r="O39" s="1131"/>
      <c r="P39" s="3444"/>
      <c r="Q39" s="1809" t="str">
        <f t="shared" si="11"/>
        <v>层高</v>
      </c>
      <c r="R39" s="771" t="s">
        <v>17</v>
      </c>
      <c r="S39" s="772">
        <f t="shared" si="12"/>
        <v>98</v>
      </c>
      <c r="T39" s="771" t="s">
        <v>17</v>
      </c>
      <c r="U39" s="772">
        <f t="shared" si="13"/>
        <v>98</v>
      </c>
      <c r="V39" s="771" t="s">
        <v>17</v>
      </c>
      <c r="W39" s="772">
        <f t="shared" si="14"/>
        <v>98</v>
      </c>
      <c r="X39" s="1812"/>
      <c r="Y39" s="3446"/>
      <c r="Z39" s="1813" t="str">
        <f t="shared" si="15"/>
        <v>层高</v>
      </c>
      <c r="AA39" s="1810">
        <f t="shared" si="3"/>
        <v>1.0204081632653061</v>
      </c>
      <c r="AB39" s="1810">
        <f t="shared" si="4"/>
        <v>1.0204081632653061</v>
      </c>
      <c r="AC39" s="1810">
        <f t="shared" si="5"/>
        <v>1.0204081632653061</v>
      </c>
    </row>
    <row r="40" spans="1:29" ht="15">
      <c r="A40" s="471"/>
      <c r="B40" s="421" t="s">
        <v>2668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444"/>
      <c r="Q40" s="1809" t="str">
        <f t="shared" si="11"/>
        <v>单套建筑面积</v>
      </c>
      <c r="R40" s="771" t="s">
        <v>17</v>
      </c>
      <c r="S40" s="772">
        <f t="shared" si="12"/>
        <v>100</v>
      </c>
      <c r="T40" s="771" t="s">
        <v>17</v>
      </c>
      <c r="U40" s="772">
        <f t="shared" si="13"/>
        <v>100</v>
      </c>
      <c r="V40" s="771" t="s">
        <v>17</v>
      </c>
      <c r="W40" s="772">
        <f t="shared" si="14"/>
        <v>100</v>
      </c>
      <c r="X40" s="1812"/>
      <c r="Y40" s="3446"/>
      <c r="Z40" s="1813" t="str">
        <f t="shared" si="15"/>
        <v>单套建筑面积</v>
      </c>
      <c r="AA40" s="1810">
        <f t="shared" si="3"/>
        <v>1</v>
      </c>
      <c r="AB40" s="1810">
        <f t="shared" si="4"/>
        <v>1</v>
      </c>
      <c r="AC40" s="1810">
        <f t="shared" si="5"/>
        <v>1</v>
      </c>
    </row>
    <row r="41" spans="1:29" s="470" customFormat="1" ht="15">
      <c r="A41" s="467"/>
      <c r="B41" s="1811" t="s">
        <v>2669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0</v>
      </c>
      <c r="L41" s="1138"/>
      <c r="M41" s="1141"/>
      <c r="N41" s="1141"/>
      <c r="O41" s="1141"/>
      <c r="P41" s="3444"/>
      <c r="Q41" s="773" t="str">
        <f t="shared" si="11"/>
        <v>进深比</v>
      </c>
      <c r="R41" s="774" t="s">
        <v>17</v>
      </c>
      <c r="S41" s="775">
        <f t="shared" si="12"/>
        <v>100</v>
      </c>
      <c r="T41" s="774" t="s">
        <v>17</v>
      </c>
      <c r="U41" s="775">
        <f t="shared" si="13"/>
        <v>100</v>
      </c>
      <c r="V41" s="774" t="s">
        <v>17</v>
      </c>
      <c r="W41" s="775">
        <f t="shared" si="14"/>
        <v>100</v>
      </c>
      <c r="X41" s="776"/>
      <c r="Y41" s="3446"/>
      <c r="Z41" s="777" t="str">
        <f t="shared" si="15"/>
        <v>进深比</v>
      </c>
      <c r="AA41" s="1810">
        <f t="shared" si="3"/>
        <v>1</v>
      </c>
      <c r="AB41" s="1810">
        <f t="shared" si="4"/>
        <v>1</v>
      </c>
      <c r="AC41" s="1810">
        <f t="shared" si="5"/>
        <v>1</v>
      </c>
    </row>
    <row r="42" spans="1:29" ht="15">
      <c r="A42" s="471"/>
      <c r="B42" s="421" t="s">
        <v>2670</v>
      </c>
      <c r="C42" s="2611" t="s">
        <v>3091</v>
      </c>
      <c r="D42" s="434">
        <v>100</v>
      </c>
      <c r="E42" s="2611" t="s">
        <v>3153</v>
      </c>
      <c r="F42" s="460">
        <f>SUMIF(122:122,E42,123:123)-SUMIF(122:122,C42,123:123)+100</f>
        <v>106</v>
      </c>
      <c r="G42" s="2611" t="s">
        <v>3153</v>
      </c>
      <c r="H42" s="434">
        <f>SUMIF(122:122,G42,123:123)-SUMIF(122:122,C42,123:123)+100</f>
        <v>106</v>
      </c>
      <c r="I42" s="2611" t="s">
        <v>3153</v>
      </c>
      <c r="J42" s="434">
        <f>SUMIF(122:122,I42,123:123)-SUMIF(122:122,C42,123:123)+100</f>
        <v>106</v>
      </c>
      <c r="K42" s="611">
        <v>2</v>
      </c>
      <c r="L42" s="1140"/>
      <c r="M42" s="1131"/>
      <c r="N42" s="1131"/>
      <c r="O42" s="1131"/>
      <c r="P42" s="3444"/>
      <c r="Q42" s="1809" t="str">
        <f t="shared" si="11"/>
        <v>内部装修</v>
      </c>
      <c r="R42" s="771" t="s">
        <v>17</v>
      </c>
      <c r="S42" s="772">
        <f t="shared" si="12"/>
        <v>106</v>
      </c>
      <c r="T42" s="771" t="s">
        <v>17</v>
      </c>
      <c r="U42" s="772">
        <f t="shared" si="13"/>
        <v>106</v>
      </c>
      <c r="V42" s="771" t="s">
        <v>17</v>
      </c>
      <c r="W42" s="772">
        <f t="shared" si="14"/>
        <v>106</v>
      </c>
      <c r="X42" s="1812"/>
      <c r="Y42" s="3446"/>
      <c r="Z42" s="1813" t="str">
        <f t="shared" si="15"/>
        <v>内部装修</v>
      </c>
      <c r="AA42" s="1810">
        <f t="shared" si="3"/>
        <v>0.94339622641509435</v>
      </c>
      <c r="AB42" s="1810">
        <f t="shared" si="4"/>
        <v>0.94339622641509435</v>
      </c>
      <c r="AC42" s="1810">
        <f t="shared" si="5"/>
        <v>0.94339622641509435</v>
      </c>
    </row>
    <row r="43" spans="1:29" ht="15">
      <c r="A43" s="471"/>
      <c r="B43" s="421" t="s">
        <v>2578</v>
      </c>
      <c r="C43" s="2611" t="s">
        <v>3113</v>
      </c>
      <c r="D43" s="434">
        <v>100</v>
      </c>
      <c r="E43" s="2611" t="s">
        <v>3113</v>
      </c>
      <c r="F43" s="460">
        <f>SUMIF(124:124,E43,125:125)-SUMIF(124:124,C43,125:125)+100</f>
        <v>100</v>
      </c>
      <c r="G43" s="2611" t="s">
        <v>3113</v>
      </c>
      <c r="H43" s="434">
        <f>SUMIF(124:124,G43,125:125)-SUMIF(124:124,C43,125:125)+100</f>
        <v>100</v>
      </c>
      <c r="I43" s="2611" t="s">
        <v>3113</v>
      </c>
      <c r="J43" s="434">
        <f>SUMIF(124:124,I43,125:125)-SUMIF(124:124,C43,125:125)+100</f>
        <v>100</v>
      </c>
      <c r="K43" s="611">
        <v>2</v>
      </c>
      <c r="L43" s="1140"/>
      <c r="M43" s="1131"/>
      <c r="N43" s="1131"/>
      <c r="O43" s="1131"/>
      <c r="P43" s="3444"/>
      <c r="Q43" s="1809" t="str">
        <f t="shared" si="11"/>
        <v>内部装修维护情况</v>
      </c>
      <c r="R43" s="771" t="s">
        <v>17</v>
      </c>
      <c r="S43" s="772">
        <f t="shared" si="12"/>
        <v>100</v>
      </c>
      <c r="T43" s="771" t="s">
        <v>17</v>
      </c>
      <c r="U43" s="772">
        <f t="shared" si="13"/>
        <v>100</v>
      </c>
      <c r="V43" s="771" t="s">
        <v>17</v>
      </c>
      <c r="W43" s="772">
        <f t="shared" si="14"/>
        <v>100</v>
      </c>
      <c r="X43" s="1812"/>
      <c r="Y43" s="3446"/>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444"/>
      <c r="Q44" s="1794">
        <f t="shared" si="11"/>
        <v>111</v>
      </c>
      <c r="R44" s="767" t="s">
        <v>17</v>
      </c>
      <c r="S44" s="768">
        <f t="shared" si="12"/>
        <v>100</v>
      </c>
      <c r="T44" s="767" t="s">
        <v>17</v>
      </c>
      <c r="U44" s="768">
        <f t="shared" si="13"/>
        <v>100</v>
      </c>
      <c r="V44" s="767" t="s">
        <v>17</v>
      </c>
      <c r="W44" s="768">
        <f t="shared" si="14"/>
        <v>100</v>
      </c>
      <c r="X44" s="769"/>
      <c r="Y44" s="3446"/>
      <c r="Z44" s="54">
        <f t="shared" si="15"/>
        <v>111</v>
      </c>
      <c r="AA44" s="770">
        <f t="shared" si="3"/>
        <v>1</v>
      </c>
      <c r="AB44" s="770">
        <f t="shared" si="4"/>
        <v>1</v>
      </c>
      <c r="AC44" s="770">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444"/>
      <c r="Q45" s="1809">
        <f t="shared" si="11"/>
        <v>111</v>
      </c>
      <c r="R45" s="771" t="s">
        <v>17</v>
      </c>
      <c r="S45" s="772">
        <f t="shared" si="12"/>
        <v>100</v>
      </c>
      <c r="T45" s="771" t="s">
        <v>17</v>
      </c>
      <c r="U45" s="772">
        <f t="shared" si="13"/>
        <v>100</v>
      </c>
      <c r="V45" s="771" t="s">
        <v>17</v>
      </c>
      <c r="W45" s="772">
        <f t="shared" si="14"/>
        <v>100</v>
      </c>
      <c r="X45" s="1812"/>
      <c r="Y45" s="3446"/>
      <c r="Z45" s="1813">
        <f t="shared" si="15"/>
        <v>111</v>
      </c>
      <c r="AA45" s="1810">
        <f t="shared" si="3"/>
        <v>1</v>
      </c>
      <c r="AB45" s="1810">
        <f t="shared" si="4"/>
        <v>1</v>
      </c>
      <c r="AC45" s="181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445"/>
      <c r="Q46" s="1809">
        <f t="shared" si="11"/>
        <v>111</v>
      </c>
      <c r="R46" s="771" t="s">
        <v>17</v>
      </c>
      <c r="S46" s="772">
        <f t="shared" si="12"/>
        <v>100</v>
      </c>
      <c r="T46" s="771" t="s">
        <v>17</v>
      </c>
      <c r="U46" s="772">
        <f t="shared" si="13"/>
        <v>100</v>
      </c>
      <c r="V46" s="771" t="s">
        <v>17</v>
      </c>
      <c r="W46" s="772">
        <f t="shared" si="14"/>
        <v>100</v>
      </c>
      <c r="X46" s="1812"/>
      <c r="Y46" s="3447"/>
      <c r="Z46" s="1813">
        <f t="shared" si="15"/>
        <v>111</v>
      </c>
      <c r="AA46" s="1810">
        <f t="shared" si="3"/>
        <v>1</v>
      </c>
      <c r="AB46" s="1810">
        <f t="shared" si="4"/>
        <v>1</v>
      </c>
      <c r="AC46" s="1810">
        <f t="shared" si="5"/>
        <v>1</v>
      </c>
    </row>
    <row r="47" spans="1:29" ht="15">
      <c r="A47" s="478" t="s">
        <v>2579</v>
      </c>
      <c r="B47" s="479"/>
      <c r="C47" s="1406" t="s">
        <v>1</v>
      </c>
      <c r="D47" s="1407"/>
      <c r="E47" s="1408">
        <v>63500</v>
      </c>
      <c r="F47" s="1409"/>
      <c r="G47" s="1410">
        <v>53500</v>
      </c>
      <c r="H47" s="1411"/>
      <c r="I47" s="1408">
        <v>49000</v>
      </c>
      <c r="J47" s="1411"/>
      <c r="K47" s="780"/>
      <c r="L47" s="1143"/>
      <c r="M47" s="1144"/>
      <c r="N47" s="1131"/>
      <c r="O47" s="1144"/>
      <c r="P47" s="3434" t="str">
        <f>A47</f>
        <v>成交单价（元/平方米）</v>
      </c>
      <c r="Q47" s="3434"/>
      <c r="R47" s="3468">
        <f>E47</f>
        <v>63500</v>
      </c>
      <c r="S47" s="3468"/>
      <c r="T47" s="3468">
        <f>G47</f>
        <v>53500</v>
      </c>
      <c r="U47" s="3468"/>
      <c r="V47" s="3468">
        <f>I47</f>
        <v>49000</v>
      </c>
      <c r="W47" s="3468"/>
      <c r="X47" s="756"/>
      <c r="Y47" s="778"/>
      <c r="Z47" s="756"/>
      <c r="AA47" s="756"/>
      <c r="AB47" s="756"/>
      <c r="AC47" s="756"/>
    </row>
    <row r="48" spans="1:29" ht="15.75" thickBot="1">
      <c r="A48" s="485" t="s">
        <v>2671</v>
      </c>
      <c r="B48" s="486"/>
      <c r="C48" s="1412">
        <f>R49</f>
        <v>57035</v>
      </c>
      <c r="D48" s="1413"/>
      <c r="E48" s="1414">
        <f>R48</f>
        <v>60655</v>
      </c>
      <c r="F48" s="1414"/>
      <c r="G48" s="1412">
        <f>T48</f>
        <v>58762</v>
      </c>
      <c r="H48" s="1413"/>
      <c r="I48" s="1414">
        <f>V48</f>
        <v>51688</v>
      </c>
      <c r="J48" s="1413"/>
      <c r="K48" s="781"/>
      <c r="L48" s="1143"/>
      <c r="M48" s="1144"/>
      <c r="N48" s="1131"/>
      <c r="O48" s="1144"/>
      <c r="P48" s="3434" t="str">
        <f>A48</f>
        <v>比较价值（元/平方米）</v>
      </c>
      <c r="Q48" s="3434"/>
      <c r="R48" s="3435">
        <f>IF(F1="售价",ROUND(PRODUCT(R47,AA7:AA46),0),ROUND(PRODUCT(R47,AA7:AA46),1))</f>
        <v>60655</v>
      </c>
      <c r="S48" s="3435"/>
      <c r="T48" s="3435">
        <f>IF(F1="售价",ROUND(PRODUCT(T47,AB7:AB46),0),ROUND(PRODUCT(T47,AB7:AB46),1))</f>
        <v>58762</v>
      </c>
      <c r="U48" s="3435"/>
      <c r="V48" s="3435">
        <f>IF(F1="售价",ROUND(PRODUCT(V47,AC7:AC46),0),ROUND(PRODUCT(V47,AC7:AC46),1))</f>
        <v>51688</v>
      </c>
      <c r="W48" s="3435"/>
      <c r="X48" s="756"/>
      <c r="Y48" s="756"/>
      <c r="Z48" s="756"/>
      <c r="AA48" s="756"/>
      <c r="AB48" s="756"/>
      <c r="AC48" s="756"/>
    </row>
    <row r="49" spans="1:29" ht="15.75" thickBot="1">
      <c r="A49" s="491" t="s">
        <v>2672</v>
      </c>
      <c r="B49" s="492"/>
      <c r="C49" s="1416">
        <f>R49</f>
        <v>57035</v>
      </c>
      <c r="D49" s="1416"/>
      <c r="E49" s="1416"/>
      <c r="F49" s="1416"/>
      <c r="G49" s="1416"/>
      <c r="H49" s="1416"/>
      <c r="I49" s="1416"/>
      <c r="J49" s="1416"/>
      <c r="K49" s="782"/>
      <c r="L49" s="1143"/>
      <c r="M49" s="1144"/>
      <c r="N49" s="1131"/>
      <c r="O49" s="1144"/>
      <c r="P49" s="3495" t="str">
        <f>A49</f>
        <v>估价对象XX用房的比较价值（楼面单价，元/平方米）</v>
      </c>
      <c r="Q49" s="3496"/>
      <c r="R49" s="3497">
        <f>IF(F1="售价",ROUND(AVERAGE(R48:V48),0),ROUND(AVERAGE(R48:V48),1))</f>
        <v>57035</v>
      </c>
      <c r="S49" s="3497"/>
      <c r="T49" s="3497"/>
      <c r="U49" s="3497"/>
      <c r="V49" s="3497"/>
      <c r="W49" s="349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2673</v>
      </c>
      <c r="D52" s="497"/>
      <c r="E52" s="498">
        <f>IF(E47&lt;E48,E48/E47-1,E47/E48-1)</f>
        <v>4.6904624515703652E-2</v>
      </c>
      <c r="F52" s="499" t="str">
        <f>IF(OR(E52&gt;=0.3,E52&lt;=-0.3),"超过30%","")</f>
        <v/>
      </c>
      <c r="G52" s="498">
        <f>IF(G47&lt;G48,G48/G47-1,G47/G48-1)</f>
        <v>9.8355140186915824E-2</v>
      </c>
      <c r="H52" s="499" t="str">
        <f>IF(OR(G52&gt;=0.3,G52&lt;=-0.3),"超过30%","")</f>
        <v/>
      </c>
      <c r="I52" s="498">
        <f>IF(I47&lt;I48,I48/I47-1,I47/I48-1)</f>
        <v>5.4857142857142938E-2</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2674</v>
      </c>
      <c r="D53" s="500"/>
      <c r="E53" s="498">
        <f>IF(E48&lt;G48,G48/E48-1,E48/G48-1)</f>
        <v>3.2214696572614887E-2</v>
      </c>
      <c r="F53" s="499" t="str">
        <f>IF(OR(E53&gt;=0.2,E53&lt;=-0.2),"超过20%","")</f>
        <v/>
      </c>
      <c r="G53" s="498">
        <f>IF(G48&lt;I48,I48/G48-1,G48/I48-1)</f>
        <v>0.13685961925398549</v>
      </c>
      <c r="H53" s="499" t="str">
        <f>IF(OR(G53&gt;=0.2,G53&lt;=-0.2),"超过20%","")</f>
        <v/>
      </c>
      <c r="I53" s="498">
        <f>IF(I48&lt;E48,E48/I48-1,I48/E48-1)</f>
        <v>0.17348320693391117</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2675</v>
      </c>
      <c r="D54" s="500"/>
      <c r="E54" s="498">
        <f>IF(E47&lt;G47,G47/E47-1,E47/G47-1)</f>
        <v>0.18691588785046731</v>
      </c>
      <c r="F54" s="499" t="str">
        <f>IF(OR(E54&gt;=0.3,E54&lt;=-0.3),"超过30%","")</f>
        <v/>
      </c>
      <c r="G54" s="498">
        <f>IF(G47&lt;I47,I47/G47-1,G47/I47-1)</f>
        <v>9.1836734693877542E-2</v>
      </c>
      <c r="H54" s="499" t="str">
        <f>IF(OR(G54&gt;=0.3,G54&lt;=-0.3),"超过30%","")</f>
        <v/>
      </c>
      <c r="I54" s="498">
        <f>IF(I47&lt;E47,E47/I47-1,I47/E47-1)</f>
        <v>0.29591836734693877</v>
      </c>
      <c r="J54" s="499" t="str">
        <f>IF(OR(I54&gt;=0.3,I54&lt;=-0.3),"超过30%","")</f>
        <v/>
      </c>
      <c r="K54" s="1148"/>
      <c r="L54" s="1149"/>
      <c r="M54" s="1145"/>
      <c r="N54" s="1145"/>
      <c r="O54" s="1145"/>
      <c r="P54" s="2664"/>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66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2676</v>
      </c>
      <c r="B57" s="756"/>
      <c r="C57" s="761"/>
      <c r="D57" s="761"/>
      <c r="E57" s="761"/>
      <c r="F57" s="762"/>
      <c r="G57" s="762"/>
      <c r="H57" s="761"/>
      <c r="I57" s="761"/>
      <c r="J57" s="761"/>
      <c r="K57" s="763"/>
      <c r="L57" s="1161"/>
      <c r="M57" s="1159"/>
      <c r="N57" s="1159"/>
      <c r="O57" s="1159"/>
      <c r="P57" s="2665"/>
      <c r="Q57" s="2666"/>
      <c r="R57" s="756"/>
      <c r="S57" s="756"/>
      <c r="T57" s="756"/>
      <c r="U57" s="756"/>
      <c r="V57" s="756"/>
      <c r="W57" s="756"/>
      <c r="X57" s="756"/>
      <c r="Y57" s="756"/>
      <c r="Z57" s="756"/>
      <c r="AA57" s="756"/>
      <c r="AB57" s="756"/>
      <c r="AC57" s="756"/>
    </row>
    <row r="58" spans="1:29" s="507" customFormat="1" ht="15">
      <c r="A58" s="504" t="s">
        <v>2550</v>
      </c>
      <c r="B58" s="505"/>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6" customFormat="1" ht="15">
      <c r="A59" s="508"/>
      <c r="B59" s="509"/>
      <c r="C59" s="1572">
        <v>100</v>
      </c>
      <c r="D59" s="511">
        <v>100</v>
      </c>
      <c r="E59" s="511">
        <v>99</v>
      </c>
      <c r="F59" s="511">
        <v>99</v>
      </c>
      <c r="G59" s="511">
        <v>98</v>
      </c>
      <c r="H59" s="511">
        <v>98</v>
      </c>
      <c r="I59" s="511">
        <v>97</v>
      </c>
      <c r="J59" s="511">
        <v>97</v>
      </c>
      <c r="K59" s="511">
        <v>96</v>
      </c>
      <c r="L59" s="511">
        <v>96</v>
      </c>
      <c r="M59" s="511">
        <v>95</v>
      </c>
      <c r="N59" s="511">
        <v>95</v>
      </c>
      <c r="O59" s="511">
        <v>94</v>
      </c>
      <c r="P59" s="2626"/>
    </row>
    <row r="60" spans="1:29" s="116" customFormat="1" ht="15.75" thickBot="1">
      <c r="A60" s="514" t="s">
        <v>2587</v>
      </c>
      <c r="B60" s="515"/>
      <c r="C60" s="516"/>
      <c r="D60" s="517"/>
      <c r="E60" s="517"/>
      <c r="F60" s="517"/>
      <c r="G60" s="517"/>
      <c r="H60" s="517"/>
      <c r="I60" s="517"/>
      <c r="J60" s="517"/>
      <c r="K60" s="517"/>
      <c r="L60" s="517"/>
      <c r="M60" s="518"/>
      <c r="N60" s="517"/>
      <c r="O60" s="518"/>
      <c r="P60" s="2626"/>
      <c r="Q60" s="503"/>
    </row>
    <row r="61" spans="1:29" s="116" customFormat="1" ht="15">
      <c r="A61" s="520" t="s">
        <v>2552</v>
      </c>
      <c r="B61" s="509"/>
      <c r="C61" s="521" t="s">
        <v>2654</v>
      </c>
      <c r="D61" s="522"/>
      <c r="E61" s="522"/>
      <c r="F61" s="522"/>
      <c r="G61" s="522"/>
      <c r="H61" s="522"/>
      <c r="I61" s="522"/>
      <c r="J61" s="522"/>
      <c r="K61" s="522"/>
      <c r="L61" s="523"/>
      <c r="M61" s="524"/>
      <c r="N61" s="1151"/>
      <c r="O61" s="1151"/>
      <c r="P61" s="2627"/>
      <c r="Q61" s="503"/>
    </row>
    <row r="62" spans="1:29" s="116" customFormat="1" ht="15.75" thickBot="1">
      <c r="A62" s="520"/>
      <c r="B62" s="509"/>
      <c r="C62" s="510">
        <v>100</v>
      </c>
      <c r="D62" s="511"/>
      <c r="E62" s="511"/>
      <c r="F62" s="511"/>
      <c r="G62" s="511"/>
      <c r="H62" s="511"/>
      <c r="I62" s="511"/>
      <c r="J62" s="511"/>
      <c r="K62" s="511"/>
      <c r="L62" s="511"/>
      <c r="M62" s="513"/>
      <c r="N62" s="1151"/>
      <c r="O62" s="1151"/>
      <c r="P62" s="2626"/>
      <c r="Q62" s="503"/>
    </row>
    <row r="63" spans="1:29">
      <c r="A63" s="526" t="s">
        <v>2590</v>
      </c>
      <c r="B63" s="527" t="s">
        <v>2556</v>
      </c>
      <c r="C63" s="528" t="str">
        <f>C9</f>
        <v>商业</v>
      </c>
      <c r="D63" s="529"/>
      <c r="E63" s="529"/>
      <c r="F63" s="529"/>
      <c r="G63" s="529"/>
      <c r="H63" s="529"/>
      <c r="I63" s="529"/>
      <c r="J63" s="529"/>
      <c r="K63" s="530"/>
      <c r="L63" s="531"/>
      <c r="M63" s="532"/>
      <c r="N63" s="1152"/>
      <c r="O63" s="1152"/>
      <c r="P63" s="2628"/>
      <c r="Q63" s="503"/>
    </row>
    <row r="64" spans="1:29" ht="15.75" thickBot="1">
      <c r="A64" s="533"/>
      <c r="B64" s="534"/>
      <c r="C64" s="535">
        <v>100</v>
      </c>
      <c r="D64" s="535"/>
      <c r="E64" s="535"/>
      <c r="F64" s="535"/>
      <c r="G64" s="535"/>
      <c r="H64" s="535"/>
      <c r="I64" s="535"/>
      <c r="J64" s="535"/>
      <c r="K64" s="535"/>
      <c r="L64" s="535"/>
      <c r="M64" s="536"/>
      <c r="N64" s="1153"/>
      <c r="O64" s="1153"/>
      <c r="P64" s="2628"/>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8"/>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3"/>
      <c r="O66" s="1153"/>
      <c r="P66" s="2628"/>
      <c r="Q66" s="503"/>
    </row>
    <row r="67" spans="1:17" ht="15.75" thickTop="1">
      <c r="A67" s="533"/>
      <c r="B67" s="545" t="s">
        <v>2560</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8"/>
      <c r="Q67" s="503"/>
    </row>
    <row r="68" spans="1:17" ht="15">
      <c r="A68" s="533"/>
      <c r="B68" s="547"/>
      <c r="C68" s="548">
        <v>0</v>
      </c>
      <c r="D68" s="548">
        <v>1</v>
      </c>
      <c r="E68" s="548">
        <v>2</v>
      </c>
      <c r="F68" s="548">
        <v>3</v>
      </c>
      <c r="G68" s="548">
        <v>4</v>
      </c>
      <c r="H68" s="548"/>
      <c r="I68" s="548"/>
      <c r="J68" s="548"/>
      <c r="K68" s="549"/>
      <c r="L68" s="550"/>
      <c r="M68" s="551"/>
      <c r="N68" s="1152"/>
      <c r="O68" s="1152"/>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8"/>
      <c r="Q69" s="503"/>
    </row>
    <row r="70" spans="1:17" s="470" customFormat="1" ht="15.75" thickTop="1">
      <c r="A70" s="552"/>
      <c r="B70" s="537">
        <f>B12</f>
        <v>111</v>
      </c>
      <c r="C70" s="553"/>
      <c r="D70" s="553"/>
      <c r="E70" s="553"/>
      <c r="F70" s="553"/>
      <c r="G70" s="553"/>
      <c r="H70" s="554"/>
      <c r="I70" s="554"/>
      <c r="J70" s="554"/>
      <c r="K70" s="554"/>
      <c r="L70" s="555"/>
      <c r="M70" s="556"/>
      <c r="N70" s="1154"/>
      <c r="O70" s="1154"/>
      <c r="P70" s="2629"/>
      <c r="Q70" s="558"/>
    </row>
    <row r="71" spans="1:17" s="470" customFormat="1" ht="15.75" thickBot="1">
      <c r="A71" s="552"/>
      <c r="B71" s="542"/>
      <c r="C71" s="559"/>
      <c r="D71" s="535"/>
      <c r="E71" s="535"/>
      <c r="F71" s="535"/>
      <c r="G71" s="535"/>
      <c r="H71" s="535"/>
      <c r="I71" s="535"/>
      <c r="J71" s="535"/>
      <c r="K71" s="535"/>
      <c r="L71" s="535"/>
      <c r="M71" s="536"/>
      <c r="N71" s="1153"/>
      <c r="O71" s="1153"/>
      <c r="P71" s="2629"/>
      <c r="Q71" s="558"/>
    </row>
    <row r="72" spans="1:17" s="470" customFormat="1" ht="15.75" thickTop="1">
      <c r="A72" s="552"/>
      <c r="B72" s="537">
        <f>B13</f>
        <v>111</v>
      </c>
      <c r="C72" s="553"/>
      <c r="D72" s="553"/>
      <c r="E72" s="553"/>
      <c r="F72" s="553"/>
      <c r="G72" s="553"/>
      <c r="H72" s="554"/>
      <c r="I72" s="554"/>
      <c r="J72" s="554"/>
      <c r="K72" s="554"/>
      <c r="L72" s="555"/>
      <c r="M72" s="556"/>
      <c r="N72" s="1154"/>
      <c r="O72" s="1154"/>
      <c r="P72" s="2630"/>
      <c r="Q72" s="560"/>
    </row>
    <row r="73" spans="1:17" s="470" customFormat="1" ht="15.75" thickBot="1">
      <c r="A73" s="552"/>
      <c r="B73" s="542"/>
      <c r="C73" s="559"/>
      <c r="D73" s="535"/>
      <c r="E73" s="535"/>
      <c r="F73" s="535"/>
      <c r="G73" s="559"/>
      <c r="H73" s="561"/>
      <c r="I73" s="561"/>
      <c r="J73" s="561"/>
      <c r="K73" s="561"/>
      <c r="L73" s="561"/>
      <c r="M73" s="562"/>
      <c r="N73" s="1154"/>
      <c r="O73" s="1154"/>
      <c r="P73" s="2629"/>
      <c r="Q73" s="558"/>
    </row>
    <row r="74" spans="1:17" s="470" customFormat="1" ht="15.75" thickTop="1">
      <c r="A74" s="552"/>
      <c r="B74" s="545">
        <f>B14</f>
        <v>111</v>
      </c>
      <c r="C74" s="553"/>
      <c r="D74" s="553"/>
      <c r="E74" s="553"/>
      <c r="F74" s="553"/>
      <c r="G74" s="522"/>
      <c r="H74" s="563"/>
      <c r="I74" s="563"/>
      <c r="J74" s="563"/>
      <c r="K74" s="563"/>
      <c r="L74" s="564"/>
      <c r="M74" s="565"/>
      <c r="N74" s="1154"/>
      <c r="O74" s="1154"/>
      <c r="P74" s="2631"/>
      <c r="Q74" s="558"/>
    </row>
    <row r="75" spans="1:17" s="470" customFormat="1" ht="15.75" thickBot="1">
      <c r="A75" s="567"/>
      <c r="B75" s="568"/>
      <c r="C75" s="569"/>
      <c r="D75" s="569"/>
      <c r="E75" s="569"/>
      <c r="F75" s="569"/>
      <c r="G75" s="569"/>
      <c r="H75" s="570"/>
      <c r="I75" s="570"/>
      <c r="J75" s="570"/>
      <c r="K75" s="570"/>
      <c r="L75" s="570"/>
      <c r="M75" s="571"/>
      <c r="N75" s="1154"/>
      <c r="O75" s="1154"/>
      <c r="P75" s="2629"/>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2"/>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8"/>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8"/>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8"/>
      <c r="Q81" s="503"/>
    </row>
    <row r="82" spans="1:17" ht="15.75" thickTop="1">
      <c r="A82" s="533"/>
      <c r="B82" s="545" t="s">
        <v>2657</v>
      </c>
      <c r="C82" s="659" t="s">
        <v>2677</v>
      </c>
      <c r="D82" s="659" t="s">
        <v>2678</v>
      </c>
      <c r="E82" s="659" t="s">
        <v>2679</v>
      </c>
      <c r="F82" s="659" t="s">
        <v>2680</v>
      </c>
      <c r="G82" s="659" t="s">
        <v>2681</v>
      </c>
      <c r="H82" s="538"/>
      <c r="I82" s="538"/>
      <c r="J82" s="538"/>
      <c r="K82" s="538"/>
      <c r="L82" s="538"/>
      <c r="M82" s="1381"/>
      <c r="N82" s="1153"/>
      <c r="O82" s="1153"/>
      <c r="P82" s="2628"/>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3"/>
      <c r="O83" s="1153"/>
      <c r="P83" s="2628"/>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8"/>
      <c r="Q85" s="503"/>
    </row>
    <row r="86" spans="1:17" s="116" customFormat="1" ht="15.75" thickTop="1">
      <c r="A86" s="578"/>
      <c r="B86" s="537" t="s">
        <v>2682</v>
      </c>
      <c r="C86" s="3043" t="s">
        <v>3132</v>
      </c>
      <c r="D86" s="3043" t="s">
        <v>3133</v>
      </c>
      <c r="E86" s="3043" t="s">
        <v>3134</v>
      </c>
      <c r="F86" s="3043" t="s">
        <v>3135</v>
      </c>
      <c r="G86" s="553"/>
      <c r="H86" s="553"/>
      <c r="I86" s="553"/>
      <c r="J86" s="553"/>
      <c r="K86" s="553"/>
      <c r="L86" s="579"/>
      <c r="M86" s="580"/>
      <c r="N86" s="1151"/>
      <c r="O86" s="1151"/>
      <c r="P86" s="2628"/>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8"/>
      <c r="Q87" s="503"/>
    </row>
    <row r="88" spans="1:17" s="116" customFormat="1" ht="15.75" thickTop="1">
      <c r="A88" s="578"/>
      <c r="B88" s="537" t="str">
        <f>B26</f>
        <v>平面位置/可视性</v>
      </c>
      <c r="C88" s="3046" t="s">
        <v>3114</v>
      </c>
      <c r="D88" s="3046" t="s">
        <v>3113</v>
      </c>
      <c r="E88" s="3046" t="s">
        <v>3136</v>
      </c>
      <c r="F88" s="3047" t="s">
        <v>3137</v>
      </c>
      <c r="G88" s="3046" t="s">
        <v>3138</v>
      </c>
      <c r="H88" s="553"/>
      <c r="I88" s="553"/>
      <c r="J88" s="553"/>
      <c r="K88" s="553"/>
      <c r="L88" s="553"/>
      <c r="M88" s="580"/>
      <c r="N88" s="1151"/>
      <c r="O88" s="1151"/>
      <c r="P88" s="2628"/>
      <c r="Q88" s="503"/>
    </row>
    <row r="89" spans="1:17" s="116" customFormat="1" ht="15.75" thickBot="1">
      <c r="A89" s="578"/>
      <c r="B89" s="542"/>
      <c r="C89" s="3045">
        <v>100</v>
      </c>
      <c r="D89" s="3044">
        <v>97</v>
      </c>
      <c r="E89" s="3044"/>
      <c r="F89" s="3044"/>
      <c r="G89" s="3044"/>
      <c r="H89" s="535"/>
      <c r="I89" s="535"/>
      <c r="J89" s="535"/>
      <c r="K89" s="535"/>
      <c r="L89" s="535"/>
      <c r="M89" s="535"/>
      <c r="N89" s="1153"/>
      <c r="O89" s="1153"/>
      <c r="P89" s="2628"/>
      <c r="Q89" s="503"/>
    </row>
    <row r="90" spans="1:17" s="470" customFormat="1" ht="15.75" thickTop="1">
      <c r="A90" s="552"/>
      <c r="B90" s="537" t="str">
        <f>B27</f>
        <v>人流量</v>
      </c>
      <c r="C90" s="3048" t="s">
        <v>3139</v>
      </c>
      <c r="D90" s="3048" t="s">
        <v>3140</v>
      </c>
      <c r="E90" s="3048" t="s">
        <v>3136</v>
      </c>
      <c r="F90" s="3048" t="s">
        <v>3137</v>
      </c>
      <c r="G90" s="3048" t="s">
        <v>3138</v>
      </c>
      <c r="H90" s="554"/>
      <c r="I90" s="554"/>
      <c r="J90" s="554"/>
      <c r="K90" s="554"/>
      <c r="L90" s="555"/>
      <c r="M90" s="556"/>
      <c r="N90" s="1154"/>
      <c r="O90" s="1154"/>
      <c r="P90" s="2629"/>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4"/>
      <c r="O91" s="1154"/>
      <c r="P91" s="2629"/>
      <c r="Q91" s="558"/>
    </row>
    <row r="92" spans="1:17" ht="15.75" thickTop="1">
      <c r="A92" s="533"/>
      <c r="B92" s="537" t="str">
        <f>B28</f>
        <v>楼层</v>
      </c>
      <c r="C92" s="3056" t="s">
        <v>3141</v>
      </c>
      <c r="D92" s="553"/>
      <c r="E92" s="553"/>
      <c r="F92" s="553"/>
      <c r="G92" s="553"/>
      <c r="H92" s="553"/>
      <c r="I92" s="553"/>
      <c r="J92" s="553"/>
      <c r="K92" s="553"/>
      <c r="L92" s="579"/>
      <c r="M92" s="580"/>
      <c r="N92" s="1152"/>
      <c r="O92" s="1152"/>
      <c r="P92" s="2628"/>
      <c r="Q92" s="503"/>
    </row>
    <row r="93" spans="1:17" ht="15.75" thickBot="1">
      <c r="A93" s="533"/>
      <c r="B93" s="542"/>
      <c r="C93" s="535"/>
      <c r="D93" s="535"/>
      <c r="E93" s="535"/>
      <c r="F93" s="535"/>
      <c r="G93" s="535"/>
      <c r="H93" s="535"/>
      <c r="I93" s="535"/>
      <c r="J93" s="535"/>
      <c r="K93" s="535"/>
      <c r="L93" s="535"/>
      <c r="M93" s="536"/>
      <c r="N93" s="1153"/>
      <c r="O93" s="1153"/>
      <c r="P93" s="2628"/>
      <c r="Q93" s="503"/>
    </row>
    <row r="94" spans="1:17" ht="15.75" thickTop="1">
      <c r="A94" s="533"/>
      <c r="B94" s="537">
        <f>B29</f>
        <v>111</v>
      </c>
      <c r="C94" s="553"/>
      <c r="D94" s="553"/>
      <c r="E94" s="553"/>
      <c r="F94" s="553"/>
      <c r="G94" s="582"/>
      <c r="H94" s="582"/>
      <c r="I94" s="582"/>
      <c r="J94" s="582"/>
      <c r="K94" s="583"/>
      <c r="L94" s="584"/>
      <c r="M94" s="585"/>
      <c r="N94" s="1152"/>
      <c r="O94" s="1152"/>
      <c r="P94" s="2628"/>
      <c r="Q94" s="503"/>
    </row>
    <row r="95" spans="1:17" ht="15.75" thickBot="1">
      <c r="A95" s="533"/>
      <c r="B95" s="542"/>
      <c r="C95" s="559"/>
      <c r="D95" s="535"/>
      <c r="E95" s="535"/>
      <c r="F95" s="535"/>
      <c r="G95" s="535"/>
      <c r="H95" s="535"/>
      <c r="I95" s="535"/>
      <c r="J95" s="535"/>
      <c r="K95" s="535"/>
      <c r="L95" s="535"/>
      <c r="M95" s="536"/>
      <c r="N95" s="1153"/>
      <c r="O95" s="1153"/>
      <c r="P95" s="2628"/>
      <c r="Q95" s="503"/>
    </row>
    <row r="96" spans="1:17" ht="15.75" thickTop="1">
      <c r="A96" s="533"/>
      <c r="B96" s="537">
        <f>B30</f>
        <v>111</v>
      </c>
      <c r="C96" s="553"/>
      <c r="D96" s="553"/>
      <c r="E96" s="553"/>
      <c r="F96" s="553"/>
      <c r="G96" s="582"/>
      <c r="H96" s="582"/>
      <c r="I96" s="582"/>
      <c r="J96" s="582"/>
      <c r="K96" s="583"/>
      <c r="L96" s="584"/>
      <c r="M96" s="585"/>
      <c r="N96" s="1152"/>
      <c r="O96" s="1152"/>
      <c r="P96" s="2628"/>
      <c r="Q96" s="503"/>
    </row>
    <row r="97" spans="1:17" ht="15.75" thickBot="1">
      <c r="A97" s="533"/>
      <c r="B97" s="542"/>
      <c r="C97" s="559"/>
      <c r="D97" s="535"/>
      <c r="E97" s="535"/>
      <c r="F97" s="535"/>
      <c r="G97" s="535"/>
      <c r="H97" s="535"/>
      <c r="I97" s="535"/>
      <c r="J97" s="535"/>
      <c r="K97" s="535"/>
      <c r="L97" s="535"/>
      <c r="M97" s="536"/>
      <c r="N97" s="1153"/>
      <c r="O97" s="1153"/>
      <c r="P97" s="2628"/>
      <c r="Q97" s="503"/>
    </row>
    <row r="98" spans="1:17" ht="15.75" thickTop="1">
      <c r="A98" s="533"/>
      <c r="B98" s="545">
        <f>B31</f>
        <v>111</v>
      </c>
      <c r="C98" s="553"/>
      <c r="D98" s="553"/>
      <c r="E98" s="553"/>
      <c r="F98" s="553"/>
      <c r="G98" s="586"/>
      <c r="H98" s="586"/>
      <c r="I98" s="586"/>
      <c r="J98" s="586"/>
      <c r="K98" s="587"/>
      <c r="L98" s="588"/>
      <c r="M98" s="589"/>
      <c r="N98" s="1152"/>
      <c r="O98" s="1152"/>
      <c r="P98" s="2628"/>
      <c r="Q98" s="503"/>
    </row>
    <row r="99" spans="1:17" ht="15.75" thickBot="1">
      <c r="A99" s="2634"/>
      <c r="B99" s="568"/>
      <c r="C99" s="569"/>
      <c r="D99" s="569"/>
      <c r="E99" s="569"/>
      <c r="F99" s="569"/>
      <c r="G99" s="590"/>
      <c r="H99" s="590"/>
      <c r="I99" s="590"/>
      <c r="J99" s="590"/>
      <c r="K99" s="590"/>
      <c r="L99" s="590"/>
      <c r="M99" s="591"/>
      <c r="N99" s="1153"/>
      <c r="O99" s="1153"/>
      <c r="P99" s="2628"/>
      <c r="Q99" s="503"/>
    </row>
    <row r="100" spans="1:17">
      <c r="A100" s="526" t="s">
        <v>2565</v>
      </c>
      <c r="B100" s="527" t="s">
        <v>2683</v>
      </c>
      <c r="C100" s="529" t="s">
        <v>3142</v>
      </c>
      <c r="D100" s="529" t="s">
        <v>3143</v>
      </c>
      <c r="E100" s="529" t="s">
        <v>3145</v>
      </c>
      <c r="F100" s="529" t="s">
        <v>3147</v>
      </c>
      <c r="G100" s="529" t="s">
        <v>3149</v>
      </c>
      <c r="H100" s="529"/>
      <c r="I100" s="529"/>
      <c r="J100" s="529"/>
      <c r="K100" s="530"/>
      <c r="L100" s="531"/>
      <c r="M100" s="532"/>
      <c r="N100" s="1152"/>
      <c r="O100" s="1152"/>
      <c r="P100" s="2628"/>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3"/>
      <c r="O101" s="1153"/>
      <c r="P101" s="2628"/>
      <c r="Q101" s="503"/>
    </row>
    <row r="102" spans="1:17" ht="15.75" thickTop="1">
      <c r="A102" s="533"/>
      <c r="B102" s="537" t="s">
        <v>2615</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v>
      </c>
      <c r="I102" s="577" t="str">
        <f t="shared" si="23"/>
        <v>(含)-</v>
      </c>
      <c r="J102" s="577" t="str">
        <f t="shared" si="23"/>
        <v>(含)-</v>
      </c>
      <c r="K102" s="577" t="str">
        <f t="shared" si="23"/>
        <v>(含)-</v>
      </c>
      <c r="L102" s="577" t="str">
        <f t="shared" si="23"/>
        <v>(含)-</v>
      </c>
      <c r="M102" s="621" t="str">
        <f>M103&amp;"(含)"&amp;"-"&amp;P103</f>
        <v>(含)-</v>
      </c>
      <c r="N102" s="1151"/>
      <c r="O102" s="1151"/>
      <c r="P102" s="2628"/>
      <c r="Q102" s="503"/>
    </row>
    <row r="103" spans="1:17" s="470" customFormat="1">
      <c r="A103" s="592"/>
      <c r="B103" s="593"/>
      <c r="C103" s="594">
        <v>0</v>
      </c>
      <c r="D103" s="594">
        <v>200</v>
      </c>
      <c r="E103" s="594">
        <v>400</v>
      </c>
      <c r="F103" s="594">
        <v>600</v>
      </c>
      <c r="G103" s="594">
        <v>800</v>
      </c>
      <c r="H103" s="594">
        <v>1000</v>
      </c>
      <c r="I103" s="594"/>
      <c r="J103" s="595"/>
      <c r="K103" s="595"/>
      <c r="L103" s="596"/>
      <c r="M103" s="597"/>
      <c r="N103" s="1154"/>
      <c r="O103" s="1154"/>
      <c r="P103" s="2629"/>
      <c r="Q103" s="558"/>
    </row>
    <row r="104" spans="1:17" s="470" customFormat="1" ht="15.75" thickBot="1">
      <c r="A104" s="552"/>
      <c r="B104" s="542"/>
      <c r="C104" s="559">
        <v>100</v>
      </c>
      <c r="D104" s="535">
        <v>98</v>
      </c>
      <c r="E104" s="559">
        <v>96</v>
      </c>
      <c r="F104" s="535">
        <v>94</v>
      </c>
      <c r="G104" s="559">
        <v>92</v>
      </c>
      <c r="H104" s="535">
        <v>90</v>
      </c>
      <c r="I104" s="535"/>
      <c r="J104" s="535"/>
      <c r="K104" s="535"/>
      <c r="L104" s="535"/>
      <c r="M104" s="536"/>
      <c r="N104" s="1153"/>
      <c r="O104" s="1153"/>
      <c r="P104" s="2629"/>
      <c r="Q104" s="558"/>
    </row>
    <row r="105" spans="1:17" ht="15" thickTop="1">
      <c r="A105" s="598"/>
      <c r="B105" s="537" t="s">
        <v>2616</v>
      </c>
      <c r="C105" s="3015" t="s">
        <v>3150</v>
      </c>
      <c r="D105" s="3015" t="s">
        <v>3151</v>
      </c>
      <c r="E105" s="582" t="s">
        <v>3152</v>
      </c>
      <c r="F105" s="582"/>
      <c r="G105" s="582"/>
      <c r="H105" s="582"/>
      <c r="I105" s="582"/>
      <c r="J105" s="582"/>
      <c r="K105" s="583"/>
      <c r="L105" s="584"/>
      <c r="M105" s="585"/>
      <c r="N105" s="1152"/>
      <c r="O105" s="1152"/>
      <c r="P105" s="2628"/>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3"/>
      <c r="O106" s="1153"/>
      <c r="P106" s="2628"/>
      <c r="Q106" s="503"/>
    </row>
    <row r="107" spans="1:17" ht="15" thickTop="1">
      <c r="A107" s="598"/>
      <c r="B107" s="537" t="s">
        <v>2618</v>
      </c>
      <c r="C107" s="3015" t="s">
        <v>3154</v>
      </c>
      <c r="D107" s="3015" t="s">
        <v>3155</v>
      </c>
      <c r="E107" s="3015" t="s">
        <v>3156</v>
      </c>
      <c r="F107" s="582" t="s">
        <v>3157</v>
      </c>
      <c r="G107" s="582"/>
      <c r="H107" s="582"/>
      <c r="I107" s="582"/>
      <c r="J107" s="582"/>
      <c r="K107" s="583"/>
      <c r="L107" s="584"/>
      <c r="M107" s="585"/>
      <c r="N107" s="1152"/>
      <c r="O107" s="1152"/>
      <c r="P107" s="2628"/>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8"/>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8"/>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8"/>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3"/>
      <c r="O111" s="1153"/>
      <c r="P111" s="2628"/>
      <c r="Q111" s="503"/>
    </row>
    <row r="112" spans="1:17" s="470" customFormat="1" ht="15" thickTop="1">
      <c r="A112" s="592"/>
      <c r="B112" s="537" t="s">
        <v>2620</v>
      </c>
      <c r="C112" s="3015" t="s">
        <v>3158</v>
      </c>
      <c r="D112" s="3015" t="s">
        <v>3159</v>
      </c>
      <c r="E112" s="3015" t="s">
        <v>3160</v>
      </c>
      <c r="F112" s="3015" t="s">
        <v>3161</v>
      </c>
      <c r="G112" s="3015" t="s">
        <v>3162</v>
      </c>
      <c r="H112" s="582"/>
      <c r="I112" s="582"/>
      <c r="J112" s="582"/>
      <c r="K112" s="583"/>
      <c r="L112" s="584"/>
      <c r="M112" s="585"/>
      <c r="N112" s="1154"/>
      <c r="O112" s="1154"/>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4"/>
      <c r="O113" s="1154"/>
      <c r="P113" s="2629"/>
      <c r="Q113" s="558"/>
    </row>
    <row r="114" spans="1:17" ht="15" thickTop="1">
      <c r="A114" s="598"/>
      <c r="B114" s="537" t="s">
        <v>2684</v>
      </c>
      <c r="C114" s="3015" t="s">
        <v>3164</v>
      </c>
      <c r="D114" s="3015" t="s">
        <v>3166</v>
      </c>
      <c r="E114" s="582"/>
      <c r="F114" s="582"/>
      <c r="G114" s="582"/>
      <c r="H114" s="582"/>
      <c r="I114" s="582"/>
      <c r="J114" s="582"/>
      <c r="K114" s="583"/>
      <c r="L114" s="584"/>
      <c r="M114" s="585"/>
      <c r="N114" s="1152"/>
      <c r="O114" s="1152"/>
      <c r="P114" s="2628"/>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3"/>
      <c r="O115" s="1153"/>
      <c r="P115" s="2628"/>
      <c r="Q115" s="503"/>
    </row>
    <row r="116" spans="1:17" ht="15" thickTop="1">
      <c r="A116" s="598"/>
      <c r="B116" s="537" t="s">
        <v>2685</v>
      </c>
      <c r="C116" s="3015" t="s">
        <v>3168</v>
      </c>
      <c r="D116" s="3015" t="s">
        <v>3170</v>
      </c>
      <c r="E116" s="553"/>
      <c r="F116" s="553"/>
      <c r="G116" s="553"/>
      <c r="H116" s="582"/>
      <c r="I116" s="582"/>
      <c r="J116" s="582"/>
      <c r="K116" s="583"/>
      <c r="L116" s="584"/>
      <c r="M116" s="585"/>
      <c r="N116" s="1152"/>
      <c r="O116" s="1152"/>
      <c r="P116" s="2628"/>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3"/>
      <c r="O117" s="1153"/>
      <c r="P117" s="2628"/>
      <c r="Q117" s="503"/>
    </row>
    <row r="118" spans="1:17" ht="15" thickTop="1">
      <c r="A118" s="598"/>
      <c r="B118" s="537" t="s">
        <v>2686</v>
      </c>
      <c r="C118" s="626"/>
      <c r="D118" s="626"/>
      <c r="E118" s="626"/>
      <c r="F118" s="626"/>
      <c r="G118" s="626"/>
      <c r="H118" s="554"/>
      <c r="I118" s="554"/>
      <c r="J118" s="554"/>
      <c r="K118" s="554"/>
      <c r="L118" s="555"/>
      <c r="M118" s="556"/>
      <c r="N118" s="1152"/>
      <c r="O118" s="1152"/>
      <c r="P118" s="2628"/>
      <c r="Q118" s="503"/>
    </row>
    <row r="119" spans="1:17" ht="15.75" thickBot="1">
      <c r="A119" s="533"/>
      <c r="B119" s="542"/>
      <c r="C119" s="559"/>
      <c r="D119" s="535"/>
      <c r="E119" s="535"/>
      <c r="F119" s="535"/>
      <c r="G119" s="535"/>
      <c r="H119" s="535"/>
      <c r="I119" s="535"/>
      <c r="J119" s="535"/>
      <c r="K119" s="535"/>
      <c r="L119" s="535"/>
      <c r="M119" s="536"/>
      <c r="N119" s="1153"/>
      <c r="O119" s="1153"/>
      <c r="P119" s="2628"/>
      <c r="Q119" s="503"/>
    </row>
    <row r="120" spans="1:17" s="470" customFormat="1" ht="15" thickTop="1">
      <c r="A120" s="592"/>
      <c r="B120" s="537" t="s">
        <v>2687</v>
      </c>
      <c r="C120" s="582"/>
      <c r="D120" s="582"/>
      <c r="E120" s="582"/>
      <c r="F120" s="582"/>
      <c r="G120" s="554"/>
      <c r="H120" s="554"/>
      <c r="I120" s="554"/>
      <c r="J120" s="554"/>
      <c r="K120" s="554"/>
      <c r="L120" s="555"/>
      <c r="M120" s="556"/>
      <c r="N120" s="1154"/>
      <c r="O120" s="1154"/>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29"/>
      <c r="Q121" s="558"/>
    </row>
    <row r="122" spans="1:17" ht="15" thickTop="1">
      <c r="A122" s="598"/>
      <c r="B122" s="537" t="s">
        <v>2622</v>
      </c>
      <c r="C122" s="3015" t="s">
        <v>3154</v>
      </c>
      <c r="D122" s="3015" t="s">
        <v>3155</v>
      </c>
      <c r="E122" s="3015" t="s">
        <v>3156</v>
      </c>
      <c r="F122" s="582" t="s">
        <v>3157</v>
      </c>
      <c r="G122" s="582"/>
      <c r="H122" s="582"/>
      <c r="I122" s="582"/>
      <c r="J122" s="582"/>
      <c r="K122" s="583"/>
      <c r="L122" s="584"/>
      <c r="M122" s="585"/>
      <c r="N122" s="1152"/>
      <c r="O122" s="1152"/>
      <c r="P122" s="2628"/>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3"/>
      <c r="O123" s="1153"/>
      <c r="P123" s="2628"/>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2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9"/>
      <c r="Q127" s="558"/>
    </row>
    <row r="128" spans="1:17" ht="15" thickTop="1">
      <c r="A128" s="598"/>
      <c r="B128" s="537">
        <f>B45</f>
        <v>111</v>
      </c>
      <c r="C128" s="553"/>
      <c r="D128" s="553"/>
      <c r="E128" s="553"/>
      <c r="F128" s="553"/>
      <c r="G128" s="582"/>
      <c r="H128" s="582"/>
      <c r="I128" s="582"/>
      <c r="J128" s="582"/>
      <c r="K128" s="583"/>
      <c r="L128" s="584"/>
      <c r="M128" s="585"/>
      <c r="N128" s="1152"/>
      <c r="O128" s="1152"/>
      <c r="P128" s="2628"/>
      <c r="Q128" s="503"/>
    </row>
    <row r="129" spans="1:17" ht="15.75" thickBot="1">
      <c r="A129" s="533"/>
      <c r="B129" s="542"/>
      <c r="C129" s="559"/>
      <c r="D129" s="535"/>
      <c r="E129" s="535"/>
      <c r="F129" s="535"/>
      <c r="G129" s="535"/>
      <c r="H129" s="535"/>
      <c r="I129" s="535"/>
      <c r="J129" s="535"/>
      <c r="K129" s="535"/>
      <c r="L129" s="535"/>
      <c r="M129" s="536"/>
      <c r="N129" s="1153"/>
      <c r="O129" s="1153"/>
      <c r="P129" s="2628"/>
      <c r="Q129" s="503"/>
    </row>
    <row r="130" spans="1:17" ht="15" thickTop="1">
      <c r="A130" s="598"/>
      <c r="B130" s="545">
        <f>B46</f>
        <v>111</v>
      </c>
      <c r="C130" s="553"/>
      <c r="D130" s="553"/>
      <c r="E130" s="553"/>
      <c r="F130" s="553"/>
      <c r="G130" s="586"/>
      <c r="H130" s="586"/>
      <c r="I130" s="586"/>
      <c r="J130" s="586"/>
      <c r="K130" s="522"/>
      <c r="L130" s="523"/>
      <c r="M130" s="589"/>
      <c r="N130" s="1152"/>
      <c r="O130" s="1152"/>
      <c r="P130" s="2628"/>
      <c r="Q130" s="503"/>
    </row>
    <row r="131" spans="1:17" ht="15.75" thickBot="1">
      <c r="A131" s="2634"/>
      <c r="B131" s="568"/>
      <c r="C131" s="569"/>
      <c r="D131" s="569"/>
      <c r="E131" s="569"/>
      <c r="F131" s="569"/>
      <c r="G131" s="590"/>
      <c r="H131" s="590"/>
      <c r="I131" s="590"/>
      <c r="J131" s="590"/>
      <c r="K131" s="590"/>
      <c r="L131" s="590"/>
      <c r="M131" s="591"/>
      <c r="N131" s="1153"/>
      <c r="O131" s="1153"/>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6" priority="17" stopIfTrue="1" operator="containsText" text="超过">
      <formula>NOT(ISERROR(SEARCH("超过",F52)))</formula>
    </cfRule>
  </conditionalFormatting>
  <conditionalFormatting sqref="H54">
    <cfRule type="containsText" dxfId="145" priority="15" stopIfTrue="1" operator="containsText" text="超过">
      <formula>NOT(ISERROR(SEARCH("超过",H54)))</formula>
    </cfRule>
  </conditionalFormatting>
  <conditionalFormatting sqref="F54">
    <cfRule type="containsText" dxfId="144" priority="14" stopIfTrue="1" operator="containsText" text="超过">
      <formula>NOT(ISERROR(SEARCH("超过",F54)))</formula>
    </cfRule>
  </conditionalFormatting>
  <conditionalFormatting sqref="F53 H53">
    <cfRule type="containsText" dxfId="143" priority="13" stopIfTrue="1" operator="containsText" text="超过">
      <formula>NOT(ISERROR(SEARCH("超过",F53)))</formula>
    </cfRule>
  </conditionalFormatting>
  <conditionalFormatting sqref="E52">
    <cfRule type="expression" dxfId="142" priority="12" stopIfTrue="1">
      <formula>$F$52="超过30%"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4">
    <cfRule type="expression" dxfId="139" priority="9" stopIfTrue="1">
      <formula>$H$54="超过30%"</formula>
    </cfRule>
  </conditionalFormatting>
  <conditionalFormatting sqref="G52">
    <cfRule type="expression" dxfId="138" priority="8" stopIfTrue="1">
      <formula>$H$52="超过30%"</formula>
    </cfRule>
  </conditionalFormatting>
  <conditionalFormatting sqref="G53">
    <cfRule type="expression" dxfId="137" priority="7" stopIfTrue="1">
      <formula>$H$53="超过20%"</formula>
    </cfRule>
  </conditionalFormatting>
  <conditionalFormatting sqref="J52">
    <cfRule type="containsText" dxfId="136" priority="6" stopIfTrue="1" operator="containsText" text="超过">
      <formula>NOT(ISERROR(SEARCH("超过",J52)))</formula>
    </cfRule>
  </conditionalFormatting>
  <conditionalFormatting sqref="J54">
    <cfRule type="containsText" dxfId="135" priority="5" stopIfTrue="1" operator="containsText" text="超过">
      <formula>NOT(ISERROR(SEARCH("超过",J54)))</formula>
    </cfRule>
  </conditionalFormatting>
  <conditionalFormatting sqref="J53">
    <cfRule type="containsText" dxfId="134" priority="4" stopIfTrue="1" operator="containsText" text="超过">
      <formula>NOT(ISERROR(SEARCH("超过",J53)))</formula>
    </cfRule>
  </conditionalFormatting>
  <conditionalFormatting sqref="I52">
    <cfRule type="expression" dxfId="133" priority="3" stopIfTrue="1">
      <formula>$J$52="超过30%"</formula>
    </cfRule>
  </conditionalFormatting>
  <conditionalFormatting sqref="I53">
    <cfRule type="expression" dxfId="132" priority="2" stopIfTrue="1">
      <formula>$J$53="超过20%"</formula>
    </cfRule>
  </conditionalFormatting>
  <conditionalFormatting sqref="I54">
    <cfRule type="expression" dxfId="13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北京国锐房地产开发有限公司：</v>
      </c>
    </row>
    <row r="4" spans="1:1" ht="36">
      <c r="A4" s="1947" t="str">
        <f>"受贵公司委托，我公司对"&amp;项目基本情况!S1&amp;"进行了预评估。"</f>
        <v>受贵公司委托，我公司对北京市经济技术开发区荣华南路1号院1号楼房地产抵押价值进行了预评估。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荣华南路1号院1号楼房地产，为北京国锐房地产开发有限公司所有。根据《国有土地使用证》[]，估价对象（分摊）出让国有建设用地使用权面积为0平方米，建筑面积为16929.98平方米。</v>
      </c>
    </row>
    <row r="8" spans="1:1" ht="57.75">
      <c r="A8" s="1950" t="s">
        <v>1610</v>
      </c>
    </row>
    <row r="9" spans="1:1" ht="18.75">
      <c r="A9" s="1949" t="s">
        <v>1611</v>
      </c>
    </row>
    <row r="10" spans="1:1" ht="72">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荣华南路1号院1号楼房地产,属北京国锐房地产开发有限公司开发建设的，该项目尚在开发建设中。根据《国有土地使用证》[]，估价对象（分摊）出让国有建设用地使用权面积为0平方米，规划建筑面积为16929.98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2019年3月29日（评估专业人员实地查勘之日）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"本次评估采用的主估价方法为"&amp;'结果表（办公）'!K4&amp;"和"&amp;'结果表（办公）'!L4&amp;"。"</f>
        <v>本次评估采用的主估价方法为基准地价系数修正法和收益法。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H43" sqref="H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1373</v>
      </c>
      <c r="D1" s="1819" t="s">
        <v>70</v>
      </c>
      <c r="E1" s="1820" t="s">
        <v>1383</v>
      </c>
      <c r="F1" s="1282" t="e">
        <f ca="1">J53</f>
        <v>#N/A</v>
      </c>
      <c r="G1" s="1835"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t="e">
        <f ca="1">C6+C10+C12</f>
        <v>#N/A</v>
      </c>
      <c r="D5" s="1821" t="s">
        <v>1398</v>
      </c>
      <c r="E5" s="1292"/>
      <c r="F5" s="1293"/>
      <c r="G5" s="1850"/>
      <c r="H5" s="343">
        <v>1</v>
      </c>
      <c r="I5" s="344" t="s">
        <v>1397</v>
      </c>
      <c r="J5" s="1291" t="e">
        <f ca="1">J6+J10+J12</f>
        <v>#N/A</v>
      </c>
      <c r="K5" s="1821" t="s">
        <v>1398</v>
      </c>
      <c r="L5" s="1292"/>
      <c r="M5" s="1293"/>
    </row>
    <row r="6" spans="1:37" ht="18" customHeight="1">
      <c r="A6" s="1290" t="s">
        <v>1032</v>
      </c>
      <c r="B6" s="3490" t="s">
        <v>1399</v>
      </c>
      <c r="C6" s="1295" t="e">
        <f ca="1">ROUND(F6*F8*F7*(1-F9)/10000,0)</f>
        <v>#N/A</v>
      </c>
      <c r="D6" s="163" t="s">
        <v>3031</v>
      </c>
      <c r="E6" s="346" t="s">
        <v>1401</v>
      </c>
      <c r="F6" s="347" t="e">
        <f ca="1">INDIRECT("'数据-取费表'!u"&amp;$G$1)</f>
        <v>#N/A</v>
      </c>
      <c r="G6" s="1850"/>
      <c r="H6" s="1290" t="s">
        <v>1032</v>
      </c>
      <c r="I6" s="3490" t="s">
        <v>1399</v>
      </c>
      <c r="J6" s="345" t="e">
        <f ca="1">ROUND(M6*M8*M7*(1-M9)/10000,0)</f>
        <v>#N/A</v>
      </c>
      <c r="K6" s="163" t="s">
        <v>3030</v>
      </c>
      <c r="L6" s="346" t="s">
        <v>1401</v>
      </c>
      <c r="M6" s="347" t="e">
        <f ca="1">INDIRECT("'数据-取费表'!z"&amp;$G$1)</f>
        <v>#N/A</v>
      </c>
    </row>
    <row r="7" spans="1:37" ht="18" customHeight="1">
      <c r="A7" s="1294"/>
      <c r="B7" s="3491"/>
      <c r="C7" s="1296"/>
      <c r="D7" s="351"/>
      <c r="E7" s="1297" t="s">
        <v>1402</v>
      </c>
      <c r="F7" s="347" t="e">
        <f ca="1">IF(INDIRECT("'数据-取费表'!ah"&amp;$G$1)="",INDIRECT("'数据-取费表'!k"&amp;$G$1),INDIRECT("'数据-取费表'!ah"&amp;$G$1))</f>
        <v>#N/A</v>
      </c>
      <c r="G7" s="1850"/>
      <c r="H7" s="348"/>
      <c r="I7" s="3491"/>
      <c r="J7" s="350"/>
      <c r="K7" s="351"/>
      <c r="L7" s="346" t="s">
        <v>1402</v>
      </c>
      <c r="M7" s="347" t="e">
        <f ca="1">F7</f>
        <v>#N/A</v>
      </c>
    </row>
    <row r="8" spans="1:37" ht="18" customHeight="1">
      <c r="A8" s="348"/>
      <c r="B8" s="3491"/>
      <c r="C8" s="350"/>
      <c r="D8" s="351"/>
      <c r="E8" s="346" t="s">
        <v>1403</v>
      </c>
      <c r="F8" s="347" t="e">
        <f ca="1">INDIRECT("'数据-取费表'!ai"&amp;$G$1)</f>
        <v>#N/A</v>
      </c>
      <c r="G8" s="1850"/>
      <c r="H8" s="348"/>
      <c r="I8" s="3491"/>
      <c r="J8" s="350"/>
      <c r="K8" s="351"/>
      <c r="L8" s="346" t="s">
        <v>1403</v>
      </c>
      <c r="M8" s="347" t="e">
        <f ca="1">INDIRECT("'数据-取费表'!ai"&amp;$G$1)</f>
        <v>#N/A</v>
      </c>
    </row>
    <row r="9" spans="1:37" ht="18" customHeight="1">
      <c r="A9" s="348"/>
      <c r="B9" s="3492"/>
      <c r="C9" s="350"/>
      <c r="D9" s="351"/>
      <c r="E9" s="346" t="s">
        <v>1404</v>
      </c>
      <c r="F9" s="356" t="e">
        <f ca="1">INDIRECT("'数据-取费表'!w"&amp;$G$1)</f>
        <v>#N/A</v>
      </c>
      <c r="G9" s="1850"/>
      <c r="H9" s="348"/>
      <c r="I9" s="3492"/>
      <c r="J9" s="350"/>
      <c r="K9" s="351"/>
      <c r="L9" s="357" t="s">
        <v>1404</v>
      </c>
      <c r="M9" s="358" t="e">
        <f ca="1">INDIRECT("'数据-取费表'!ab"&amp;$G$1)</f>
        <v>#N/A</v>
      </c>
    </row>
    <row r="10" spans="1:37" ht="18" customHeight="1">
      <c r="A10" s="1290" t="s">
        <v>1036</v>
      </c>
      <c r="B10" s="1822" t="s">
        <v>1405</v>
      </c>
      <c r="C10" s="360" t="e">
        <f ca="1">ROUND(IF(F10="押一",C6/12*F11,IF(F10="押二",C6/12*2*F11,IF(F10="押三",C6/12*3*F11,C11*F11))),0)</f>
        <v>#N/A</v>
      </c>
      <c r="D10" s="1823" t="s">
        <v>3040</v>
      </c>
      <c r="E10" s="357" t="s">
        <v>1406</v>
      </c>
      <c r="F10" s="1365" t="s">
        <v>3127</v>
      </c>
      <c r="G10" s="1850"/>
      <c r="H10" s="1290" t="s">
        <v>1036</v>
      </c>
      <c r="I10" s="1822" t="s">
        <v>1405</v>
      </c>
      <c r="J10" s="345" t="e">
        <f ca="1">ROUND(IF(M10="押一",J6/12*M11,IF(M10="押二",J6/12*2*M11,IF(M10="押三",J6/12*3*M11,J11*M11))),0)</f>
        <v>#N/A</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t="e">
        <f ca="1">ROUND(C29*F13,0)</f>
        <v>#N/A</v>
      </c>
      <c r="D13" s="1330" t="s">
        <v>1411</v>
      </c>
      <c r="E13" s="1330" t="s">
        <v>1412</v>
      </c>
      <c r="F13" s="1331" t="e">
        <f ca="1">INDIRECT("'数据-取费表'!y"&amp;$G$1)</f>
        <v>#N/A</v>
      </c>
      <c r="G13" s="1850"/>
      <c r="H13" s="1328">
        <v>2</v>
      </c>
      <c r="I13" s="1329" t="s">
        <v>1410</v>
      </c>
      <c r="J13" s="1289" t="e">
        <f ca="1">ROUND(J14*J15,0)</f>
        <v>#N/A</v>
      </c>
      <c r="K13" s="1336" t="s">
        <v>1411</v>
      </c>
      <c r="L13" s="1851"/>
      <c r="M13" s="1852"/>
    </row>
    <row r="14" spans="1:37" ht="18" customHeight="1">
      <c r="A14" s="1201" t="s">
        <v>1031</v>
      </c>
      <c r="B14" s="346" t="s">
        <v>1413</v>
      </c>
      <c r="C14" s="362" t="e">
        <f ca="1">INDIRECT("'数据-取费表'!m"&amp;$G$1)+INDIRECT("'数据-取费表'!t"&amp;$G$1)</f>
        <v>#N/A</v>
      </c>
      <c r="D14" s="1799" t="s">
        <v>1414</v>
      </c>
      <c r="E14" s="1793"/>
      <c r="F14" s="363"/>
      <c r="G14" s="1850"/>
      <c r="H14" s="1201" t="s">
        <v>1032</v>
      </c>
      <c r="I14" s="346" t="s">
        <v>1415</v>
      </c>
      <c r="J14" s="23" t="e">
        <f ca="1">C29</f>
        <v>#N/A</v>
      </c>
      <c r="K14" s="14"/>
      <c r="L14" s="979"/>
      <c r="M14" s="980"/>
    </row>
    <row r="15" spans="1:37" s="1857" customFormat="1" ht="18" customHeight="1" thickBot="1">
      <c r="A15" s="1201" t="s">
        <v>1033</v>
      </c>
      <c r="B15" s="346" t="s">
        <v>1416</v>
      </c>
      <c r="C15" s="23" t="e">
        <f ca="1">ROUND(C14*F15,0)</f>
        <v>#N/A</v>
      </c>
      <c r="D15" s="364" t="s">
        <v>1417</v>
      </c>
      <c r="E15" s="364" t="s">
        <v>1418</v>
      </c>
      <c r="F15" s="365">
        <f>'数据-取费表'!B33</f>
        <v>0.05</v>
      </c>
      <c r="G15" s="1853"/>
      <c r="H15" s="1338" t="s">
        <v>1036</v>
      </c>
      <c r="I15" s="1339" t="s">
        <v>1412</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0"/>
      <c r="H16" s="1328" t="s">
        <v>1027</v>
      </c>
      <c r="I16" s="1329" t="s">
        <v>1420</v>
      </c>
      <c r="J16" s="354" t="e">
        <f ca="1">ROUND(J17+J22+J23+J24,0)</f>
        <v>#N/A</v>
      </c>
      <c r="K16" s="1336" t="s">
        <v>1421</v>
      </c>
      <c r="L16" s="1337"/>
      <c r="M16" s="1293"/>
    </row>
    <row r="17" spans="1:37" s="1857" customFormat="1" ht="18" customHeight="1">
      <c r="A17" s="1201" t="s">
        <v>1386</v>
      </c>
      <c r="B17" s="346" t="s">
        <v>1422</v>
      </c>
      <c r="C17" s="23" t="e">
        <f ca="1">ROUND(F17*(F43+INDIRECT("'数据-取费表'!S"&amp;$G$1))/10000,0)</f>
        <v>#N/A</v>
      </c>
      <c r="D17" s="346" t="s">
        <v>1423</v>
      </c>
      <c r="E17" s="346" t="s">
        <v>1424</v>
      </c>
      <c r="F17" s="25">
        <f>'数据-取费表'!B35</f>
        <v>200</v>
      </c>
      <c r="G17" s="1853"/>
      <c r="H17" s="1201" t="s">
        <v>1032</v>
      </c>
      <c r="I17" s="346" t="s">
        <v>1425</v>
      </c>
      <c r="J17" s="23" t="e">
        <f ca="1">ROUND(IF(项目基本情况!B11="自然人",J5*M17,J18+J19+J20),1)</f>
        <v>#N/A</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t="e">
        <f ca="1">ROUND(C14*F18,0)</f>
        <v>#N/A</v>
      </c>
      <c r="D18" s="346" t="s">
        <v>1417</v>
      </c>
      <c r="E18" s="346" t="s">
        <v>1418</v>
      </c>
      <c r="F18" s="366">
        <f>'数据-取费表'!B36</f>
        <v>1.4999999999999999E-2</v>
      </c>
      <c r="G18" s="1853"/>
      <c r="H18" s="1201" t="s">
        <v>1031</v>
      </c>
      <c r="I18" s="346" t="s">
        <v>1429</v>
      </c>
      <c r="J18" s="23" t="e">
        <f ca="1">ROUND(J5*M18/(1+'数据-取费表'!C42),2)</f>
        <v>#N/A</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t="e">
        <f ca="1">SUM(C14:C18)</f>
        <v>#N/A</v>
      </c>
      <c r="D19" s="139" t="s">
        <v>1432</v>
      </c>
      <c r="E19" s="1817"/>
      <c r="F19" s="25"/>
      <c r="G19" s="1850"/>
      <c r="H19" s="1201" t="s">
        <v>1033</v>
      </c>
      <c r="I19" s="346" t="s">
        <v>1433</v>
      </c>
      <c r="J19" s="23" t="e">
        <f ca="1">IF(K19="按租金收入计税",ROUND(J5*M19,2),ROUND(C29*M19*0.7,2))</f>
        <v>#N/A</v>
      </c>
      <c r="K19" s="1827" t="s">
        <v>1434</v>
      </c>
      <c r="L19" s="346" t="s">
        <v>1418</v>
      </c>
      <c r="M19" s="366">
        <f>IF(K19="按租金收入计税",'数据-取费表'!B51,'数据-取费表'!B50)</f>
        <v>1.2E-2</v>
      </c>
    </row>
    <row r="20" spans="1:37" s="1857" customFormat="1" ht="18" customHeight="1">
      <c r="A20" s="1201" t="s">
        <v>1036</v>
      </c>
      <c r="B20" s="346" t="s">
        <v>1435</v>
      </c>
      <c r="C20" s="23" t="e">
        <f ca="1">ROUND(C19*F20,0)</f>
        <v>#N/A</v>
      </c>
      <c r="D20" s="368" t="s">
        <v>1436</v>
      </c>
      <c r="E20" s="346" t="s">
        <v>1418</v>
      </c>
      <c r="F20" s="366">
        <f>'数据-取费表'!B37</f>
        <v>0.03</v>
      </c>
      <c r="G20" s="1853"/>
      <c r="H20" s="1201" t="s">
        <v>1385</v>
      </c>
      <c r="I20" s="163" t="s">
        <v>1437</v>
      </c>
      <c r="J20" s="24" t="e">
        <f ca="1">ROUND(M20*M21/10000,2)</f>
        <v>#N/A</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1817"/>
      <c r="F22" s="25"/>
      <c r="G22" s="1850"/>
      <c r="H22" s="1201" t="s">
        <v>1036</v>
      </c>
      <c r="I22" s="346" t="s">
        <v>1445</v>
      </c>
      <c r="J22" s="23" t="e">
        <f ca="1">ROUND(J14*M22,1)</f>
        <v>#N/A</v>
      </c>
      <c r="K22" s="1797" t="s">
        <v>1446</v>
      </c>
      <c r="L22" s="346" t="s">
        <v>1418</v>
      </c>
      <c r="M22" s="373" t="e">
        <f ca="1">INDIRECT("'数据-取费表'!Ak"&amp;$G$1)</f>
        <v>#N/A</v>
      </c>
    </row>
    <row r="23" spans="1:37" s="1857"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t="e">
        <f ca="1">ROUND(J13*M23,1)</f>
        <v>#N/A</v>
      </c>
      <c r="K23" s="1797" t="s">
        <v>1450</v>
      </c>
      <c r="L23" s="346" t="s">
        <v>1451</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1389</v>
      </c>
      <c r="I24" s="1339" t="s">
        <v>1435</v>
      </c>
      <c r="J24" s="1340" t="e">
        <f ca="1">ROUND(J5*M24,1)</f>
        <v>#N/A</v>
      </c>
      <c r="K24" s="1341" t="s">
        <v>1455</v>
      </c>
      <c r="L24" s="1339" t="s">
        <v>1451</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1817"/>
      <c r="F25" s="25"/>
      <c r="G25" s="1850"/>
      <c r="H25" s="1328" t="s">
        <v>1028</v>
      </c>
      <c r="I25" s="1343" t="s">
        <v>1459</v>
      </c>
      <c r="J25" s="354" t="e">
        <f ca="1">J5-J16</f>
        <v>#N/A</v>
      </c>
      <c r="K25" s="1344" t="s">
        <v>1460</v>
      </c>
      <c r="L25" s="1345"/>
      <c r="M25" s="1346"/>
    </row>
    <row r="26" spans="1:37">
      <c r="A26" s="1201" t="s">
        <v>1031</v>
      </c>
      <c r="B26" s="346" t="s">
        <v>1461</v>
      </c>
      <c r="C26" s="23" t="e">
        <f ca="1">ROUND((C19+C20)*F26,0)</f>
        <v>#N/A</v>
      </c>
      <c r="D26" s="368" t="s">
        <v>1462</v>
      </c>
      <c r="E26" s="357" t="s">
        <v>1463</v>
      </c>
      <c r="F26" s="356" t="e">
        <f ca="1">INDIRECT("'数据-取费表'!q"&amp;$G$1)</f>
        <v>#N/A</v>
      </c>
      <c r="G26" s="1850"/>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0"/>
      <c r="H27" s="348"/>
      <c r="I27" s="349"/>
      <c r="J27" s="350"/>
      <c r="K27" s="377" t="s">
        <v>1469</v>
      </c>
      <c r="L27" s="346" t="s">
        <v>1470</v>
      </c>
      <c r="M27" s="378" t="e">
        <f ca="1">INDIRECT("'数据-取费表'!ag"&amp;$G$1)</f>
        <v>#N/A</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t="e">
        <f ca="1">ROUND((C19+C20+C23+C26)/(1-F21-C24-C27-C28),0)</f>
        <v>#N/A</v>
      </c>
      <c r="D29" s="1341"/>
      <c r="E29" s="1339"/>
      <c r="F29" s="1342"/>
      <c r="G29" s="1853"/>
      <c r="H29" s="379" t="s">
        <v>1030</v>
      </c>
      <c r="I29" s="380" t="s">
        <v>1475</v>
      </c>
      <c r="J29" s="381" t="e">
        <f ca="1">ROUND(J26/(1+F40)^F41,0)</f>
        <v>#N/A</v>
      </c>
      <c r="K29" s="382" t="s">
        <v>1476</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t="e">
        <f ca="1">ROUND(C31+C36+C37+C38,0)</f>
        <v>#N/A</v>
      </c>
      <c r="D30" s="1336" t="s">
        <v>1421</v>
      </c>
      <c r="E30" s="1337"/>
      <c r="F30" s="1293"/>
      <c r="G30" s="1850"/>
      <c r="H30" s="742"/>
      <c r="I30" s="743"/>
      <c r="J30" s="744"/>
      <c r="K30" s="745"/>
      <c r="L30" s="746"/>
      <c r="M30" s="747"/>
    </row>
    <row r="31" spans="1:37" ht="18" customHeight="1">
      <c r="A31" s="1201" t="s">
        <v>1032</v>
      </c>
      <c r="B31" s="346" t="s">
        <v>1425</v>
      </c>
      <c r="C31" s="23" t="e">
        <f ca="1">ROUND(IF(项目基本情况!B11="自然人",C5*F31,C32+C33+C34),1)</f>
        <v>#N/A</v>
      </c>
      <c r="D31" s="1799" t="s">
        <v>1426</v>
      </c>
      <c r="E31" s="1797"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t="e">
        <f ca="1">IF(项目基本情况!B11="自然人","——",ROUND(C5*F32/(1+'数据-取费表'!C42),2))</f>
        <v>#N/A</v>
      </c>
      <c r="D32" s="1797" t="s">
        <v>1430</v>
      </c>
      <c r="E32" s="346" t="s">
        <v>1418</v>
      </c>
      <c r="F32" s="376">
        <f>'数据-取费表'!B41</f>
        <v>5.5000000000000007E-2</v>
      </c>
      <c r="G32" s="1850"/>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t="e">
        <f ca="1">IF(项目基本情况!B11="自然人","——",ROUND(F34*F35/10000,2))</f>
        <v>#N/A</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t="e">
        <f ca="1">INDIRECT("'数据-取费表'!r"&amp;$G$1)</f>
        <v>#N/A</v>
      </c>
      <c r="G35" s="1850"/>
      <c r="H35" s="742"/>
      <c r="I35" s="1859"/>
      <c r="J35" s="1860"/>
      <c r="K35" s="1861"/>
      <c r="L35" s="1858"/>
      <c r="M35" s="1858"/>
    </row>
    <row r="36" spans="1:18" ht="18" customHeight="1">
      <c r="A36" s="1351" t="s">
        <v>1036</v>
      </c>
      <c r="B36" s="346" t="s">
        <v>1445</v>
      </c>
      <c r="C36" s="23" t="e">
        <f ca="1">ROUND(C29*F36,1)</f>
        <v>#N/A</v>
      </c>
      <c r="D36" s="1797" t="s">
        <v>1478</v>
      </c>
      <c r="E36" s="346" t="s">
        <v>1418</v>
      </c>
      <c r="F36" s="373" t="e">
        <f ca="1">INDIRECT("'数据-取费表'!Ak"&amp;$G$1)</f>
        <v>#N/A</v>
      </c>
      <c r="G36" s="1850"/>
      <c r="H36" s="1858"/>
      <c r="I36" s="1859"/>
      <c r="J36" s="1860"/>
      <c r="K36" s="748"/>
      <c r="L36" s="1858"/>
      <c r="M36" s="1858"/>
    </row>
    <row r="37" spans="1:18" ht="18" customHeight="1">
      <c r="A37" s="1201" t="s">
        <v>1072</v>
      </c>
      <c r="B37" s="346" t="s">
        <v>1449</v>
      </c>
      <c r="C37" s="23" t="e">
        <f ca="1">ROUND(C13*F37,1)</f>
        <v>#N/A</v>
      </c>
      <c r="D37" s="1797" t="s">
        <v>1450</v>
      </c>
      <c r="E37" s="346" t="s">
        <v>1451</v>
      </c>
      <c r="F37" s="375" t="e">
        <f ca="1">INDIRECT("'数据-取费表'!Al"&amp;$G$1)</f>
        <v>#N/A</v>
      </c>
      <c r="G37" s="1850"/>
      <c r="H37" s="1858"/>
      <c r="I37" s="1859"/>
      <c r="J37" s="1860"/>
      <c r="K37" s="748"/>
      <c r="L37" s="1858"/>
      <c r="M37" s="1858"/>
    </row>
    <row r="38" spans="1:18" ht="18" customHeight="1" thickBot="1">
      <c r="A38" s="1338" t="s">
        <v>1389</v>
      </c>
      <c r="B38" s="1339" t="s">
        <v>1435</v>
      </c>
      <c r="C38" s="1340" t="e">
        <f ca="1">ROUND(C5*F38,1)</f>
        <v>#N/A</v>
      </c>
      <c r="D38" s="1341" t="s">
        <v>1455</v>
      </c>
      <c r="E38" s="1339" t="s">
        <v>1451</v>
      </c>
      <c r="F38" s="1335" t="e">
        <f ca="1">INDIRECT("'数据-取费表'!Am"&amp;$G$1)</f>
        <v>#N/A</v>
      </c>
      <c r="G38" s="1850"/>
      <c r="H38" s="1858"/>
      <c r="I38" s="1859"/>
      <c r="J38" s="1860"/>
      <c r="K38" s="1864"/>
      <c r="L38" s="1858"/>
      <c r="M38" s="1858"/>
    </row>
    <row r="39" spans="1:18" ht="24.6" customHeight="1" thickTop="1">
      <c r="A39" s="1328" t="s">
        <v>1028</v>
      </c>
      <c r="B39" s="1343" t="s">
        <v>1479</v>
      </c>
      <c r="C39" s="354" t="e">
        <f ca="1">C5-C30</f>
        <v>#N/A</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#N/A</v>
      </c>
      <c r="D40" s="369" t="s">
        <v>1465</v>
      </c>
      <c r="E40" s="346" t="s">
        <v>1466</v>
      </c>
      <c r="F40" s="356" t="e">
        <f ca="1">INDIRECT("'数据-取费表'!I"&amp;$G$1)</f>
        <v>#N/A</v>
      </c>
      <c r="G40" s="1850"/>
      <c r="H40" s="1838"/>
      <c r="I40" s="1859"/>
      <c r="J40" s="1860"/>
      <c r="K40" s="1864"/>
      <c r="L40" s="1838"/>
      <c r="M40" s="1838"/>
    </row>
    <row r="41" spans="1:18" ht="18" customHeight="1">
      <c r="A41" s="348"/>
      <c r="B41" s="349"/>
      <c r="C41" s="350"/>
      <c r="D41" s="377" t="s">
        <v>1482</v>
      </c>
      <c r="E41" s="346" t="s">
        <v>1470</v>
      </c>
      <c r="F41" s="378" t="e">
        <f ca="1">IF(INDIRECT("'数据-取费表'!af"&amp;$G$1)=0,INDIRECT("'数据-取费表'!ae"&amp;$G$1),INDIRECT("'数据-取费表'!af"&amp;$G$1))</f>
        <v>#N/A</v>
      </c>
      <c r="G41" s="1850"/>
      <c r="H41" s="729"/>
      <c r="I41" s="1859"/>
      <c r="J41" s="1860"/>
      <c r="K41" s="748"/>
      <c r="L41" s="729"/>
      <c r="M41" s="729"/>
    </row>
    <row r="42" spans="1:18" ht="18" customHeight="1">
      <c r="A42" s="352"/>
      <c r="B42" s="353"/>
      <c r="C42" s="354"/>
      <c r="D42" s="372"/>
      <c r="E42" s="346" t="s">
        <v>1473</v>
      </c>
      <c r="F42" s="356" t="e">
        <f ca="1">INDIRECT("'数据-取费表'!v"&amp;$G$1)</f>
        <v>#N/A</v>
      </c>
      <c r="G42" s="1850"/>
      <c r="H42" s="729"/>
      <c r="I42" s="1859"/>
      <c r="J42" s="1860"/>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59" t="s">
        <v>1132</v>
      </c>
      <c r="B48" s="344" t="s">
        <v>1397</v>
      </c>
      <c r="C48" s="1816" t="e">
        <f ca="1">C49+C53+C55</f>
        <v>#N/A</v>
      </c>
      <c r="D48" s="1361"/>
      <c r="E48" s="1362"/>
      <c r="F48" s="1181"/>
      <c r="G48" s="789"/>
      <c r="H48" s="790"/>
      <c r="I48" s="1886" t="s">
        <v>1526</v>
      </c>
      <c r="J48" s="1887" t="s">
        <v>3129</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3" t="e">
        <f ca="1">ROUND(F49*F51*F50*(1-F52)/10000,0)</f>
        <v>#N/A</v>
      </c>
      <c r="D49" s="1275" t="s">
        <v>3032</v>
      </c>
      <c r="E49" s="1829" t="s">
        <v>1487</v>
      </c>
      <c r="F49" s="1280"/>
      <c r="G49" s="1890"/>
      <c r="H49" s="790"/>
      <c r="I49" s="1886" t="s">
        <v>1530</v>
      </c>
      <c r="J49" s="1891">
        <v>2018</v>
      </c>
      <c r="K49" s="1888" t="s">
        <v>1531</v>
      </c>
      <c r="L49" s="1892"/>
      <c r="O49" s="1893" t="s">
        <v>1039</v>
      </c>
      <c r="P49" s="1884" t="s">
        <v>1532</v>
      </c>
      <c r="Q49" s="1885" t="e">
        <f ca="1">C29</f>
        <v>#N/A</v>
      </c>
      <c r="R49" s="1885" t="s">
        <v>1525</v>
      </c>
    </row>
    <row r="50" spans="1:18" s="1841" customFormat="1" ht="13.5" thickBot="1">
      <c r="A50" s="1195"/>
      <c r="B50" s="1198"/>
      <c r="C50" s="1367"/>
      <c r="D50" s="1172"/>
      <c r="E50" s="1276" t="s">
        <v>1402</v>
      </c>
      <c r="F50" s="1277" t="e">
        <f ca="1">F7</f>
        <v>#N/A</v>
      </c>
      <c r="H50" s="790"/>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7" t="e">
        <f ca="1">F8</f>
        <v>#N/A</v>
      </c>
      <c r="I51" s="1897" t="s">
        <v>1536</v>
      </c>
      <c r="J51" s="1898">
        <f>IF(J49="",J50,J49+J50-YEAR('数据-取费表'!B2))</f>
        <v>59</v>
      </c>
      <c r="K51" s="1899" t="s">
        <v>1537</v>
      </c>
      <c r="L51" s="1900" t="e">
        <f ca="1">ROUND(-PV(INDIRECT("'数据-取费表'!h"&amp;$G$1),L48,(C39-C13*C76),0),0)</f>
        <v>#N/A</v>
      </c>
      <c r="M51" s="1901"/>
      <c r="O51" s="1893" t="s">
        <v>1041</v>
      </c>
      <c r="P51" s="1884" t="s">
        <v>1538</v>
      </c>
      <c r="Q51" s="1896">
        <f>J52</f>
        <v>9.5000000000000001E-2</v>
      </c>
      <c r="R51" s="1885"/>
    </row>
    <row r="52" spans="1:18" s="1841" customFormat="1" ht="13.5" thickBot="1">
      <c r="A52" s="1196"/>
      <c r="B52" s="1198"/>
      <c r="C52" s="1199"/>
      <c r="D52" s="1172"/>
      <c r="E52" s="1200" t="s">
        <v>1404</v>
      </c>
      <c r="F52" s="1274"/>
      <c r="I52" s="1902" t="s">
        <v>1539</v>
      </c>
      <c r="J52" s="1903">
        <v>9.5000000000000001E-2</v>
      </c>
      <c r="K52" s="1902" t="s">
        <v>1540</v>
      </c>
      <c r="L52" s="1903"/>
      <c r="O52" s="1893" t="s">
        <v>1042</v>
      </c>
      <c r="P52" s="1884" t="s">
        <v>1541</v>
      </c>
      <c r="Q52" s="1885" t="e">
        <f ca="1">J53</f>
        <v>#N/A</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t="e">
        <f ca="1">IF(M47="住宅",IF(D1="——",MAX(J51,L48),IF(D1="在建（套用方法）",MAX(J51,L48-'数据-取费表'!B24),MAX(J51,L48-'数据-取费表'!B20))),IF(D1="——",MIN(J51,L48),IF(D1="在建（套用方法）",MIN(J51,L48-'数据-取费表'!B24),IF(D1="土地（套用方法）",MIN(J51,L48-'数据-取费表'!B20)))))</f>
        <v>#N/A</v>
      </c>
      <c r="K53" s="3493" t="s">
        <v>1544</v>
      </c>
      <c r="L53" s="3494"/>
      <c r="O53" s="1883" t="s">
        <v>1043</v>
      </c>
      <c r="P53" s="1884" t="s">
        <v>1545</v>
      </c>
      <c r="Q53" s="1885" t="e">
        <f ca="1">Q47+Q48</f>
        <v>#N/A</v>
      </c>
      <c r="R53" s="1885" t="s">
        <v>1044</v>
      </c>
    </row>
    <row r="54" spans="1:18" s="1841" customFormat="1" ht="13.5" thickBot="1">
      <c r="A54" s="1405"/>
      <c r="B54" s="1824" t="s">
        <v>1384</v>
      </c>
      <c r="C54" s="1178"/>
      <c r="D54" s="1823"/>
      <c r="E54" s="1831"/>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5" t="e">
        <f ca="1">C13</f>
        <v>#N/A</v>
      </c>
      <c r="D56" s="1913"/>
      <c r="E56" s="1914"/>
      <c r="F56" s="1906"/>
      <c r="I56" s="1915" t="s">
        <v>1550</v>
      </c>
      <c r="J56" s="1916" t="s">
        <v>3130</v>
      </c>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1"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59" t="s">
        <v>1027</v>
      </c>
      <c r="B58" s="1177" t="s">
        <v>1420</v>
      </c>
      <c r="C58" s="360"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3" t="e">
        <f ca="1">IF(项目基本情况!B11="自然人","——",IF(D61="按租金收入计税",ROUND(C48*F61,2),IF(D61="按房产原值计税",ROUND(C57*F61*0.7,2),INDIRECT("'数据-取费表'!Aj"&amp;$G$1))))</f>
        <v>#N/A</v>
      </c>
      <c r="D61" s="1827" t="s">
        <v>1434</v>
      </c>
      <c r="E61" s="1169" t="s">
        <v>1490</v>
      </c>
      <c r="F61" s="366">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5" thickBot="1">
      <c r="A62" s="1201" t="s">
        <v>1491</v>
      </c>
      <c r="B62" s="1168" t="s">
        <v>1492</v>
      </c>
      <c r="C62" s="24" t="e">
        <f ca="1">IF(项目基本情况!B11="自然人","——",ROUND(F62*F63/10000,2))</f>
        <v>#N/A</v>
      </c>
      <c r="D62" s="1184" t="s">
        <v>1493</v>
      </c>
      <c r="E62" s="1169" t="s">
        <v>1494</v>
      </c>
      <c r="F62" s="370">
        <f t="shared" si="0"/>
        <v>1.5</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1"/>
      <c r="B63" s="1175"/>
      <c r="C63" s="28"/>
      <c r="D63" s="1185"/>
      <c r="E63" s="1169" t="s">
        <v>1495</v>
      </c>
      <c r="F63" s="347"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3" t="e">
        <f ca="1">ROUND(C57*F64,1)</f>
        <v>#N/A</v>
      </c>
      <c r="D64" s="1183" t="s">
        <v>1498</v>
      </c>
      <c r="E64" s="1169" t="s">
        <v>1490</v>
      </c>
      <c r="F64" s="373"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t="e">
        <f ca="1">ROUND(C56*F65,1)</f>
        <v>#N/A</v>
      </c>
      <c r="D65" s="1183" t="s">
        <v>1450</v>
      </c>
      <c r="E65" s="1169" t="s">
        <v>1451</v>
      </c>
      <c r="F65" s="375"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3" t="e">
        <f ca="1">ROUND(C48*F66,1)</f>
        <v>#N/A</v>
      </c>
      <c r="D66" s="1183" t="s">
        <v>1501</v>
      </c>
      <c r="E66" s="1169" t="s">
        <v>1418</v>
      </c>
      <c r="F66" s="356" t="e">
        <f t="shared" ca="1" si="0"/>
        <v>#N/A</v>
      </c>
      <c r="O66" s="1883" t="s">
        <v>1038</v>
      </c>
      <c r="P66" s="1884" t="s">
        <v>1554</v>
      </c>
      <c r="Q66" s="1885" t="e">
        <f ca="1">L60</f>
        <v>#N/A</v>
      </c>
      <c r="R66" s="1885" t="s">
        <v>1577</v>
      </c>
    </row>
    <row r="67" spans="1:18" s="1841" customFormat="1" ht="16.5" thickBot="1">
      <c r="A67" s="1176" t="s">
        <v>1028</v>
      </c>
      <c r="B67" s="1186" t="s">
        <v>1459</v>
      </c>
      <c r="C67" s="360"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5" t="e">
        <f ca="1">ROUND(C67*(1-((1+F70)/(1+F68))^F69)/(F68-F70),0)</f>
        <v>#N/A</v>
      </c>
      <c r="D68" s="1184" t="s">
        <v>1465</v>
      </c>
      <c r="E68" s="1169" t="s">
        <v>1466</v>
      </c>
      <c r="F68" s="356" t="e">
        <f ca="1">F40</f>
        <v>#N/A</v>
      </c>
      <c r="O68" s="1893" t="s">
        <v>1040</v>
      </c>
      <c r="P68" s="1933" t="s">
        <v>1579</v>
      </c>
      <c r="Q68" s="1885" t="e">
        <f ca="1">ROUND(Q69-Q70*Q71,0)</f>
        <v>#N/A</v>
      </c>
      <c r="R68" s="1885" t="s">
        <v>1048</v>
      </c>
    </row>
    <row r="69" spans="1:18" s="1841" customFormat="1" ht="13.5" thickBot="1">
      <c r="A69" s="1170"/>
      <c r="B69" s="1171"/>
      <c r="C69" s="350"/>
      <c r="D69" s="1189" t="s">
        <v>1469</v>
      </c>
      <c r="E69" s="1169" t="s">
        <v>1470</v>
      </c>
      <c r="F69" s="378" t="e">
        <f ca="1">F41</f>
        <v>#N/A</v>
      </c>
      <c r="O69" s="1893" t="s">
        <v>1045</v>
      </c>
      <c r="P69" s="1933" t="s">
        <v>1580</v>
      </c>
      <c r="Q69" s="1885" t="e">
        <f ca="1">C39</f>
        <v>#N/A</v>
      </c>
      <c r="R69" s="1885" t="s">
        <v>1525</v>
      </c>
    </row>
    <row r="70" spans="1:18" s="1841" customFormat="1" ht="13.5" thickBot="1">
      <c r="A70" s="1173"/>
      <c r="B70" s="1174"/>
      <c r="C70" s="354"/>
      <c r="D70" s="1185"/>
      <c r="E70" s="1169" t="s">
        <v>1473</v>
      </c>
      <c r="F70" s="1274"/>
      <c r="O70" s="1893" t="s">
        <v>1046</v>
      </c>
      <c r="P70" s="1933" t="s">
        <v>1581</v>
      </c>
      <c r="Q70" s="1885" t="e">
        <f ca="1">C13</f>
        <v>#N/A</v>
      </c>
      <c r="R70" s="1885" t="s">
        <v>1525</v>
      </c>
    </row>
    <row r="71" spans="1:18" s="1841" customFormat="1" ht="13.5" thickBot="1">
      <c r="A71" s="1190" t="s">
        <v>1030</v>
      </c>
      <c r="B71" s="1191" t="s">
        <v>1483</v>
      </c>
      <c r="C71" s="381" t="e">
        <f ca="1">ROUND(C68*10000/F71,0)</f>
        <v>#N/A</v>
      </c>
      <c r="D71" s="1192" t="s">
        <v>1484</v>
      </c>
      <c r="E71" s="1193" t="s">
        <v>1485</v>
      </c>
      <c r="F71" s="384" t="e">
        <f ca="1">F43</f>
        <v>#N/A</v>
      </c>
      <c r="O71" s="1893" t="s">
        <v>1047</v>
      </c>
      <c r="P71" s="1933" t="s">
        <v>1582</v>
      </c>
      <c r="Q71" s="1896" t="e">
        <f ca="1">C76</f>
        <v>#N/A</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#N/A</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#N/A</v>
      </c>
      <c r="R74" s="1885" t="s">
        <v>1565</v>
      </c>
    </row>
    <row r="75" spans="1:18" ht="13.5" thickBot="1">
      <c r="A75" s="1841"/>
      <c r="B75" s="385" t="s">
        <v>1502</v>
      </c>
      <c r="C75" s="386" t="e">
        <f ca="1">ROUND(C13*C76,0)</f>
        <v>#N/A</v>
      </c>
      <c r="D75" s="1841"/>
      <c r="E75" s="1841"/>
      <c r="F75" s="1841"/>
      <c r="K75" s="1867"/>
      <c r="L75" s="1841"/>
      <c r="O75" s="1883" t="s">
        <v>1043</v>
      </c>
      <c r="P75" s="1884" t="s">
        <v>1545</v>
      </c>
      <c r="Q75" s="1885" t="e">
        <f ca="1">Q65+Q66</f>
        <v>#N/A</v>
      </c>
      <c r="R75" s="1885" t="s">
        <v>1044</v>
      </c>
    </row>
    <row r="76" spans="1:18">
      <c r="B76" s="387" t="s">
        <v>1503</v>
      </c>
      <c r="C76" s="388" t="e">
        <f ca="1">INDIRECT("'数据-取费表'!j"&amp;$G$1)</f>
        <v>#N/A</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c r="D1" s="1819"/>
      <c r="E1" s="1820" t="s">
        <v>1383</v>
      </c>
      <c r="F1" s="1282" t="b">
        <f>J53</f>
        <v>0</v>
      </c>
      <c r="G1" s="1835">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1" t="s">
        <v>1584</v>
      </c>
      <c r="I3" s="1839"/>
      <c r="J3" s="1839"/>
      <c r="K3" s="1840"/>
      <c r="L3" s="1839"/>
      <c r="M3" s="1839"/>
    </row>
    <row r="4" spans="1:37" ht="18" customHeight="1">
      <c r="A4" s="339" t="s">
        <v>1591</v>
      </c>
      <c r="B4" s="340" t="s">
        <v>1592</v>
      </c>
      <c r="C4" s="340" t="s">
        <v>1593</v>
      </c>
      <c r="D4" s="340" t="s">
        <v>1594</v>
      </c>
      <c r="E4" s="341" t="s">
        <v>1595</v>
      </c>
      <c r="F4" s="342"/>
      <c r="G4" s="1850"/>
      <c r="H4" s="339" t="s">
        <v>1591</v>
      </c>
      <c r="I4" s="340" t="s">
        <v>1592</v>
      </c>
      <c r="J4" s="340" t="s">
        <v>1593</v>
      </c>
      <c r="K4" s="340" t="s">
        <v>1594</v>
      </c>
      <c r="L4" s="341" t="s">
        <v>1595</v>
      </c>
      <c r="M4" s="342"/>
    </row>
    <row r="5" spans="1:37" ht="18" customHeight="1">
      <c r="A5" s="343">
        <v>1</v>
      </c>
      <c r="B5" s="344" t="s">
        <v>1596</v>
      </c>
      <c r="C5" s="1291">
        <f ca="1">C6+C10+C12</f>
        <v>0</v>
      </c>
      <c r="D5" s="1821" t="s">
        <v>1597</v>
      </c>
      <c r="E5" s="1292"/>
      <c r="F5" s="1293"/>
      <c r="G5" s="1850"/>
      <c r="H5" s="343">
        <v>1</v>
      </c>
      <c r="I5" s="344" t="s">
        <v>1596</v>
      </c>
      <c r="J5" s="1291">
        <f ca="1">J6+J10+J12</f>
        <v>0</v>
      </c>
      <c r="K5" s="1821" t="s">
        <v>1597</v>
      </c>
      <c r="L5" s="1292"/>
      <c r="M5" s="1293"/>
    </row>
    <row r="6" spans="1:37" ht="18" customHeight="1">
      <c r="A6" s="1290" t="s">
        <v>1032</v>
      </c>
      <c r="B6" s="3490" t="s">
        <v>1399</v>
      </c>
      <c r="C6" s="1295">
        <f ca="1">ROUND(F6*F8*F7*(1-F9),0)</f>
        <v>0</v>
      </c>
      <c r="D6" s="163" t="s">
        <v>3028</v>
      </c>
      <c r="E6" s="346" t="s">
        <v>1401</v>
      </c>
      <c r="F6" s="347">
        <f ca="1">INDIRECT("'数据-取费表'!u"&amp;$G$1)</f>
        <v>0</v>
      </c>
      <c r="G6" s="1850"/>
      <c r="H6" s="1290" t="s">
        <v>1032</v>
      </c>
      <c r="I6" s="3490" t="s">
        <v>1399</v>
      </c>
      <c r="J6" s="345">
        <f ca="1">ROUND(M6*M8*M7*(1-M9),0)</f>
        <v>0</v>
      </c>
      <c r="K6" s="1833" t="s">
        <v>3029</v>
      </c>
      <c r="L6" s="346" t="s">
        <v>1401</v>
      </c>
      <c r="M6" s="347">
        <f ca="1">INDIRECT("'数据-取费表'!z"&amp;$G$1)</f>
        <v>0</v>
      </c>
    </row>
    <row r="7" spans="1:37" ht="18" customHeight="1">
      <c r="A7" s="1294"/>
      <c r="B7" s="3491"/>
      <c r="C7" s="1296"/>
      <c r="D7" s="351"/>
      <c r="E7" s="1297" t="s">
        <v>1402</v>
      </c>
      <c r="F7" s="347">
        <f ca="1">IF(INDIRECT("'数据-取费表'!ah"&amp;$G$1)="",INDIRECT("'数据-取费表'!k"&amp;$G$1),INDIRECT("'数据-取费表'!ah"&amp;$G$1))</f>
        <v>0</v>
      </c>
      <c r="G7" s="1850"/>
      <c r="H7" s="348"/>
      <c r="I7" s="3491"/>
      <c r="J7" s="350"/>
      <c r="K7" s="351"/>
      <c r="L7" s="346" t="s">
        <v>1402</v>
      </c>
      <c r="M7" s="347">
        <f ca="1">F7</f>
        <v>0</v>
      </c>
    </row>
    <row r="8" spans="1:37" ht="18" customHeight="1">
      <c r="A8" s="348"/>
      <c r="B8" s="3491"/>
      <c r="C8" s="350"/>
      <c r="D8" s="351"/>
      <c r="E8" s="346" t="s">
        <v>1403</v>
      </c>
      <c r="F8" s="347">
        <f ca="1">INDIRECT("'数据-取费表'!ai"&amp;$G$1)</f>
        <v>0</v>
      </c>
      <c r="G8" s="1850"/>
      <c r="H8" s="348"/>
      <c r="I8" s="3491"/>
      <c r="J8" s="350"/>
      <c r="K8" s="351"/>
      <c r="L8" s="346" t="s">
        <v>1403</v>
      </c>
      <c r="M8" s="347">
        <f ca="1">INDIRECT("'数据-取费表'!ai"&amp;$G$1)</f>
        <v>0</v>
      </c>
    </row>
    <row r="9" spans="1:37" ht="18" customHeight="1">
      <c r="A9" s="348"/>
      <c r="B9" s="3492"/>
      <c r="C9" s="350"/>
      <c r="D9" s="351"/>
      <c r="E9" s="346" t="s">
        <v>1404</v>
      </c>
      <c r="F9" s="356">
        <f ca="1">INDIRECT("'数据-取费表'!w"&amp;$G$1)</f>
        <v>0</v>
      </c>
      <c r="G9" s="1850"/>
      <c r="H9" s="348"/>
      <c r="I9" s="3492"/>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3039</v>
      </c>
      <c r="E10" s="357" t="s">
        <v>1406</v>
      </c>
      <c r="F10" s="1365"/>
      <c r="G10" s="1850"/>
      <c r="H10" s="1290" t="s">
        <v>1036</v>
      </c>
      <c r="I10" s="1822" t="s">
        <v>1405</v>
      </c>
      <c r="J10" s="345">
        <f ca="1">ROUND(IF(M10="押一",J6/12*M11,IF(M10="押二",J6/12*2*M11,IF(M10="押三",J6/12*3*M11,J11*M11))),0)</f>
        <v>0</v>
      </c>
      <c r="K10" s="1834" t="s">
        <v>3041</v>
      </c>
      <c r="L10" s="357" t="s">
        <v>1406</v>
      </c>
      <c r="M10" s="1365"/>
    </row>
    <row r="11" spans="1:37" ht="18" customHeight="1">
      <c r="A11" s="352"/>
      <c r="B11" s="1824" t="s">
        <v>1598</v>
      </c>
      <c r="C11" s="1178"/>
      <c r="D11" s="351"/>
      <c r="E11" s="357" t="s">
        <v>1408</v>
      </c>
      <c r="F11" s="358">
        <f ca="1">'数据-取费表'!B39</f>
        <v>1.4999999999999999E-2</v>
      </c>
      <c r="G11" s="1850"/>
      <c r="H11" s="1298"/>
      <c r="I11" s="1824" t="s">
        <v>1599</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1" t="s">
        <v>1031</v>
      </c>
      <c r="B14" s="346" t="s">
        <v>1413</v>
      </c>
      <c r="C14" s="362">
        <f ca="1">ROUND(INDIRECT("'数据-取费表'!l"&amp;$G$1)*F43+'数据-取费表'!L14*INDIRECT("'数据-取费表'!S"&amp;$G$1),0)</f>
        <v>0</v>
      </c>
      <c r="D14" s="1799" t="s">
        <v>1414</v>
      </c>
      <c r="E14" s="1793"/>
      <c r="F14" s="363"/>
      <c r="G14" s="1850"/>
      <c r="H14" s="1201" t="s">
        <v>1032</v>
      </c>
      <c r="I14" s="346" t="s">
        <v>1415</v>
      </c>
      <c r="J14" s="23">
        <f ca="1">C29</f>
        <v>0</v>
      </c>
      <c r="K14" s="14"/>
      <c r="L14" s="979"/>
      <c r="M14" s="980"/>
    </row>
    <row r="15" spans="1:37" s="1857" customFormat="1" ht="18" customHeight="1" thickBot="1">
      <c r="A15" s="1201" t="s">
        <v>1033</v>
      </c>
      <c r="B15" s="346" t="s">
        <v>1416</v>
      </c>
      <c r="C15" s="23">
        <f ca="1">ROUND(C14*F15,0)</f>
        <v>0</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ROUND(INDIRECT("'数据-取费表'!l"&amp;$G$1)*F43*F16,0)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1337"/>
      <c r="M16" s="1293"/>
    </row>
    <row r="17" spans="1:37" s="1857" customFormat="1" ht="18" customHeight="1">
      <c r="A17" s="1201" t="s">
        <v>1386</v>
      </c>
      <c r="B17" s="346" t="s">
        <v>1422</v>
      </c>
      <c r="C17" s="23">
        <f ca="1">ROUND(F17*(F43+INDIRECT("'数据-取费表'!S"&amp;$G$1)),0)</f>
        <v>0</v>
      </c>
      <c r="D17" s="346" t="s">
        <v>1423</v>
      </c>
      <c r="E17" s="346" t="s">
        <v>1424</v>
      </c>
      <c r="F17" s="25">
        <f>'数据-取费表'!B35</f>
        <v>200</v>
      </c>
      <c r="G17" s="1853"/>
      <c r="H17" s="1201" t="s">
        <v>1032</v>
      </c>
      <c r="I17" s="346" t="s">
        <v>1425</v>
      </c>
      <c r="J17" s="23">
        <f ca="1">ROUND(IF(项目基本情况!B11="自然人",J5*M17,J18+J19+J20),0)</f>
        <v>0</v>
      </c>
      <c r="K17" s="1799" t="s">
        <v>1426</v>
      </c>
      <c r="L17" s="1797"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0</v>
      </c>
      <c r="D18" s="346" t="s">
        <v>1417</v>
      </c>
      <c r="E18" s="346" t="s">
        <v>1418</v>
      </c>
      <c r="F18" s="366">
        <f>'数据-取费表'!B36</f>
        <v>1.4999999999999999E-2</v>
      </c>
      <c r="G18" s="1853"/>
      <c r="H18" s="1201" t="s">
        <v>1031</v>
      </c>
      <c r="I18" s="346" t="s">
        <v>1429</v>
      </c>
      <c r="J18" s="23">
        <f ca="1">ROUND(J5*M18/(1+'数据-取费表'!C42),0)</f>
        <v>0</v>
      </c>
      <c r="K18" s="1797"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0</v>
      </c>
      <c r="D19" s="139" t="s">
        <v>1432</v>
      </c>
      <c r="E19" s="1817"/>
      <c r="F19" s="25"/>
      <c r="G19" s="1850"/>
      <c r="H19" s="1201" t="s">
        <v>1033</v>
      </c>
      <c r="I19" s="346" t="s">
        <v>1433</v>
      </c>
      <c r="J19" s="23">
        <f ca="1">IF(K19="按租金收入计税",ROUND(J5*M19,0),ROUND(C29*M19*0.7,0))</f>
        <v>0</v>
      </c>
      <c r="K19" s="1827" t="s">
        <v>1434</v>
      </c>
      <c r="L19" s="346" t="s">
        <v>1418</v>
      </c>
      <c r="M19" s="366">
        <f>IF(K19="按租金收入计税",'数据-取费表'!B51,'数据-取费表'!B50)</f>
        <v>1.2E-2</v>
      </c>
    </row>
    <row r="20" spans="1:37" s="1857" customFormat="1" ht="18" customHeight="1">
      <c r="A20" s="1201" t="s">
        <v>1036</v>
      </c>
      <c r="B20" s="346" t="s">
        <v>1435</v>
      </c>
      <c r="C20" s="23">
        <f ca="1">ROUND(C19*F20,0)</f>
        <v>0</v>
      </c>
      <c r="D20" s="368" t="s">
        <v>1436</v>
      </c>
      <c r="E20" s="346" t="s">
        <v>1418</v>
      </c>
      <c r="F20" s="366">
        <f>'数据-取费表'!B37</f>
        <v>0.03</v>
      </c>
      <c r="G20" s="1853"/>
      <c r="H20" s="1201" t="s">
        <v>1385</v>
      </c>
      <c r="I20" s="163" t="s">
        <v>1437</v>
      </c>
      <c r="J20" s="24">
        <f ca="1">ROUND(M20*M21,0)</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1817"/>
      <c r="F22" s="25"/>
      <c r="G22" s="1850"/>
      <c r="H22" s="1201" t="s">
        <v>1036</v>
      </c>
      <c r="I22" s="346" t="s">
        <v>1445</v>
      </c>
      <c r="J22" s="23">
        <f ca="1">ROUND(J14*M22,0)</f>
        <v>0</v>
      </c>
      <c r="K22" s="1797" t="s">
        <v>1446</v>
      </c>
      <c r="L22" s="346" t="s">
        <v>1418</v>
      </c>
      <c r="M22" s="373">
        <f ca="1">INDIRECT("'数据-取费表'!Ak"&amp;$G$1)</f>
        <v>0</v>
      </c>
    </row>
    <row r="23" spans="1:37" s="1857"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ROUND(J13*M23,0)</f>
        <v>0</v>
      </c>
      <c r="K23" s="1797" t="s">
        <v>1450</v>
      </c>
      <c r="L23" s="346" t="s">
        <v>1451</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6" t="s">
        <v>1457</v>
      </c>
      <c r="C25" s="23"/>
      <c r="D25" s="139" t="s">
        <v>1458</v>
      </c>
      <c r="E25" s="1817"/>
      <c r="F25" s="25"/>
      <c r="G25" s="1850"/>
      <c r="H25" s="1328" t="s">
        <v>1028</v>
      </c>
      <c r="I25" s="1343" t="s">
        <v>1459</v>
      </c>
      <c r="J25" s="354">
        <f ca="1">J5-J16</f>
        <v>0</v>
      </c>
      <c r="K25" s="1344" t="s">
        <v>1460</v>
      </c>
      <c r="L25" s="1345"/>
      <c r="M25" s="1346"/>
    </row>
    <row r="26" spans="1:37" ht="18" customHeight="1">
      <c r="A26" s="1201" t="s">
        <v>1031</v>
      </c>
      <c r="B26" s="346" t="s">
        <v>1461</v>
      </c>
      <c r="C26" s="23">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1337"/>
      <c r="F30" s="1293"/>
      <c r="G30" s="1850"/>
      <c r="H30" s="742"/>
      <c r="I30" s="743"/>
      <c r="J30" s="744"/>
      <c r="K30" s="745"/>
      <c r="L30" s="746"/>
      <c r="M30" s="747"/>
    </row>
    <row r="31" spans="1:37" ht="18" customHeight="1">
      <c r="A31" s="1201" t="s">
        <v>1032</v>
      </c>
      <c r="B31" s="346" t="s">
        <v>1425</v>
      </c>
      <c r="C31" s="23">
        <f ca="1">ROUND(IF(项目基本情况!B11="自然人",C5*F31,C32+C33+C34),0)</f>
        <v>0</v>
      </c>
      <c r="D31" s="1799" t="s">
        <v>1426</v>
      </c>
      <c r="E31" s="1797"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IF(项目基本情况!B11="自然人","——",ROUND(C5*F32/(1+'数据-取费表'!C42),0))</f>
        <v>0</v>
      </c>
      <c r="D32" s="1797"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IF(项目基本情况!B11="自然人","——",IF(D33="按租金收入计税",ROUND(C5*F33,0),IF(D33="按房产原值计税",ROUND(C29*F33*0.7,0),INDIRECT("'数据-取费表'!Aj"&amp;$G$1))))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ROUND(C29*F36,0)</f>
        <v>0</v>
      </c>
      <c r="D36" s="1797" t="s">
        <v>1478</v>
      </c>
      <c r="E36" s="346" t="s">
        <v>1418</v>
      </c>
      <c r="F36" s="373">
        <f ca="1">INDIRECT("'数据-取费表'!Ak"&amp;$G$1)</f>
        <v>0</v>
      </c>
      <c r="G36" s="1850"/>
      <c r="H36" s="1858"/>
      <c r="I36" s="1859"/>
      <c r="J36" s="1860"/>
      <c r="K36" s="748"/>
      <c r="L36" s="1858"/>
      <c r="M36" s="1858"/>
    </row>
    <row r="37" spans="1:18" ht="18" customHeight="1">
      <c r="A37" s="1201" t="s">
        <v>1072</v>
      </c>
      <c r="B37" s="346" t="s">
        <v>1449</v>
      </c>
      <c r="C37" s="23">
        <f ca="1">ROUND(C13*F37,0)</f>
        <v>0</v>
      </c>
      <c r="D37" s="1797" t="s">
        <v>1450</v>
      </c>
      <c r="E37" s="346" t="s">
        <v>1451</v>
      </c>
      <c r="F37" s="375">
        <f ca="1">INDIRECT("'数据-取费表'!Al"&amp;$G$1)</f>
        <v>0</v>
      </c>
      <c r="G37" s="1850"/>
      <c r="H37" s="1858"/>
      <c r="I37" s="1859"/>
      <c r="J37" s="1860"/>
      <c r="K37" s="748"/>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4">
        <f ca="1">C5-C30</f>
        <v>0</v>
      </c>
      <c r="D39" s="1344" t="s">
        <v>1480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29"/>
      <c r="I41" s="1859"/>
      <c r="J41" s="1860"/>
      <c r="K41" s="748"/>
      <c r="L41" s="729"/>
      <c r="M41" s="729"/>
    </row>
    <row r="42" spans="1:18" ht="18" customHeight="1">
      <c r="A42" s="352"/>
      <c r="B42" s="353"/>
      <c r="C42" s="354"/>
      <c r="D42" s="372"/>
      <c r="E42" s="346" t="s">
        <v>1473</v>
      </c>
      <c r="F42" s="356">
        <f ca="1">INDIRECT("'数据-取费表'!v"&amp;$G$1)</f>
        <v>0</v>
      </c>
      <c r="G42" s="1850"/>
      <c r="H42" s="729"/>
      <c r="I42" s="1859"/>
      <c r="J42" s="1860"/>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8" t="s">
        <v>1396</v>
      </c>
      <c r="F47" s="1279"/>
      <c r="G47" s="789"/>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1816">
        <f ca="1">C49+C53+C55</f>
        <v>0</v>
      </c>
      <c r="D48" s="1361"/>
      <c r="E48" s="1362"/>
      <c r="F48" s="1181"/>
      <c r="G48" s="789"/>
      <c r="H48" s="790"/>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3">
        <f ca="1">ROUND(F49*F51*F50*(1-F52),0)</f>
        <v>0</v>
      </c>
      <c r="D49" s="1275" t="s">
        <v>1400</v>
      </c>
      <c r="E49" s="1829" t="s">
        <v>1487</v>
      </c>
      <c r="F49" s="1280"/>
      <c r="G49" s="1890"/>
      <c r="H49" s="790"/>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6" t="s">
        <v>1402</v>
      </c>
      <c r="F50" s="1277">
        <f ca="1">F7</f>
        <v>0</v>
      </c>
      <c r="H50" s="790"/>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8" t="s">
        <v>1405</v>
      </c>
      <c r="C53" s="360">
        <f ca="1">ROUND(IF(F53="押一",C49/12*F11,IF(F53="押二",C49/12*2*F11,IF(F53="押三",C49/12*3*F11,C54*F11))),0)</f>
        <v>0</v>
      </c>
      <c r="D53" s="1823" t="s">
        <v>3042</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493" t="s">
        <v>1544</v>
      </c>
      <c r="L53" s="3494"/>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5">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1">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59" t="s">
        <v>1027</v>
      </c>
      <c r="B58" s="1177" t="s">
        <v>1420</v>
      </c>
      <c r="C58" s="360">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ROUND(IF(项目基本情况!B11="自然人",C48*F59,C60+C61+C62),0)</f>
        <v>0</v>
      </c>
      <c r="D59" s="1182" t="s">
        <v>1426</v>
      </c>
      <c r="E59" s="1183"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IF(项目基本情况!B11="自然人","——",ROUND(C48*F60/(1+'数据-取费表'!C42),0))</f>
        <v>0</v>
      </c>
      <c r="D60" s="1183" t="s">
        <v>1430</v>
      </c>
      <c r="E60" s="1169" t="s">
        <v>1418</v>
      </c>
      <c r="F60" s="376">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3">
        <f ca="1">IF(项目基本情况!B11="自然人","——",IF(D61="按租金收入计税",ROUND(C48*F61,0),IF(D61="按房产原值计税",ROUND(C57*F61*0.7,0),INDIRECT("'数据-取费表'!Aj"&amp;$G$1))))</f>
        <v>0</v>
      </c>
      <c r="D61" s="1827" t="s">
        <v>1434</v>
      </c>
      <c r="E61" s="1169" t="s">
        <v>1490</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4">
        <f ca="1">IF(项目基本情况!B11="自然人","——",ROUND(F62*F63,0))</f>
        <v>0</v>
      </c>
      <c r="D62" s="1184" t="s">
        <v>1493</v>
      </c>
      <c r="E62" s="1169" t="s">
        <v>1494</v>
      </c>
      <c r="F62" s="370">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1"/>
      <c r="B63" s="1175"/>
      <c r="C63" s="28"/>
      <c r="D63" s="1185"/>
      <c r="E63" s="1169" t="s">
        <v>1495</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3">
        <f ca="1">ROUND(C57*F64,0)</f>
        <v>0</v>
      </c>
      <c r="D64" s="1183" t="s">
        <v>1498</v>
      </c>
      <c r="E64" s="1169" t="s">
        <v>1490</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ROUND(C56*F65,0)</f>
        <v>0</v>
      </c>
      <c r="D65" s="1183" t="s">
        <v>1450</v>
      </c>
      <c r="E65" s="1169" t="s">
        <v>1451</v>
      </c>
      <c r="F65" s="375">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3">
        <f ca="1">ROUND(C48*F66,0)</f>
        <v>0</v>
      </c>
      <c r="D66" s="1183" t="s">
        <v>1501</v>
      </c>
      <c r="E66" s="1169" t="s">
        <v>1418</v>
      </c>
      <c r="F66" s="356">
        <f t="shared" ca="1" si="0"/>
        <v>0</v>
      </c>
      <c r="O66" s="1883" t="s">
        <v>1038</v>
      </c>
      <c r="P66" s="1884" t="s">
        <v>1554</v>
      </c>
      <c r="Q66" s="1885" t="e">
        <f ca="1">L60</f>
        <v>#DIV/0!</v>
      </c>
      <c r="R66" s="1885" t="s">
        <v>1577</v>
      </c>
    </row>
    <row r="67" spans="1:18" s="1841" customFormat="1" ht="16.5" thickBot="1">
      <c r="A67" s="1176" t="s">
        <v>1028</v>
      </c>
      <c r="B67" s="1186" t="s">
        <v>1459</v>
      </c>
      <c r="C67" s="360">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5" t="e">
        <f ca="1">ROUND(C67*(1-((1+F70)/(1+F68))^F69)/(F68-F70),0)</f>
        <v>#DIV/0!</v>
      </c>
      <c r="D68" s="1184" t="s">
        <v>1465</v>
      </c>
      <c r="E68" s="1169" t="s">
        <v>1466</v>
      </c>
      <c r="F68" s="356">
        <f ca="1">F40</f>
        <v>0</v>
      </c>
      <c r="O68" s="1893" t="s">
        <v>1040</v>
      </c>
      <c r="P68" s="1933" t="s">
        <v>1579</v>
      </c>
      <c r="Q68" s="1885">
        <f ca="1">ROUND(Q69-Q70*Q71,0)</f>
        <v>0</v>
      </c>
      <c r="R68" s="1885" t="s">
        <v>1048</v>
      </c>
    </row>
    <row r="69" spans="1:18" s="1841" customFormat="1" ht="13.5" thickBot="1">
      <c r="A69" s="1170"/>
      <c r="B69" s="1171"/>
      <c r="C69" s="350"/>
      <c r="D69" s="1189" t="s">
        <v>1469</v>
      </c>
      <c r="E69" s="1169" t="s">
        <v>1470</v>
      </c>
      <c r="F69" s="378">
        <f ca="1">F41</f>
        <v>0</v>
      </c>
      <c r="O69" s="1893" t="s">
        <v>1045</v>
      </c>
      <c r="P69" s="1933" t="s">
        <v>1580</v>
      </c>
      <c r="Q69" s="1885">
        <f ca="1">C39</f>
        <v>0</v>
      </c>
      <c r="R69" s="1885" t="s">
        <v>1525</v>
      </c>
    </row>
    <row r="70" spans="1:18" s="1841" customFormat="1" ht="13.5" thickBot="1">
      <c r="A70" s="1173"/>
      <c r="B70" s="1174"/>
      <c r="C70" s="354"/>
      <c r="D70" s="1185"/>
      <c r="E70" s="1169" t="s">
        <v>1473</v>
      </c>
      <c r="F70" s="1274">
        <f ca="1">F42</f>
        <v>0</v>
      </c>
      <c r="O70" s="1893" t="s">
        <v>1046</v>
      </c>
      <c r="P70" s="1933" t="s">
        <v>1581</v>
      </c>
      <c r="Q70" s="1885">
        <f ca="1">C13</f>
        <v>0</v>
      </c>
      <c r="R70" s="1885" t="s">
        <v>1525</v>
      </c>
    </row>
    <row r="71" spans="1:18" s="1841" customFormat="1" ht="13.5" thickBot="1">
      <c r="A71" s="1190" t="s">
        <v>1030</v>
      </c>
      <c r="B71" s="1191" t="s">
        <v>1483</v>
      </c>
      <c r="C71" s="381" t="e">
        <f ca="1">ROUND(C68/F71,0)</f>
        <v>#DIV/0!</v>
      </c>
      <c r="D71" s="1192" t="s">
        <v>1484</v>
      </c>
      <c r="E71" s="1193" t="s">
        <v>1485</v>
      </c>
      <c r="F71" s="384">
        <f ca="1">F43</f>
        <v>0</v>
      </c>
      <c r="O71" s="1893" t="s">
        <v>1047</v>
      </c>
      <c r="P71" s="1933" t="s">
        <v>1582</v>
      </c>
      <c r="Q71" s="1896">
        <f ca="1">C76</f>
        <v>0</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21" t="s">
        <v>1073</v>
      </c>
      <c r="B1" s="3522"/>
      <c r="C1" s="3523"/>
      <c r="D1" s="3524">
        <f>SUM(I10,I15,I20,I21,I23)</f>
        <v>0</v>
      </c>
      <c r="E1" s="3524"/>
      <c r="F1" s="3524"/>
      <c r="G1" s="3524"/>
      <c r="H1" s="3524"/>
      <c r="I1" s="3525"/>
    </row>
    <row r="2" spans="1:9">
      <c r="A2" s="3511" t="s">
        <v>1074</v>
      </c>
      <c r="B2" s="3512" t="s">
        <v>1075</v>
      </c>
      <c r="C2" s="3512"/>
      <c r="D2" s="1300" t="s">
        <v>1076</v>
      </c>
      <c r="E2" s="1300" t="s">
        <v>1077</v>
      </c>
      <c r="F2" s="1300" t="s">
        <v>1078</v>
      </c>
      <c r="G2" s="1300" t="s">
        <v>1079</v>
      </c>
      <c r="H2" s="1300" t="s">
        <v>1080</v>
      </c>
      <c r="I2" s="1301" t="s">
        <v>1081</v>
      </c>
    </row>
    <row r="3" spans="1:9">
      <c r="A3" s="3511"/>
      <c r="B3" s="3512" t="s">
        <v>1082</v>
      </c>
      <c r="C3" s="3512"/>
      <c r="D3" s="1302"/>
      <c r="E3" s="1300"/>
      <c r="F3" s="1303"/>
      <c r="G3" s="1303"/>
      <c r="H3" s="1304"/>
      <c r="I3" s="1305">
        <f>ROUND(D3*E3*F3*G3*H3/10000,0)</f>
        <v>0</v>
      </c>
    </row>
    <row r="4" spans="1:9">
      <c r="A4" s="3511"/>
      <c r="B4" s="3512" t="s">
        <v>1083</v>
      </c>
      <c r="C4" s="3512"/>
      <c r="D4" s="1302"/>
      <c r="E4" s="1300"/>
      <c r="F4" s="1303"/>
      <c r="G4" s="1303"/>
      <c r="H4" s="1304"/>
      <c r="I4" s="1305">
        <f t="shared" ref="I4:I9" si="0">ROUND(D4*E4*F4*G4*H4/10000,0)</f>
        <v>0</v>
      </c>
    </row>
    <row r="5" spans="1:9">
      <c r="A5" s="3511"/>
      <c r="B5" s="3512" t="s">
        <v>1084</v>
      </c>
      <c r="C5" s="3512"/>
      <c r="D5" s="1302"/>
      <c r="E5" s="1300"/>
      <c r="F5" s="1303"/>
      <c r="G5" s="1303"/>
      <c r="H5" s="1304"/>
      <c r="I5" s="1305">
        <f t="shared" si="0"/>
        <v>0</v>
      </c>
    </row>
    <row r="6" spans="1:9">
      <c r="A6" s="3511"/>
      <c r="B6" s="3512" t="s">
        <v>1085</v>
      </c>
      <c r="C6" s="3512"/>
      <c r="D6" s="1302"/>
      <c r="E6" s="1300"/>
      <c r="F6" s="1303"/>
      <c r="G6" s="1303"/>
      <c r="H6" s="1304"/>
      <c r="I6" s="1305">
        <f t="shared" si="0"/>
        <v>0</v>
      </c>
    </row>
    <row r="7" spans="1:9">
      <c r="A7" s="3511"/>
      <c r="B7" s="3512" t="s">
        <v>1086</v>
      </c>
      <c r="C7" s="3512"/>
      <c r="D7" s="1302"/>
      <c r="E7" s="1300"/>
      <c r="F7" s="1303"/>
      <c r="G7" s="1303"/>
      <c r="H7" s="1304"/>
      <c r="I7" s="1305">
        <f t="shared" si="0"/>
        <v>0</v>
      </c>
    </row>
    <row r="8" spans="1:9">
      <c r="A8" s="3511"/>
      <c r="B8" s="3512" t="s">
        <v>1087</v>
      </c>
      <c r="C8" s="3512"/>
      <c r="D8" s="1302"/>
      <c r="E8" s="1300"/>
      <c r="F8" s="1303"/>
      <c r="G8" s="1303"/>
      <c r="H8" s="1304"/>
      <c r="I8" s="1305">
        <f t="shared" si="0"/>
        <v>0</v>
      </c>
    </row>
    <row r="9" spans="1:9">
      <c r="A9" s="3511"/>
      <c r="B9" s="3512" t="s">
        <v>1088</v>
      </c>
      <c r="C9" s="3512"/>
      <c r="D9" s="1302"/>
      <c r="E9" s="1300"/>
      <c r="F9" s="1303"/>
      <c r="G9" s="1303"/>
      <c r="H9" s="1304"/>
      <c r="I9" s="1305">
        <f t="shared" si="0"/>
        <v>0</v>
      </c>
    </row>
    <row r="10" spans="1:9">
      <c r="A10" s="3511"/>
      <c r="B10" s="3513" t="s">
        <v>1089</v>
      </c>
      <c r="C10" s="3513"/>
      <c r="D10" s="1306"/>
      <c r="E10" s="1306" t="e">
        <f>ROUND(D1*10000/D10/H9,0)</f>
        <v>#DIV/0!</v>
      </c>
      <c r="F10" s="1307"/>
      <c r="G10" s="1307"/>
      <c r="H10" s="1308"/>
      <c r="I10" s="1309">
        <f>SUM(I3:I9)</f>
        <v>0</v>
      </c>
    </row>
    <row r="11" spans="1:9" ht="14.25">
      <c r="A11" s="3511" t="s">
        <v>1090</v>
      </c>
      <c r="B11" s="3512" t="s">
        <v>1091</v>
      </c>
      <c r="C11" s="3512"/>
      <c r="D11" s="1302" t="s">
        <v>1092</v>
      </c>
      <c r="E11" s="1302" t="s">
        <v>1093</v>
      </c>
      <c r="F11" s="1303" t="s">
        <v>1094</v>
      </c>
      <c r="G11" s="1303" t="s">
        <v>1080</v>
      </c>
      <c r="H11" s="1310" t="s">
        <v>1095</v>
      </c>
      <c r="I11" s="1301" t="s">
        <v>1081</v>
      </c>
    </row>
    <row r="12" spans="1:9">
      <c r="A12" s="3511"/>
      <c r="B12" s="3512" t="s">
        <v>1096</v>
      </c>
      <c r="C12" s="3512"/>
      <c r="D12" s="1302"/>
      <c r="E12" s="1302"/>
      <c r="F12" s="1303"/>
      <c r="G12" s="1304"/>
      <c r="H12" s="1311"/>
      <c r="I12" s="1301">
        <f>ROUND(D12*E12*F12*G12/10000,0)</f>
        <v>0</v>
      </c>
    </row>
    <row r="13" spans="1:9">
      <c r="A13" s="3511"/>
      <c r="B13" s="3512" t="s">
        <v>1097</v>
      </c>
      <c r="C13" s="3512"/>
      <c r="D13" s="1302"/>
      <c r="E13" s="1302"/>
      <c r="F13" s="1303"/>
      <c r="G13" s="1304"/>
      <c r="H13" s="1311"/>
      <c r="I13" s="1301">
        <f>ROUND(D13*E13*F13*G13/10000,0)</f>
        <v>0</v>
      </c>
    </row>
    <row r="14" spans="1:9">
      <c r="A14" s="3511"/>
      <c r="B14" s="3512" t="s">
        <v>1098</v>
      </c>
      <c r="C14" s="3512"/>
      <c r="D14" s="1302"/>
      <c r="E14" s="1302"/>
      <c r="F14" s="1303"/>
      <c r="G14" s="1304"/>
      <c r="H14" s="1311"/>
      <c r="I14" s="1301">
        <f>ROUND(D14*E14*F14*G14/10000,0)</f>
        <v>0</v>
      </c>
    </row>
    <row r="15" spans="1:9">
      <c r="A15" s="3511"/>
      <c r="B15" s="3513" t="s">
        <v>1089</v>
      </c>
      <c r="C15" s="3513"/>
      <c r="D15" s="1306"/>
      <c r="E15" s="1306">
        <f>SUM(E12:E14)</f>
        <v>0</v>
      </c>
      <c r="F15" s="1307"/>
      <c r="G15" s="1304"/>
      <c r="H15" s="1311"/>
      <c r="I15" s="1312">
        <f>SUM(I12:I14)</f>
        <v>0</v>
      </c>
    </row>
    <row r="16" spans="1:9" ht="24">
      <c r="A16" s="3511" t="s">
        <v>1099</v>
      </c>
      <c r="B16" s="3512" t="s">
        <v>1100</v>
      </c>
      <c r="C16" s="3512"/>
      <c r="D16" s="1302" t="s">
        <v>1076</v>
      </c>
      <c r="E16" s="1313" t="s">
        <v>1101</v>
      </c>
      <c r="F16" s="1303" t="s">
        <v>1102</v>
      </c>
      <c r="G16" s="1304" t="s">
        <v>1080</v>
      </c>
      <c r="H16" s="1310" t="s">
        <v>1095</v>
      </c>
      <c r="I16" s="1301" t="s">
        <v>1081</v>
      </c>
    </row>
    <row r="17" spans="1:9" ht="14.25">
      <c r="A17" s="3511"/>
      <c r="B17" s="3512" t="s">
        <v>1103</v>
      </c>
      <c r="C17" s="3512"/>
      <c r="D17" s="1302"/>
      <c r="E17" s="1302"/>
      <c r="F17" s="1303"/>
      <c r="G17" s="1304"/>
      <c r="H17" s="1314"/>
      <c r="I17" s="1315">
        <f>ROUND(D17*E17*F17*G17/10000,0)</f>
        <v>0</v>
      </c>
    </row>
    <row r="18" spans="1:9" ht="14.25">
      <c r="A18" s="3511"/>
      <c r="B18" s="3512" t="s">
        <v>1104</v>
      </c>
      <c r="C18" s="3512"/>
      <c r="D18" s="1302"/>
      <c r="E18" s="1302"/>
      <c r="F18" s="1303"/>
      <c r="G18" s="1304"/>
      <c r="H18" s="1314"/>
      <c r="I18" s="1315">
        <f>ROUND(D18*E18*F18*G18/10000,0)</f>
        <v>0</v>
      </c>
    </row>
    <row r="19" spans="1:9" ht="14.25">
      <c r="A19" s="3511"/>
      <c r="B19" s="3512" t="s">
        <v>1105</v>
      </c>
      <c r="C19" s="3512"/>
      <c r="D19" s="1302"/>
      <c r="E19" s="1302"/>
      <c r="F19" s="1303"/>
      <c r="G19" s="1304"/>
      <c r="H19" s="1314"/>
      <c r="I19" s="1315">
        <f>ROUND(D19*E19*F19*G19/10000,0)</f>
        <v>0</v>
      </c>
    </row>
    <row r="20" spans="1:9">
      <c r="A20" s="3511"/>
      <c r="B20" s="3513" t="s">
        <v>1089</v>
      </c>
      <c r="C20" s="3513"/>
      <c r="D20" s="1306">
        <f>SUM(D17:D19)</f>
        <v>0</v>
      </c>
      <c r="E20" s="1306"/>
      <c r="F20" s="1307"/>
      <c r="G20" s="1304"/>
      <c r="H20" s="1311"/>
      <c r="I20" s="1312">
        <f>SUM(I17:I19)</f>
        <v>0</v>
      </c>
    </row>
    <row r="21" spans="1:9">
      <c r="A21" s="3511" t="s">
        <v>1106</v>
      </c>
      <c r="B21" s="3514"/>
      <c r="C21" s="3514"/>
      <c r="D21" s="3514"/>
      <c r="E21" s="3514"/>
      <c r="F21" s="3514"/>
      <c r="G21" s="3514"/>
      <c r="H21" s="1764">
        <v>0.1</v>
      </c>
      <c r="I21" s="1309">
        <f>ROUND(I10*H21,0)</f>
        <v>0</v>
      </c>
    </row>
    <row r="22" spans="1:9" ht="14.25">
      <c r="A22" s="3515" t="s">
        <v>1107</v>
      </c>
      <c r="B22" s="3516"/>
      <c r="C22" s="3517"/>
      <c r="D22" s="1316" t="s">
        <v>1108</v>
      </c>
      <c r="E22" s="1316" t="s">
        <v>1109</v>
      </c>
      <c r="F22" s="1317" t="s">
        <v>1110</v>
      </c>
      <c r="G22" s="1317" t="s">
        <v>1111</v>
      </c>
      <c r="H22" s="1310" t="s">
        <v>1112</v>
      </c>
      <c r="I22" s="1301" t="s">
        <v>1113</v>
      </c>
    </row>
    <row r="23" spans="1:9" ht="14.25" thickBot="1">
      <c r="A23" s="3518"/>
      <c r="B23" s="3519"/>
      <c r="C23" s="3520"/>
      <c r="D23" s="1318"/>
      <c r="E23" s="1318"/>
      <c r="F23" s="1318"/>
      <c r="G23" s="1319"/>
      <c r="H23" s="1320"/>
      <c r="I23" s="1321">
        <f>ROUND(E23*D23*F23*(1-G23)/10000,0)</f>
        <v>0</v>
      </c>
    </row>
    <row r="26" spans="1:9">
      <c r="A26" s="1322" t="s">
        <v>1114</v>
      </c>
      <c r="B26" s="1322"/>
      <c r="C26" s="1322"/>
      <c r="D26" s="1322"/>
      <c r="E26" s="3508">
        <f>C27-C30-C31-C32</f>
        <v>0</v>
      </c>
      <c r="F26" s="3508"/>
      <c r="G26" s="3508"/>
      <c r="H26" s="1736" t="s">
        <v>1336</v>
      </c>
    </row>
    <row r="27" spans="1:9">
      <c r="A27" s="1323">
        <v>1</v>
      </c>
      <c r="B27" s="1324" t="s">
        <v>1115</v>
      </c>
      <c r="C27" s="1324">
        <f>C28+C29</f>
        <v>0</v>
      </c>
      <c r="D27" s="1324"/>
      <c r="E27" s="3509"/>
      <c r="F27" s="3509"/>
      <c r="G27" s="3509"/>
    </row>
    <row r="28" spans="1:9">
      <c r="A28" s="1325" t="s">
        <v>1116</v>
      </c>
      <c r="B28" s="1324" t="s">
        <v>1117</v>
      </c>
      <c r="C28" s="1324"/>
      <c r="D28" s="1324"/>
      <c r="E28" s="3509"/>
      <c r="F28" s="3509"/>
      <c r="G28" s="3509"/>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510"/>
      <c r="F32" s="3510"/>
      <c r="G32" s="3510"/>
    </row>
    <row r="33" spans="1:7" hidden="1">
      <c r="A33" s="3505" t="s">
        <v>1126</v>
      </c>
      <c r="B33" s="3506"/>
      <c r="C33" s="3506"/>
      <c r="D33" s="3507"/>
      <c r="E33" s="3508"/>
      <c r="F33" s="3508"/>
      <c r="G33" s="3508"/>
    </row>
    <row r="34" spans="1:7" hidden="1">
      <c r="A34" s="1327">
        <v>1</v>
      </c>
      <c r="B34" s="1324" t="s">
        <v>1127</v>
      </c>
      <c r="C34" s="1324"/>
      <c r="D34" s="1324"/>
      <c r="E34" s="3509"/>
      <c r="F34" s="3509"/>
      <c r="G34" s="3509"/>
    </row>
    <row r="35" spans="1:7" hidden="1">
      <c r="A35" s="1327">
        <v>2</v>
      </c>
      <c r="B35" s="1324" t="s">
        <v>1128</v>
      </c>
      <c r="C35" s="1324"/>
      <c r="D35" s="1324"/>
      <c r="E35" s="3509"/>
      <c r="F35" s="3509"/>
      <c r="G35" s="3509"/>
    </row>
    <row r="36" spans="1:7" hidden="1">
      <c r="A36" s="1327">
        <v>3</v>
      </c>
      <c r="B36" s="1324" t="s">
        <v>1129</v>
      </c>
      <c r="C36" s="1324"/>
      <c r="D36" s="1324"/>
      <c r="E36" s="3509"/>
      <c r="F36" s="3509"/>
      <c r="G36" s="3509"/>
    </row>
    <row r="37" spans="1:7" hidden="1">
      <c r="A37" s="1327">
        <v>4</v>
      </c>
      <c r="B37" s="1324" t="s">
        <v>1130</v>
      </c>
      <c r="C37" s="1324"/>
      <c r="D37" s="1324"/>
      <c r="E37" s="3509"/>
      <c r="F37" s="3509"/>
      <c r="G37" s="3509"/>
    </row>
    <row r="38" spans="1:7" hidden="1">
      <c r="A38" s="3505" t="s">
        <v>1131</v>
      </c>
      <c r="B38" s="3506"/>
      <c r="C38" s="3506"/>
      <c r="D38" s="3507"/>
      <c r="E38" s="3508"/>
      <c r="F38" s="3508"/>
      <c r="G38" s="35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580" t="s">
        <v>2531</v>
      </c>
      <c r="C1" s="1633" t="s">
        <v>2532</v>
      </c>
      <c r="D1" s="1620"/>
      <c r="E1" s="2581"/>
      <c r="F1" s="2582" t="s">
        <v>2533</v>
      </c>
      <c r="G1" s="1630" t="s">
        <v>2534</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1390</v>
      </c>
      <c r="B2" s="1417" t="e">
        <f ca="1">IF(C2="——",ROUND(C49*D3/10000,0),ROUND(C49*D3/10000,0)-D2)</f>
        <v>#DIV/0!</v>
      </c>
      <c r="C2" s="2584"/>
      <c r="D2" s="1364" t="e">
        <f ca="1">SUMIF(INDIRECT("'"&amp;F2&amp;"'"&amp;"!A:A"),"承租人权益价值",INDIRECT("'"&amp;F2&amp;"'"&amp;"!c:c"))</f>
        <v>#REF!</v>
      </c>
      <c r="E2" s="2585" t="s">
        <v>2535</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2536</v>
      </c>
      <c r="D3" s="398">
        <f>IF(D1="",'数据-汇总表'!E3,SUMIF('数据-汇总表'!$C19:$C33,D1,'数据-汇总表'!$E19:$E33))</f>
        <v>16929.979999999996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400" t="s">
        <v>2537</v>
      </c>
      <c r="B4" s="401"/>
      <c r="C4" s="3451" t="s">
        <v>2538</v>
      </c>
      <c r="D4" s="3452"/>
      <c r="E4" s="3453" t="s">
        <v>2539</v>
      </c>
      <c r="F4" s="3454"/>
      <c r="G4" s="3451" t="s">
        <v>2540</v>
      </c>
      <c r="H4" s="3452"/>
      <c r="I4" s="3451" t="s">
        <v>2541</v>
      </c>
      <c r="J4" s="3452"/>
      <c r="K4" s="2594" t="s">
        <v>2542</v>
      </c>
      <c r="L4" s="1130"/>
      <c r="M4" s="1131"/>
      <c r="N4" s="1131"/>
      <c r="O4" s="1131"/>
      <c r="P4" s="3499" t="s">
        <v>2543</v>
      </c>
      <c r="Q4" s="3500"/>
      <c r="R4" s="3503" t="s">
        <v>2539</v>
      </c>
      <c r="S4" s="3504"/>
      <c r="T4" s="3503" t="s">
        <v>2540</v>
      </c>
      <c r="U4" s="3504"/>
      <c r="V4" s="3468" t="s">
        <v>2541</v>
      </c>
      <c r="W4" s="3468"/>
      <c r="X4" s="1812"/>
      <c r="Y4" s="3503" t="s">
        <v>2543</v>
      </c>
      <c r="Z4" s="3504"/>
      <c r="AA4" s="3498" t="s">
        <v>2539</v>
      </c>
      <c r="AB4" s="3498" t="s">
        <v>2540</v>
      </c>
      <c r="AC4" s="3498" t="s">
        <v>2541</v>
      </c>
    </row>
    <row r="5" spans="1:29" ht="15">
      <c r="A5" s="403"/>
      <c r="B5" s="404"/>
      <c r="C5" s="3477" t="s">
        <v>2544</v>
      </c>
      <c r="D5" s="3472"/>
      <c r="E5" s="3526" t="s">
        <v>2545</v>
      </c>
      <c r="F5" s="3527"/>
      <c r="G5" s="3477" t="s">
        <v>2546</v>
      </c>
      <c r="H5" s="3472"/>
      <c r="I5" s="3477" t="s">
        <v>2547</v>
      </c>
      <c r="J5" s="3472"/>
      <c r="K5" s="2595"/>
      <c r="L5" s="1130"/>
      <c r="M5" s="1131"/>
      <c r="N5" s="1131"/>
      <c r="O5" s="1131"/>
      <c r="P5" s="3501"/>
      <c r="Q5" s="3458"/>
      <c r="R5" s="3463"/>
      <c r="S5" s="3464"/>
      <c r="T5" s="3463"/>
      <c r="U5" s="3464"/>
      <c r="V5" s="3468"/>
      <c r="W5" s="3468"/>
      <c r="X5" s="1812"/>
      <c r="Y5" s="3463"/>
      <c r="Z5" s="3464"/>
      <c r="AA5" s="3481"/>
      <c r="AB5" s="3481"/>
      <c r="AC5" s="3481"/>
    </row>
    <row r="6" spans="1:29" ht="15.75" thickBot="1">
      <c r="A6" s="405"/>
      <c r="B6" s="406"/>
      <c r="C6" s="3469" t="s">
        <v>2548</v>
      </c>
      <c r="D6" s="3470"/>
      <c r="E6" s="3478" t="s">
        <v>2548</v>
      </c>
      <c r="F6" s="3479"/>
      <c r="G6" s="3469" t="s">
        <v>2548</v>
      </c>
      <c r="H6" s="3470"/>
      <c r="I6" s="3469" t="s">
        <v>2548</v>
      </c>
      <c r="J6" s="3470"/>
      <c r="K6" s="2595" t="s">
        <v>2549</v>
      </c>
      <c r="L6" s="1130"/>
      <c r="M6" s="1131"/>
      <c r="N6" s="1131"/>
      <c r="O6" s="1131"/>
      <c r="P6" s="3502"/>
      <c r="Q6" s="3460"/>
      <c r="R6" s="3463"/>
      <c r="S6" s="3464"/>
      <c r="T6" s="3465"/>
      <c r="U6" s="3466"/>
      <c r="V6" s="3468"/>
      <c r="W6" s="3468"/>
      <c r="X6" s="1812"/>
      <c r="Y6" s="3465"/>
      <c r="Z6" s="3466"/>
      <c r="AA6" s="3482"/>
      <c r="AB6" s="3482"/>
      <c r="AC6" s="3482"/>
    </row>
    <row r="7" spans="1:29" s="116" customFormat="1" ht="15.75" thickBot="1">
      <c r="A7" s="407" t="s">
        <v>2550</v>
      </c>
      <c r="B7" s="408"/>
      <c r="C7" s="409">
        <f>'数据-取费表'!B2</f>
        <v>43553</v>
      </c>
      <c r="D7" s="410">
        <v>100</v>
      </c>
      <c r="E7" s="411"/>
      <c r="F7" s="412">
        <f>SUMIF(58:58,YEAR(E7)&amp;"-"&amp;MONTH(E7),59:59)</f>
        <v>0</v>
      </c>
      <c r="G7" s="411"/>
      <c r="H7" s="410">
        <f>SUMIF(58:58,YEAR(G7)&amp;"-"&amp;MONTH(G7),59:59)</f>
        <v>0</v>
      </c>
      <c r="I7" s="411"/>
      <c r="J7" s="410">
        <f>SUMIF(58:58,YEAR(I7)&amp;"-"&amp;MONTH(I7),59:59)</f>
        <v>0</v>
      </c>
      <c r="K7" s="2596"/>
      <c r="L7" s="1132"/>
      <c r="M7" s="1133"/>
      <c r="N7" s="1133"/>
      <c r="O7" s="1133"/>
      <c r="P7" s="3475" t="s">
        <v>2551</v>
      </c>
      <c r="Q7" s="3476"/>
      <c r="R7" s="767" t="s">
        <v>23</v>
      </c>
      <c r="S7" s="768">
        <f t="shared" ref="S7:S15" si="0">F7</f>
        <v>0</v>
      </c>
      <c r="T7" s="767" t="s">
        <v>23</v>
      </c>
      <c r="U7" s="768">
        <f t="shared" ref="U7:U15" si="1">H7</f>
        <v>0</v>
      </c>
      <c r="V7" s="767" t="s">
        <v>23</v>
      </c>
      <c r="W7" s="768">
        <f t="shared" ref="W7:W15" si="2">J7</f>
        <v>0</v>
      </c>
      <c r="X7" s="769"/>
      <c r="Y7" s="3475" t="s">
        <v>2551</v>
      </c>
      <c r="Z7" s="3474"/>
      <c r="AA7" s="770" t="e">
        <f>D7/F7</f>
        <v>#DIV/0!</v>
      </c>
      <c r="AB7" s="770" t="e">
        <f>D7/H7</f>
        <v>#DIV/0!</v>
      </c>
      <c r="AC7" s="770" t="e">
        <f>D7/J7</f>
        <v>#DIV/0!</v>
      </c>
    </row>
    <row r="8" spans="1:29" s="116" customFormat="1" ht="15.75" thickBot="1">
      <c r="A8" s="407" t="s">
        <v>2552</v>
      </c>
      <c r="B8" s="408"/>
      <c r="C8" s="413" t="s">
        <v>2553</v>
      </c>
      <c r="D8" s="410">
        <v>100</v>
      </c>
      <c r="E8" s="2597"/>
      <c r="F8" s="412">
        <f>SUMIF(61:61,E8,62:62)-SUMIF(61:61,C8,62:62)+100</f>
        <v>0</v>
      </c>
      <c r="G8" s="413"/>
      <c r="H8" s="410">
        <f>SUMIF(61:61,G8,62:62)-SUMIF(61:61,C8,62:62)+100</f>
        <v>0</v>
      </c>
      <c r="I8" s="2597"/>
      <c r="J8" s="410">
        <f>SUMIF(61:61,I8,62:62)-SUMIF(61:61,C8,62:62)+100</f>
        <v>0</v>
      </c>
      <c r="K8" s="2596"/>
      <c r="L8" s="1132"/>
      <c r="M8" s="1133"/>
      <c r="N8" s="1133"/>
      <c r="O8" s="1133"/>
      <c r="P8" s="3475" t="s">
        <v>2554</v>
      </c>
      <c r="Q8" s="3474"/>
      <c r="R8" s="767" t="s">
        <v>23</v>
      </c>
      <c r="S8" s="768">
        <f t="shared" si="0"/>
        <v>0</v>
      </c>
      <c r="T8" s="767" t="s">
        <v>23</v>
      </c>
      <c r="U8" s="768">
        <f t="shared" si="1"/>
        <v>0</v>
      </c>
      <c r="V8" s="767" t="s">
        <v>23</v>
      </c>
      <c r="W8" s="768">
        <f t="shared" si="2"/>
        <v>0</v>
      </c>
      <c r="X8" s="769"/>
      <c r="Y8" s="3475" t="s">
        <v>2554</v>
      </c>
      <c r="Z8" s="3474"/>
      <c r="AA8" s="770" t="e">
        <f t="shared" ref="AA8:AA19" si="3">D8/F8</f>
        <v>#DIV/0!</v>
      </c>
      <c r="AB8" s="770" t="e">
        <f t="shared" ref="AB8:AB19" si="4">D8/H8</f>
        <v>#DIV/0!</v>
      </c>
      <c r="AC8" s="770" t="e">
        <f t="shared" ref="AC8:AC19" si="5">D8/J8</f>
        <v>#DIV/0!</v>
      </c>
    </row>
    <row r="9" spans="1:29" s="116" customFormat="1">
      <c r="A9" s="414" t="s">
        <v>2555</v>
      </c>
      <c r="B9" s="70" t="s">
        <v>2556</v>
      </c>
      <c r="C9" s="415"/>
      <c r="D9" s="134">
        <v>100</v>
      </c>
      <c r="E9" s="416"/>
      <c r="F9" s="417">
        <f>SUMIF(63:63,E9,64:64)-SUMIF(63:63,C9,64:64)+100</f>
        <v>100</v>
      </c>
      <c r="G9" s="418"/>
      <c r="H9" s="134">
        <f>SUMIF(63:63,G9,64:64)-SUMIF(63:63,C9,64:64)+100</f>
        <v>100</v>
      </c>
      <c r="I9" s="418"/>
      <c r="J9" s="134">
        <f>SUMIF(63:63,I9,64:64)-SUMIF(63:63,C9,64:64)+100</f>
        <v>100</v>
      </c>
      <c r="K9" s="2596"/>
      <c r="L9" s="1132"/>
      <c r="M9" s="1133"/>
      <c r="N9" s="1133"/>
      <c r="O9" s="1133"/>
      <c r="P9" s="3433" t="s">
        <v>2557</v>
      </c>
      <c r="Q9" s="1794" t="str">
        <f t="shared" ref="Q9:Q15" si="6">B9</f>
        <v>用途</v>
      </c>
      <c r="R9" s="767" t="s">
        <v>17</v>
      </c>
      <c r="S9" s="768">
        <f t="shared" si="0"/>
        <v>100</v>
      </c>
      <c r="T9" s="767" t="s">
        <v>17</v>
      </c>
      <c r="U9" s="768">
        <f t="shared" si="1"/>
        <v>100</v>
      </c>
      <c r="V9" s="767" t="s">
        <v>17</v>
      </c>
      <c r="W9" s="768">
        <f t="shared" si="2"/>
        <v>100</v>
      </c>
      <c r="X9" s="769"/>
      <c r="Y9" s="3280"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433"/>
      <c r="Q10" s="1794" t="str">
        <f t="shared" si="6"/>
        <v>土地使用年限（年）</v>
      </c>
      <c r="R10" s="767" t="s">
        <v>17</v>
      </c>
      <c r="S10" s="768">
        <f t="shared" si="0"/>
        <v>100</v>
      </c>
      <c r="T10" s="767" t="s">
        <v>17</v>
      </c>
      <c r="U10" s="768">
        <f t="shared" si="1"/>
        <v>100</v>
      </c>
      <c r="V10" s="767" t="s">
        <v>17</v>
      </c>
      <c r="W10" s="768">
        <f t="shared" si="2"/>
        <v>100</v>
      </c>
      <c r="X10" s="769"/>
      <c r="Y10" s="3280"/>
      <c r="Z10" s="54" t="str">
        <f t="shared" si="7"/>
        <v>土地使用年限（年）</v>
      </c>
      <c r="AA10" s="770">
        <f t="shared" si="3"/>
        <v>1</v>
      </c>
      <c r="AB10" s="770">
        <f t="shared" si="4"/>
        <v>1</v>
      </c>
      <c r="AC10" s="770">
        <f t="shared" si="5"/>
        <v>1</v>
      </c>
    </row>
    <row r="11" spans="1:29" ht="15">
      <c r="A11" s="427"/>
      <c r="B11" s="421" t="s">
        <v>2560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433"/>
      <c r="Q11" s="1794" t="str">
        <f t="shared" si="6"/>
        <v>容积率</v>
      </c>
      <c r="R11" s="767" t="s">
        <v>21</v>
      </c>
      <c r="S11" s="768" t="e">
        <f t="shared" si="0"/>
        <v>#N/A</v>
      </c>
      <c r="T11" s="767" t="s">
        <v>21</v>
      </c>
      <c r="U11" s="768" t="e">
        <f t="shared" si="1"/>
        <v>#N/A</v>
      </c>
      <c r="V11" s="767" t="s">
        <v>21</v>
      </c>
      <c r="W11" s="768" t="e">
        <f t="shared" si="2"/>
        <v>#N/A</v>
      </c>
      <c r="X11" s="769"/>
      <c r="Y11" s="3280"/>
      <c r="Z11" s="54" t="str">
        <f t="shared" si="7"/>
        <v>容积率</v>
      </c>
      <c r="AA11" s="770" t="e">
        <f t="shared" si="3"/>
        <v>#N/A</v>
      </c>
      <c r="AB11" s="770" t="e">
        <f t="shared" si="4"/>
        <v>#N/A</v>
      </c>
      <c r="AC11" s="770"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2"/>
      <c r="M12" s="1133"/>
      <c r="N12" s="1133"/>
      <c r="O12" s="1133"/>
      <c r="P12" s="3433"/>
      <c r="Q12" s="1794">
        <f t="shared" si="6"/>
        <v>111</v>
      </c>
      <c r="R12" s="767" t="s">
        <v>21</v>
      </c>
      <c r="S12" s="768">
        <f t="shared" si="0"/>
        <v>100</v>
      </c>
      <c r="T12" s="767" t="s">
        <v>21</v>
      </c>
      <c r="U12" s="768">
        <f t="shared" si="1"/>
        <v>100</v>
      </c>
      <c r="V12" s="767" t="s">
        <v>21</v>
      </c>
      <c r="W12" s="768">
        <f t="shared" si="2"/>
        <v>100</v>
      </c>
      <c r="X12" s="769"/>
      <c r="Y12" s="3280"/>
      <c r="Z12" s="54">
        <f t="shared" si="7"/>
        <v>111</v>
      </c>
      <c r="AA12" s="770">
        <f>D12/F12</f>
        <v>1</v>
      </c>
      <c r="AB12" s="770">
        <f>D12/H12</f>
        <v>1</v>
      </c>
      <c r="AC12" s="770">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0"/>
      <c r="M13" s="1131"/>
      <c r="N13" s="1131"/>
      <c r="O13" s="1131"/>
      <c r="P13" s="3433"/>
      <c r="Q13" s="1794">
        <f t="shared" si="6"/>
        <v>111</v>
      </c>
      <c r="R13" s="767" t="s">
        <v>21</v>
      </c>
      <c r="S13" s="768">
        <f t="shared" si="0"/>
        <v>100</v>
      </c>
      <c r="T13" s="767" t="s">
        <v>21</v>
      </c>
      <c r="U13" s="768">
        <f t="shared" si="1"/>
        <v>100</v>
      </c>
      <c r="V13" s="767" t="s">
        <v>21</v>
      </c>
      <c r="W13" s="768">
        <f t="shared" si="2"/>
        <v>100</v>
      </c>
      <c r="X13" s="769"/>
      <c r="Y13" s="3280"/>
      <c r="Z13" s="54">
        <f t="shared" si="7"/>
        <v>111</v>
      </c>
      <c r="AA13" s="770">
        <f t="shared" si="3"/>
        <v>1</v>
      </c>
      <c r="AB13" s="770">
        <f t="shared" si="4"/>
        <v>1</v>
      </c>
      <c r="AC13" s="770">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0"/>
      <c r="M14" s="1131"/>
      <c r="N14" s="1131"/>
      <c r="O14" s="1131"/>
      <c r="P14" s="3433"/>
      <c r="Q14" s="1794">
        <f t="shared" si="6"/>
        <v>111</v>
      </c>
      <c r="R14" s="767" t="s">
        <v>21</v>
      </c>
      <c r="S14" s="768">
        <f t="shared" si="0"/>
        <v>100</v>
      </c>
      <c r="T14" s="767" t="s">
        <v>21</v>
      </c>
      <c r="U14" s="768">
        <f t="shared" si="1"/>
        <v>100</v>
      </c>
      <c r="V14" s="767" t="s">
        <v>21</v>
      </c>
      <c r="W14" s="768">
        <f t="shared" si="2"/>
        <v>100</v>
      </c>
      <c r="X14" s="769"/>
      <c r="Y14" s="3280"/>
      <c r="Z14" s="54">
        <f t="shared" si="7"/>
        <v>111</v>
      </c>
      <c r="AA14" s="770">
        <f t="shared" si="3"/>
        <v>1</v>
      </c>
      <c r="AB14" s="770">
        <f t="shared" si="4"/>
        <v>1</v>
      </c>
      <c r="AC14" s="770">
        <f t="shared" si="5"/>
        <v>1</v>
      </c>
    </row>
    <row r="15" spans="1:29" ht="99.75">
      <c r="A15" s="439" t="s">
        <v>2561</v>
      </c>
      <c r="B15" s="68" t="s">
        <v>2085</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439" t="s">
        <v>2562</v>
      </c>
      <c r="Q15" s="1809" t="str">
        <f t="shared" si="6"/>
        <v>居住社区成熟度</v>
      </c>
      <c r="R15" s="771" t="s">
        <v>21</v>
      </c>
      <c r="S15" s="772">
        <f t="shared" si="0"/>
        <v>100</v>
      </c>
      <c r="T15" s="771" t="s">
        <v>21</v>
      </c>
      <c r="U15" s="772">
        <f t="shared" si="1"/>
        <v>100</v>
      </c>
      <c r="V15" s="771" t="s">
        <v>21</v>
      </c>
      <c r="W15" s="772">
        <f t="shared" si="2"/>
        <v>100</v>
      </c>
      <c r="X15" s="1812"/>
      <c r="Y15" s="3441" t="s">
        <v>2562</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40"/>
      <c r="M16" s="1131"/>
      <c r="N16" s="1131"/>
      <c r="O16" s="1131"/>
      <c r="P16" s="3440"/>
      <c r="Q16" s="1809"/>
      <c r="R16" s="771"/>
      <c r="S16" s="772"/>
      <c r="T16" s="771"/>
      <c r="U16" s="772"/>
      <c r="V16" s="771"/>
      <c r="W16" s="772"/>
      <c r="X16" s="1812"/>
      <c r="Y16" s="3442"/>
      <c r="Z16" s="1813"/>
      <c r="AA16" s="1810">
        <v>1</v>
      </c>
      <c r="AB16" s="1810">
        <v>1</v>
      </c>
      <c r="AC16" s="1810">
        <v>1</v>
      </c>
    </row>
    <row r="17" spans="1:29" ht="85.5">
      <c r="A17" s="427"/>
      <c r="B17" s="450" t="s">
        <v>2097</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440"/>
      <c r="Q17" s="1809" t="str">
        <f>B17</f>
        <v>交通便捷度</v>
      </c>
      <c r="R17" s="771" t="s">
        <v>21</v>
      </c>
      <c r="S17" s="772">
        <f>F17</f>
        <v>100</v>
      </c>
      <c r="T17" s="771" t="s">
        <v>21</v>
      </c>
      <c r="U17" s="772">
        <f>H17</f>
        <v>100</v>
      </c>
      <c r="V17" s="771" t="s">
        <v>21</v>
      </c>
      <c r="W17" s="772">
        <f>J17</f>
        <v>100</v>
      </c>
      <c r="X17" s="1812"/>
      <c r="Y17" s="3442"/>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40"/>
      <c r="M18" s="1131"/>
      <c r="N18" s="1131"/>
      <c r="O18" s="1131"/>
      <c r="P18" s="3440"/>
      <c r="Q18" s="1809"/>
      <c r="R18" s="771"/>
      <c r="S18" s="772"/>
      <c r="T18" s="771"/>
      <c r="U18" s="772"/>
      <c r="V18" s="771"/>
      <c r="W18" s="772"/>
      <c r="X18" s="1812"/>
      <c r="Y18" s="3442"/>
      <c r="Z18" s="1813"/>
      <c r="AA18" s="1810">
        <v>1</v>
      </c>
      <c r="AB18" s="1810">
        <v>1</v>
      </c>
      <c r="AC18" s="1810">
        <v>1</v>
      </c>
    </row>
    <row r="19" spans="1:29" ht="42.75">
      <c r="A19" s="427"/>
      <c r="B19" s="450" t="s">
        <v>2095</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440"/>
      <c r="Q19" s="1809" t="str">
        <f>B19</f>
        <v>公共配套设施</v>
      </c>
      <c r="R19" s="771" t="s">
        <v>21</v>
      </c>
      <c r="S19" s="772">
        <f>F19</f>
        <v>100</v>
      </c>
      <c r="T19" s="771" t="s">
        <v>21</v>
      </c>
      <c r="U19" s="772">
        <f>H19</f>
        <v>100</v>
      </c>
      <c r="V19" s="771" t="s">
        <v>21</v>
      </c>
      <c r="W19" s="772">
        <f>J19</f>
        <v>100</v>
      </c>
      <c r="X19" s="1812"/>
      <c r="Y19" s="3442"/>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40"/>
      <c r="M20" s="1131"/>
      <c r="N20" s="1131"/>
      <c r="O20" s="1131"/>
      <c r="P20" s="3440"/>
      <c r="Q20" s="1809"/>
      <c r="R20" s="771"/>
      <c r="S20" s="772"/>
      <c r="T20" s="771"/>
      <c r="U20" s="772"/>
      <c r="V20" s="771"/>
      <c r="W20" s="772"/>
      <c r="X20" s="1812"/>
      <c r="Y20" s="3442"/>
      <c r="Z20" s="1813"/>
      <c r="AA20" s="1810">
        <v>1</v>
      </c>
      <c r="AB20" s="1810">
        <v>1</v>
      </c>
      <c r="AC20" s="1810">
        <v>1</v>
      </c>
    </row>
    <row r="21" spans="1:29" ht="28.5">
      <c r="A21" s="427"/>
      <c r="B21" s="1383" t="s">
        <v>2098</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440"/>
      <c r="Q21" s="1809" t="str">
        <f>B21</f>
        <v>基础设施水平</v>
      </c>
      <c r="R21" s="771" t="s">
        <v>17</v>
      </c>
      <c r="S21" s="772">
        <f>F21</f>
        <v>100</v>
      </c>
      <c r="T21" s="771" t="s">
        <v>17</v>
      </c>
      <c r="U21" s="772">
        <f>H21</f>
        <v>100</v>
      </c>
      <c r="V21" s="771" t="s">
        <v>17</v>
      </c>
      <c r="W21" s="772">
        <f>J21</f>
        <v>100</v>
      </c>
      <c r="X21" s="1812"/>
      <c r="Y21" s="344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40"/>
      <c r="M22" s="1131"/>
      <c r="N22" s="1131"/>
      <c r="O22" s="1131"/>
      <c r="P22" s="3440"/>
      <c r="Q22" s="1809"/>
      <c r="R22" s="771"/>
      <c r="S22" s="772"/>
      <c r="T22" s="771"/>
      <c r="U22" s="772"/>
      <c r="V22" s="771"/>
      <c r="W22" s="772"/>
      <c r="X22" s="1812"/>
      <c r="Y22" s="3442"/>
      <c r="Z22" s="1813"/>
      <c r="AA22" s="1810">
        <v>1</v>
      </c>
      <c r="AB22" s="1810">
        <v>1</v>
      </c>
      <c r="AC22" s="1810">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440"/>
      <c r="Q23" s="1809" t="str">
        <f>B23</f>
        <v>自然及人文环境</v>
      </c>
      <c r="R23" s="771" t="s">
        <v>21</v>
      </c>
      <c r="S23" s="772">
        <f>F23</f>
        <v>100</v>
      </c>
      <c r="T23" s="771" t="s">
        <v>21</v>
      </c>
      <c r="U23" s="772">
        <f>H23</f>
        <v>100</v>
      </c>
      <c r="V23" s="771" t="s">
        <v>21</v>
      </c>
      <c r="W23" s="772">
        <f>J23</f>
        <v>100</v>
      </c>
      <c r="X23" s="1812"/>
      <c r="Y23" s="3442"/>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40"/>
      <c r="M24" s="1131"/>
      <c r="N24" s="1131"/>
      <c r="O24" s="1131"/>
      <c r="P24" s="3440"/>
      <c r="Q24" s="1809"/>
      <c r="R24" s="771"/>
      <c r="S24" s="772"/>
      <c r="T24" s="771"/>
      <c r="U24" s="772"/>
      <c r="V24" s="771"/>
      <c r="W24" s="772"/>
      <c r="X24" s="1812"/>
      <c r="Y24" s="3442"/>
      <c r="Z24" s="1813"/>
      <c r="AA24" s="1810">
        <v>1</v>
      </c>
      <c r="AB24" s="1810">
        <v>1</v>
      </c>
      <c r="AC24" s="1810">
        <v>1</v>
      </c>
    </row>
    <row r="25" spans="1:29" ht="15">
      <c r="A25" s="427"/>
      <c r="B25" s="421" t="s">
        <v>2563</v>
      </c>
      <c r="C25" s="459"/>
      <c r="D25" s="434">
        <v>100</v>
      </c>
      <c r="E25" s="2611"/>
      <c r="F25" s="434">
        <f>SUMIF(86:86,E25,87:87)-SUMIF(86:86,C25,87:87)+100</f>
        <v>100</v>
      </c>
      <c r="G25" s="2612"/>
      <c r="H25" s="434">
        <f>SUMIF(86:86,G25,87:87)-SUMIF(86:86,C25,87:87)+100</f>
        <v>100</v>
      </c>
      <c r="I25" s="2612"/>
      <c r="J25" s="434">
        <f>SUMIF(86:86,I25,87:87)-SUMIF(86:86,C25,87:87)+100</f>
        <v>100</v>
      </c>
      <c r="K25" s="425"/>
      <c r="L25" s="1140"/>
      <c r="M25" s="1131"/>
      <c r="N25" s="1131"/>
      <c r="O25" s="1131"/>
      <c r="P25" s="3440"/>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442"/>
      <c r="Z25" s="1813" t="str">
        <f>Q25</f>
        <v>楼层-1</v>
      </c>
      <c r="AA25" s="1810">
        <f t="shared" ref="AA25:AA46" si="15">D25/F25</f>
        <v>1</v>
      </c>
      <c r="AB25" s="1810">
        <f t="shared" ref="AB25:AB46" si="16">D25/H25</f>
        <v>1</v>
      </c>
      <c r="AC25" s="1810">
        <f t="shared" ref="AC25:AC46" si="17">D25/J25</f>
        <v>1</v>
      </c>
    </row>
    <row r="26" spans="1:29" ht="15">
      <c r="A26" s="427"/>
      <c r="B26" s="421" t="s">
        <v>2564</v>
      </c>
      <c r="C26" s="459"/>
      <c r="D26" s="434">
        <v>100</v>
      </c>
      <c r="E26" s="2611"/>
      <c r="F26" s="434">
        <f>SUMIF(88:88,E26,89:89)-SUMIF(88:88,C26,89:89)+100</f>
        <v>100</v>
      </c>
      <c r="G26" s="2612"/>
      <c r="H26" s="434">
        <f>SUMIF(88:88,G26,89:89)-SUMIF(88:88,C26,89:89)+100</f>
        <v>100</v>
      </c>
      <c r="I26" s="2612"/>
      <c r="J26" s="434">
        <f>SUMIF(88:88,I26,89:89)-SUMIF(88:88,C26,89:89)+100</f>
        <v>100</v>
      </c>
      <c r="K26" s="425"/>
      <c r="L26" s="1140"/>
      <c r="M26" s="1131"/>
      <c r="N26" s="1131"/>
      <c r="O26" s="1131"/>
      <c r="P26" s="3440"/>
      <c r="Q26" s="1809" t="str">
        <f t="shared" si="11"/>
        <v>朝向</v>
      </c>
      <c r="R26" s="771" t="s">
        <v>21</v>
      </c>
      <c r="S26" s="772">
        <f t="shared" si="12"/>
        <v>100</v>
      </c>
      <c r="T26" s="771" t="s">
        <v>21</v>
      </c>
      <c r="U26" s="772">
        <f t="shared" si="13"/>
        <v>100</v>
      </c>
      <c r="V26" s="771" t="s">
        <v>21</v>
      </c>
      <c r="W26" s="772">
        <f t="shared" si="14"/>
        <v>100</v>
      </c>
      <c r="X26" s="1812"/>
      <c r="Y26" s="3442"/>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2"/>
      <c r="M27" s="1133"/>
      <c r="N27" s="1133"/>
      <c r="O27" s="1133"/>
      <c r="P27" s="3440"/>
      <c r="Q27" s="1794">
        <f t="shared" si="11"/>
        <v>111</v>
      </c>
      <c r="R27" s="767" t="s">
        <v>21</v>
      </c>
      <c r="S27" s="768">
        <f t="shared" si="12"/>
        <v>100</v>
      </c>
      <c r="T27" s="767" t="s">
        <v>21</v>
      </c>
      <c r="U27" s="768">
        <f t="shared" si="13"/>
        <v>100</v>
      </c>
      <c r="V27" s="767" t="s">
        <v>21</v>
      </c>
      <c r="W27" s="768">
        <f t="shared" si="14"/>
        <v>100</v>
      </c>
      <c r="X27" s="769"/>
      <c r="Y27" s="3442"/>
      <c r="Z27" s="54">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40"/>
      <c r="M28" s="1131"/>
      <c r="N28" s="1131"/>
      <c r="O28" s="1131"/>
      <c r="P28" s="3440"/>
      <c r="Q28" s="1809">
        <f t="shared" si="11"/>
        <v>111</v>
      </c>
      <c r="R28" s="771" t="s">
        <v>21</v>
      </c>
      <c r="S28" s="772">
        <f t="shared" si="12"/>
        <v>100</v>
      </c>
      <c r="T28" s="771" t="s">
        <v>21</v>
      </c>
      <c r="U28" s="772">
        <f t="shared" si="13"/>
        <v>100</v>
      </c>
      <c r="V28" s="771" t="s">
        <v>21</v>
      </c>
      <c r="W28" s="772">
        <f t="shared" si="14"/>
        <v>100</v>
      </c>
      <c r="X28" s="1812"/>
      <c r="Y28" s="3442"/>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40"/>
      <c r="M29" s="1131"/>
      <c r="N29" s="1131"/>
      <c r="O29" s="1131"/>
      <c r="P29" s="3440"/>
      <c r="Q29" s="1809">
        <f t="shared" si="11"/>
        <v>111</v>
      </c>
      <c r="R29" s="771" t="s">
        <v>21</v>
      </c>
      <c r="S29" s="772">
        <f t="shared" si="12"/>
        <v>100</v>
      </c>
      <c r="T29" s="771" t="s">
        <v>21</v>
      </c>
      <c r="U29" s="772">
        <f t="shared" si="13"/>
        <v>100</v>
      </c>
      <c r="V29" s="771" t="s">
        <v>21</v>
      </c>
      <c r="W29" s="772">
        <f t="shared" si="14"/>
        <v>100</v>
      </c>
      <c r="X29" s="1812"/>
      <c r="Y29" s="3442"/>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40"/>
      <c r="M30" s="1131"/>
      <c r="N30" s="1131"/>
      <c r="O30" s="1131"/>
      <c r="P30" s="3440"/>
      <c r="Q30" s="1809">
        <f t="shared" si="11"/>
        <v>111</v>
      </c>
      <c r="R30" s="771" t="s">
        <v>21</v>
      </c>
      <c r="S30" s="772">
        <f t="shared" si="12"/>
        <v>100</v>
      </c>
      <c r="T30" s="771" t="s">
        <v>21</v>
      </c>
      <c r="U30" s="772">
        <f t="shared" si="13"/>
        <v>100</v>
      </c>
      <c r="V30" s="771" t="s">
        <v>21</v>
      </c>
      <c r="W30" s="772">
        <f t="shared" si="14"/>
        <v>100</v>
      </c>
      <c r="X30" s="1812"/>
      <c r="Y30" s="3442"/>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40"/>
      <c r="M31" s="1131"/>
      <c r="N31" s="1131"/>
      <c r="O31" s="1131"/>
      <c r="P31" s="3440"/>
      <c r="Q31" s="1809">
        <f t="shared" si="11"/>
        <v>111</v>
      </c>
      <c r="R31" s="771" t="s">
        <v>21</v>
      </c>
      <c r="S31" s="772">
        <f t="shared" si="12"/>
        <v>100</v>
      </c>
      <c r="T31" s="771" t="s">
        <v>21</v>
      </c>
      <c r="U31" s="772">
        <f t="shared" si="13"/>
        <v>100</v>
      </c>
      <c r="V31" s="771" t="s">
        <v>21</v>
      </c>
      <c r="W31" s="772">
        <f t="shared" si="14"/>
        <v>100</v>
      </c>
      <c r="X31" s="1812"/>
      <c r="Y31" s="3442"/>
      <c r="Z31" s="1813">
        <f t="shared" si="18"/>
        <v>111</v>
      </c>
      <c r="AA31" s="1810">
        <f t="shared" si="15"/>
        <v>1</v>
      </c>
      <c r="AB31" s="1810">
        <f t="shared" si="16"/>
        <v>1</v>
      </c>
      <c r="AC31" s="1810">
        <f t="shared" si="17"/>
        <v>1</v>
      </c>
    </row>
    <row r="32" spans="1:29" ht="15">
      <c r="A32" s="439" t="s">
        <v>2565</v>
      </c>
      <c r="B32" s="70" t="s">
        <v>2566</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0"/>
      <c r="M32" s="1131"/>
      <c r="N32" s="1131"/>
      <c r="O32" s="1131"/>
      <c r="P32" s="3443" t="s">
        <v>2567</v>
      </c>
      <c r="Q32" s="1809" t="str">
        <f t="shared" si="11"/>
        <v>建筑类型</v>
      </c>
      <c r="R32" s="771" t="s">
        <v>21</v>
      </c>
      <c r="S32" s="772">
        <f t="shared" si="12"/>
        <v>100</v>
      </c>
      <c r="T32" s="771" t="s">
        <v>21</v>
      </c>
      <c r="U32" s="772">
        <f t="shared" si="13"/>
        <v>100</v>
      </c>
      <c r="V32" s="771" t="s">
        <v>21</v>
      </c>
      <c r="W32" s="772">
        <f t="shared" si="14"/>
        <v>100</v>
      </c>
      <c r="X32" s="1812"/>
      <c r="Y32" s="3446" t="s">
        <v>2567</v>
      </c>
      <c r="Z32" s="1813" t="str">
        <f t="shared" si="18"/>
        <v>建筑类型</v>
      </c>
      <c r="AA32" s="1810">
        <f t="shared" si="15"/>
        <v>1</v>
      </c>
      <c r="AB32" s="1810">
        <f t="shared" si="16"/>
        <v>1</v>
      </c>
      <c r="AC32" s="1810">
        <f t="shared" si="17"/>
        <v>1</v>
      </c>
    </row>
    <row r="33" spans="1:29" s="470" customFormat="1" ht="15">
      <c r="A33" s="467"/>
      <c r="B33" s="421" t="s">
        <v>2568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8"/>
      <c r="M33" s="1141"/>
      <c r="N33" s="1141"/>
      <c r="O33" s="1141"/>
      <c r="P33" s="3444"/>
      <c r="Q33" s="773" t="str">
        <f t="shared" si="11"/>
        <v>项目建筑规模</v>
      </c>
      <c r="R33" s="774" t="s">
        <v>21</v>
      </c>
      <c r="S33" s="775" t="e">
        <f t="shared" si="12"/>
        <v>#N/A</v>
      </c>
      <c r="T33" s="774" t="s">
        <v>21</v>
      </c>
      <c r="U33" s="775" t="e">
        <f t="shared" si="13"/>
        <v>#N/A</v>
      </c>
      <c r="V33" s="774" t="s">
        <v>21</v>
      </c>
      <c r="W33" s="775" t="e">
        <f t="shared" si="14"/>
        <v>#N/A</v>
      </c>
      <c r="X33" s="776"/>
      <c r="Y33" s="3446"/>
      <c r="Z33" s="777" t="str">
        <f t="shared" si="18"/>
        <v>项目建筑规模</v>
      </c>
      <c r="AA33" s="1810" t="e">
        <f t="shared" si="15"/>
        <v>#N/A</v>
      </c>
      <c r="AB33" s="1810" t="e">
        <f t="shared" si="16"/>
        <v>#N/A</v>
      </c>
      <c r="AC33" s="1810" t="e">
        <f t="shared" si="17"/>
        <v>#N/A</v>
      </c>
    </row>
    <row r="34" spans="1:29" ht="15">
      <c r="A34" s="471"/>
      <c r="B34" s="421" t="s">
        <v>2569</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0"/>
      <c r="M34" s="1131"/>
      <c r="N34" s="1131"/>
      <c r="O34" s="1131"/>
      <c r="P34" s="3444"/>
      <c r="Q34" s="1809" t="str">
        <f t="shared" si="11"/>
        <v>建筑结构</v>
      </c>
      <c r="R34" s="771" t="s">
        <v>21</v>
      </c>
      <c r="S34" s="772">
        <f t="shared" si="12"/>
        <v>100</v>
      </c>
      <c r="T34" s="771" t="s">
        <v>21</v>
      </c>
      <c r="U34" s="772">
        <f t="shared" si="13"/>
        <v>100</v>
      </c>
      <c r="V34" s="771" t="s">
        <v>21</v>
      </c>
      <c r="W34" s="772">
        <f t="shared" si="14"/>
        <v>100</v>
      </c>
      <c r="X34" s="1812"/>
      <c r="Y34" s="3446"/>
      <c r="Z34" s="1813" t="str">
        <f t="shared" si="18"/>
        <v>建筑结构</v>
      </c>
      <c r="AA34" s="1810">
        <f t="shared" si="15"/>
        <v>1</v>
      </c>
      <c r="AB34" s="1810">
        <f t="shared" si="16"/>
        <v>1</v>
      </c>
      <c r="AC34" s="1810">
        <f t="shared" si="17"/>
        <v>1</v>
      </c>
    </row>
    <row r="35" spans="1:29" ht="15">
      <c r="A35" s="471"/>
      <c r="B35" s="421" t="s">
        <v>2570</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0"/>
      <c r="M35" s="1131"/>
      <c r="N35" s="1131"/>
      <c r="O35" s="1131"/>
      <c r="P35" s="3444"/>
      <c r="Q35" s="1809" t="str">
        <f t="shared" si="11"/>
        <v>建筑品质</v>
      </c>
      <c r="R35" s="771" t="s">
        <v>21</v>
      </c>
      <c r="S35" s="772">
        <f t="shared" si="12"/>
        <v>100</v>
      </c>
      <c r="T35" s="771" t="s">
        <v>21</v>
      </c>
      <c r="U35" s="772">
        <f t="shared" si="13"/>
        <v>100</v>
      </c>
      <c r="V35" s="771" t="s">
        <v>21</v>
      </c>
      <c r="W35" s="772">
        <f t="shared" si="14"/>
        <v>100</v>
      </c>
      <c r="X35" s="1812"/>
      <c r="Y35" s="3446"/>
      <c r="Z35" s="1813" t="str">
        <f t="shared" si="18"/>
        <v>建筑品质</v>
      </c>
      <c r="AA35" s="1810">
        <f t="shared" si="15"/>
        <v>1</v>
      </c>
      <c r="AB35" s="1810">
        <f t="shared" si="16"/>
        <v>1</v>
      </c>
      <c r="AC35" s="1810">
        <f t="shared" si="17"/>
        <v>1</v>
      </c>
    </row>
    <row r="36" spans="1:29" ht="15">
      <c r="A36" s="471"/>
      <c r="B36" s="421" t="s">
        <v>2571</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0"/>
      <c r="M36" s="1131"/>
      <c r="N36" s="1131"/>
      <c r="O36" s="1131"/>
      <c r="P36" s="3444"/>
      <c r="Q36" s="1809" t="str">
        <f t="shared" si="11"/>
        <v>公共部分装修</v>
      </c>
      <c r="R36" s="771" t="s">
        <v>21</v>
      </c>
      <c r="S36" s="772">
        <f t="shared" si="12"/>
        <v>100</v>
      </c>
      <c r="T36" s="771" t="s">
        <v>21</v>
      </c>
      <c r="U36" s="772">
        <f t="shared" si="13"/>
        <v>100</v>
      </c>
      <c r="V36" s="771" t="s">
        <v>21</v>
      </c>
      <c r="W36" s="772">
        <f t="shared" si="14"/>
        <v>100</v>
      </c>
      <c r="X36" s="1812"/>
      <c r="Y36" s="3446"/>
      <c r="Z36" s="1813" t="str">
        <f t="shared" si="18"/>
        <v>公共部分装修</v>
      </c>
      <c r="AA36" s="1810">
        <f t="shared" si="15"/>
        <v>1</v>
      </c>
      <c r="AB36" s="1810">
        <f t="shared" si="16"/>
        <v>1</v>
      </c>
      <c r="AC36" s="1810">
        <f t="shared" si="17"/>
        <v>1</v>
      </c>
    </row>
    <row r="37" spans="1:29" s="116" customFormat="1" ht="15">
      <c r="A37" s="472"/>
      <c r="B37" s="421" t="s">
        <v>2572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444"/>
      <c r="Q37" s="1794" t="str">
        <f t="shared" si="11"/>
        <v>成新度</v>
      </c>
      <c r="R37" s="767" t="s">
        <v>21</v>
      </c>
      <c r="S37" s="768" t="e">
        <f t="shared" si="12"/>
        <v>#N/A</v>
      </c>
      <c r="T37" s="767" t="s">
        <v>21</v>
      </c>
      <c r="U37" s="768" t="e">
        <f t="shared" si="13"/>
        <v>#N/A</v>
      </c>
      <c r="V37" s="767" t="s">
        <v>21</v>
      </c>
      <c r="W37" s="768" t="e">
        <f t="shared" si="14"/>
        <v>#N/A</v>
      </c>
      <c r="X37" s="769"/>
      <c r="Y37" s="3446"/>
      <c r="Z37" s="54" t="str">
        <f t="shared" si="18"/>
        <v>成新度</v>
      </c>
      <c r="AA37" s="770" t="e">
        <f t="shared" si="15"/>
        <v>#N/A</v>
      </c>
      <c r="AB37" s="770" t="e">
        <f t="shared" si="16"/>
        <v>#N/A</v>
      </c>
      <c r="AC37" s="770" t="e">
        <f t="shared" si="17"/>
        <v>#N/A</v>
      </c>
    </row>
    <row r="38" spans="1:29" ht="15">
      <c r="A38" s="471"/>
      <c r="B38" s="421" t="s">
        <v>2573</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0"/>
      <c r="M38" s="1131"/>
      <c r="N38" s="1131"/>
      <c r="O38" s="1131"/>
      <c r="P38" s="3444" t="s">
        <v>2567</v>
      </c>
      <c r="Q38" s="1809" t="str">
        <f t="shared" si="11"/>
        <v>物业管理</v>
      </c>
      <c r="R38" s="771" t="s">
        <v>21</v>
      </c>
      <c r="S38" s="772">
        <f t="shared" si="12"/>
        <v>100</v>
      </c>
      <c r="T38" s="771" t="s">
        <v>21</v>
      </c>
      <c r="U38" s="772">
        <f t="shared" si="13"/>
        <v>100</v>
      </c>
      <c r="V38" s="771" t="s">
        <v>21</v>
      </c>
      <c r="W38" s="772">
        <f t="shared" si="14"/>
        <v>100</v>
      </c>
      <c r="X38" s="1812"/>
      <c r="Y38" s="3446" t="s">
        <v>2567</v>
      </c>
      <c r="Z38" s="1813" t="str">
        <f t="shared" si="18"/>
        <v>物业管理</v>
      </c>
      <c r="AA38" s="1810">
        <f t="shared" si="15"/>
        <v>1</v>
      </c>
      <c r="AB38" s="1810">
        <f t="shared" si="16"/>
        <v>1</v>
      </c>
      <c r="AC38" s="1810">
        <f t="shared" si="17"/>
        <v>1</v>
      </c>
    </row>
    <row r="39" spans="1:29" ht="15">
      <c r="A39" s="471"/>
      <c r="B39" s="421" t="s">
        <v>2574</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0"/>
      <c r="M39" s="1131"/>
      <c r="N39" s="1131"/>
      <c r="O39" s="1131"/>
      <c r="P39" s="3444"/>
      <c r="Q39" s="1809" t="str">
        <f t="shared" si="11"/>
        <v>市政基础设施</v>
      </c>
      <c r="R39" s="771" t="s">
        <v>21</v>
      </c>
      <c r="S39" s="772">
        <f t="shared" si="12"/>
        <v>100</v>
      </c>
      <c r="T39" s="771" t="s">
        <v>21</v>
      </c>
      <c r="U39" s="772">
        <f t="shared" si="13"/>
        <v>100</v>
      </c>
      <c r="V39" s="771" t="s">
        <v>21</v>
      </c>
      <c r="W39" s="772">
        <f t="shared" si="14"/>
        <v>100</v>
      </c>
      <c r="X39" s="1812"/>
      <c r="Y39" s="3446"/>
      <c r="Z39" s="1813" t="str">
        <f t="shared" si="18"/>
        <v>市政基础设施</v>
      </c>
      <c r="AA39" s="1810">
        <f t="shared" si="15"/>
        <v>1</v>
      </c>
      <c r="AB39" s="1810">
        <f t="shared" si="16"/>
        <v>1</v>
      </c>
      <c r="AC39" s="1810">
        <f t="shared" si="17"/>
        <v>1</v>
      </c>
    </row>
    <row r="40" spans="1:29" ht="15">
      <c r="A40" s="471"/>
      <c r="B40" s="421" t="s">
        <v>2575</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0"/>
      <c r="M40" s="1131"/>
      <c r="N40" s="1131"/>
      <c r="O40" s="1131"/>
      <c r="P40" s="3444"/>
      <c r="Q40" s="1809" t="str">
        <f t="shared" si="11"/>
        <v>房型</v>
      </c>
      <c r="R40" s="771" t="s">
        <v>21</v>
      </c>
      <c r="S40" s="772">
        <f t="shared" si="12"/>
        <v>100</v>
      </c>
      <c r="T40" s="771" t="s">
        <v>21</v>
      </c>
      <c r="U40" s="772">
        <f t="shared" si="13"/>
        <v>100</v>
      </c>
      <c r="V40" s="771" t="s">
        <v>21</v>
      </c>
      <c r="W40" s="772">
        <f t="shared" si="14"/>
        <v>100</v>
      </c>
      <c r="X40" s="1812"/>
      <c r="Y40" s="3446"/>
      <c r="Z40" s="1813" t="str">
        <f t="shared" si="18"/>
        <v>房型</v>
      </c>
      <c r="AA40" s="1810">
        <f t="shared" si="15"/>
        <v>1</v>
      </c>
      <c r="AB40" s="1810">
        <f t="shared" si="16"/>
        <v>1</v>
      </c>
      <c r="AC40" s="1810">
        <f t="shared" si="17"/>
        <v>1</v>
      </c>
    </row>
    <row r="41" spans="1:29" s="470" customFormat="1" ht="28.5">
      <c r="A41" s="467"/>
      <c r="B41" s="421" t="s">
        <v>2576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8"/>
      <c r="M41" s="1141"/>
      <c r="N41" s="1141"/>
      <c r="O41" s="1141"/>
      <c r="P41" s="3444"/>
      <c r="Q41" s="773" t="str">
        <f t="shared" si="11"/>
        <v>单套/主力户型建筑面积</v>
      </c>
      <c r="R41" s="774" t="s">
        <v>21</v>
      </c>
      <c r="S41" s="775">
        <f t="shared" si="12"/>
        <v>100</v>
      </c>
      <c r="T41" s="774" t="s">
        <v>21</v>
      </c>
      <c r="U41" s="775">
        <f t="shared" si="13"/>
        <v>100</v>
      </c>
      <c r="V41" s="774" t="s">
        <v>21</v>
      </c>
      <c r="W41" s="775">
        <f t="shared" si="14"/>
        <v>100</v>
      </c>
      <c r="X41" s="776"/>
      <c r="Y41" s="3446"/>
      <c r="Z41" s="777" t="str">
        <f t="shared" si="18"/>
        <v>单套/主力户型建筑面积</v>
      </c>
      <c r="AA41" s="1810">
        <f t="shared" si="15"/>
        <v>1</v>
      </c>
      <c r="AB41" s="1810">
        <f t="shared" si="16"/>
        <v>1</v>
      </c>
      <c r="AC41" s="1810">
        <f t="shared" si="17"/>
        <v>1</v>
      </c>
    </row>
    <row r="42" spans="1:29" ht="15">
      <c r="A42" s="471"/>
      <c r="B42" s="421" t="s">
        <v>2577</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0"/>
      <c r="M42" s="1131"/>
      <c r="N42" s="1131"/>
      <c r="O42" s="1131"/>
      <c r="P42" s="3444"/>
      <c r="Q42" s="1809" t="str">
        <f t="shared" si="11"/>
        <v>内部装修</v>
      </c>
      <c r="R42" s="771" t="s">
        <v>21</v>
      </c>
      <c r="S42" s="772">
        <f t="shared" si="12"/>
        <v>100</v>
      </c>
      <c r="T42" s="771" t="s">
        <v>21</v>
      </c>
      <c r="U42" s="772">
        <f t="shared" si="13"/>
        <v>100</v>
      </c>
      <c r="V42" s="771" t="s">
        <v>21</v>
      </c>
      <c r="W42" s="772">
        <f t="shared" si="14"/>
        <v>100</v>
      </c>
      <c r="X42" s="1812"/>
      <c r="Y42" s="3446"/>
      <c r="Z42" s="1813" t="str">
        <f t="shared" si="18"/>
        <v>内部装修</v>
      </c>
      <c r="AA42" s="1810">
        <f t="shared" si="15"/>
        <v>1</v>
      </c>
      <c r="AB42" s="1810">
        <f t="shared" si="16"/>
        <v>1</v>
      </c>
      <c r="AC42" s="1810">
        <f t="shared" si="17"/>
        <v>1</v>
      </c>
    </row>
    <row r="43" spans="1:29" ht="15">
      <c r="A43" s="471"/>
      <c r="B43" s="421" t="s">
        <v>2578</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0"/>
      <c r="M43" s="1131"/>
      <c r="N43" s="1131"/>
      <c r="O43" s="1131"/>
      <c r="P43" s="3444"/>
      <c r="Q43" s="1809" t="str">
        <f t="shared" si="11"/>
        <v>内部装修维护情况</v>
      </c>
      <c r="R43" s="771" t="s">
        <v>21</v>
      </c>
      <c r="S43" s="772">
        <f t="shared" si="12"/>
        <v>100</v>
      </c>
      <c r="T43" s="771" t="s">
        <v>21</v>
      </c>
      <c r="U43" s="772">
        <f t="shared" si="13"/>
        <v>100</v>
      </c>
      <c r="V43" s="771" t="s">
        <v>21</v>
      </c>
      <c r="W43" s="772">
        <f t="shared" si="14"/>
        <v>100</v>
      </c>
      <c r="X43" s="1812"/>
      <c r="Y43" s="3446"/>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2"/>
      <c r="M44" s="1133"/>
      <c r="N44" s="1133"/>
      <c r="O44" s="1133"/>
      <c r="P44" s="3444"/>
      <c r="Q44" s="1794">
        <f t="shared" si="11"/>
        <v>111</v>
      </c>
      <c r="R44" s="767" t="s">
        <v>21</v>
      </c>
      <c r="S44" s="768">
        <f t="shared" si="12"/>
        <v>100</v>
      </c>
      <c r="T44" s="767" t="s">
        <v>21</v>
      </c>
      <c r="U44" s="768">
        <f t="shared" si="13"/>
        <v>100</v>
      </c>
      <c r="V44" s="767" t="s">
        <v>21</v>
      </c>
      <c r="W44" s="768">
        <f t="shared" si="14"/>
        <v>100</v>
      </c>
      <c r="X44" s="769"/>
      <c r="Y44" s="3446"/>
      <c r="Z44" s="54">
        <f t="shared" si="18"/>
        <v>111</v>
      </c>
      <c r="AA44" s="770">
        <f t="shared" si="15"/>
        <v>1</v>
      </c>
      <c r="AB44" s="770">
        <f t="shared" si="16"/>
        <v>1</v>
      </c>
      <c r="AC44" s="770">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0"/>
      <c r="M45" s="1131"/>
      <c r="N45" s="1131"/>
      <c r="O45" s="1131"/>
      <c r="P45" s="3444"/>
      <c r="Q45" s="1809">
        <f t="shared" si="11"/>
        <v>111</v>
      </c>
      <c r="R45" s="771" t="s">
        <v>21</v>
      </c>
      <c r="S45" s="772">
        <f t="shared" si="12"/>
        <v>100</v>
      </c>
      <c r="T45" s="771" t="s">
        <v>21</v>
      </c>
      <c r="U45" s="772">
        <f t="shared" si="13"/>
        <v>100</v>
      </c>
      <c r="V45" s="771" t="s">
        <v>21</v>
      </c>
      <c r="W45" s="772">
        <f t="shared" si="14"/>
        <v>100</v>
      </c>
      <c r="X45" s="1812"/>
      <c r="Y45" s="3446"/>
      <c r="Z45" s="1813">
        <f t="shared" si="18"/>
        <v>111</v>
      </c>
      <c r="AA45" s="1810">
        <f t="shared" si="15"/>
        <v>1</v>
      </c>
      <c r="AB45" s="1810">
        <f t="shared" si="16"/>
        <v>1</v>
      </c>
      <c r="AC45" s="1810">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0"/>
      <c r="M46" s="1131"/>
      <c r="N46" s="1131"/>
      <c r="O46" s="1131"/>
      <c r="P46" s="3445"/>
      <c r="Q46" s="1809">
        <f t="shared" si="11"/>
        <v>111</v>
      </c>
      <c r="R46" s="771" t="s">
        <v>20</v>
      </c>
      <c r="S46" s="772">
        <f t="shared" si="12"/>
        <v>100</v>
      </c>
      <c r="T46" s="771" t="s">
        <v>20</v>
      </c>
      <c r="U46" s="772">
        <f t="shared" si="13"/>
        <v>100</v>
      </c>
      <c r="V46" s="771" t="s">
        <v>20</v>
      </c>
      <c r="W46" s="772">
        <f t="shared" si="14"/>
        <v>100</v>
      </c>
      <c r="X46" s="1812"/>
      <c r="Y46" s="3447"/>
      <c r="Z46" s="1813">
        <f t="shared" si="18"/>
        <v>111</v>
      </c>
      <c r="AA46" s="1810">
        <f t="shared" si="15"/>
        <v>1</v>
      </c>
      <c r="AB46" s="1810">
        <f t="shared" si="16"/>
        <v>1</v>
      </c>
      <c r="AC46" s="1810">
        <f t="shared" si="17"/>
        <v>1</v>
      </c>
    </row>
    <row r="47" spans="1:29" ht="15">
      <c r="A47" s="478" t="s">
        <v>2579</v>
      </c>
      <c r="B47" s="479"/>
      <c r="C47" s="1406" t="s">
        <v>19</v>
      </c>
      <c r="D47" s="1407"/>
      <c r="E47" s="1408"/>
      <c r="F47" s="1409"/>
      <c r="G47" s="1410"/>
      <c r="H47" s="1411"/>
      <c r="I47" s="1408"/>
      <c r="J47" s="1411"/>
      <c r="K47" s="2619"/>
      <c r="L47" s="1143"/>
      <c r="M47" s="1144"/>
      <c r="N47" s="1131"/>
      <c r="O47" s="1144"/>
      <c r="P47" s="3434" t="str">
        <f>A47</f>
        <v>成交单价（元/平方米）</v>
      </c>
      <c r="Q47" s="3434"/>
      <c r="R47" s="3435">
        <f>E47</f>
        <v>0</v>
      </c>
      <c r="S47" s="3435"/>
      <c r="T47" s="3435">
        <f>G47</f>
        <v>0</v>
      </c>
      <c r="U47" s="3435"/>
      <c r="V47" s="3435">
        <f>I47</f>
        <v>0</v>
      </c>
      <c r="W47" s="3435"/>
      <c r="X47" s="756"/>
      <c r="Y47" s="778"/>
      <c r="Z47" s="756"/>
      <c r="AA47" s="756"/>
      <c r="AB47" s="756"/>
      <c r="AC47" s="756"/>
    </row>
    <row r="48" spans="1:29" ht="15.75" thickBot="1">
      <c r="A48" s="485" t="s">
        <v>2580</v>
      </c>
      <c r="B48" s="486"/>
      <c r="C48" s="1412" t="e">
        <f>R49</f>
        <v>#DIV/0!</v>
      </c>
      <c r="D48" s="1413"/>
      <c r="E48" s="1414" t="e">
        <f>R48</f>
        <v>#DIV/0!</v>
      </c>
      <c r="F48" s="1414"/>
      <c r="G48" s="1412" t="e">
        <f>T48</f>
        <v>#DIV/0!</v>
      </c>
      <c r="H48" s="1413"/>
      <c r="I48" s="1414" t="e">
        <f>V48</f>
        <v>#DIV/0!</v>
      </c>
      <c r="J48" s="1413"/>
      <c r="K48" s="2620"/>
      <c r="L48" s="1143"/>
      <c r="M48" s="1144"/>
      <c r="N48" s="1144"/>
      <c r="O48" s="114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756"/>
      <c r="Y48" s="756"/>
      <c r="Z48" s="756"/>
      <c r="AA48" s="756"/>
      <c r="AB48" s="756"/>
      <c r="AC48" s="756"/>
    </row>
    <row r="49" spans="1:29" ht="15.75" thickBot="1">
      <c r="A49" s="491" t="s">
        <v>2581</v>
      </c>
      <c r="B49" s="492"/>
      <c r="C49" s="1415" t="e">
        <f>R49</f>
        <v>#DIV/0!</v>
      </c>
      <c r="D49" s="1416"/>
      <c r="E49" s="1416"/>
      <c r="F49" s="1416"/>
      <c r="G49" s="1416"/>
      <c r="H49" s="1416"/>
      <c r="I49" s="1416"/>
      <c r="J49" s="1416"/>
      <c r="K49" s="2621"/>
      <c r="L49" s="1143"/>
      <c r="M49" s="1144"/>
      <c r="N49" s="1144"/>
      <c r="O49" s="1144"/>
      <c r="P49" s="3495" t="str">
        <f>A49</f>
        <v>估价对象XX用房的比较价值（楼面单价，元/平方米）</v>
      </c>
      <c r="Q49" s="3496"/>
      <c r="R49" s="3497" t="e">
        <f>IF(F1="售价",ROUND(AVERAGE(R48:V48),0),ROUND(AVERAGE(R48:V48),1))</f>
        <v>#DIV/0!</v>
      </c>
      <c r="S49" s="3497"/>
      <c r="T49" s="3497"/>
      <c r="U49" s="3497"/>
      <c r="V49" s="3497"/>
      <c r="W49" s="3497"/>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3"/>
    </row>
    <row r="55" spans="1:29" s="501"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0" t="s">
        <v>2585</v>
      </c>
      <c r="B57" s="756"/>
      <c r="C57" s="761"/>
      <c r="D57" s="761"/>
      <c r="E57" s="761"/>
      <c r="F57" s="762"/>
      <c r="G57" s="762"/>
      <c r="H57" s="761"/>
      <c r="I57" s="761"/>
      <c r="J57" s="761"/>
      <c r="K57" s="1160"/>
      <c r="L57" s="1161"/>
      <c r="M57" s="1159"/>
      <c r="N57" s="1159"/>
      <c r="O57" s="1159"/>
      <c r="P57" s="2624"/>
      <c r="Q57" s="503"/>
    </row>
    <row r="58" spans="1:29" s="507" customFormat="1" ht="15">
      <c r="A58" s="504" t="s">
        <v>2586</v>
      </c>
      <c r="B58" s="505"/>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6" customFormat="1" ht="15">
      <c r="A59" s="508"/>
      <c r="B59" s="2625"/>
      <c r="C59" s="1572">
        <v>100</v>
      </c>
      <c r="D59" s="510"/>
      <c r="E59" s="511"/>
      <c r="F59" s="511"/>
      <c r="G59" s="511"/>
      <c r="H59" s="511"/>
      <c r="I59" s="511"/>
      <c r="J59" s="511"/>
      <c r="K59" s="511"/>
      <c r="L59" s="511"/>
      <c r="M59" s="512"/>
      <c r="N59" s="511"/>
      <c r="O59" s="512"/>
      <c r="P59" s="2626"/>
    </row>
    <row r="60" spans="1:29" s="116" customFormat="1" ht="15.75" thickBot="1">
      <c r="A60" s="514" t="s">
        <v>2587</v>
      </c>
      <c r="B60" s="515"/>
      <c r="C60" s="516"/>
      <c r="D60" s="517"/>
      <c r="E60" s="517"/>
      <c r="F60" s="517"/>
      <c r="G60" s="517"/>
      <c r="H60" s="517"/>
      <c r="I60" s="517"/>
      <c r="J60" s="517"/>
      <c r="K60" s="517"/>
      <c r="L60" s="517"/>
      <c r="M60" s="518"/>
      <c r="N60" s="517"/>
      <c r="O60" s="518"/>
      <c r="P60" s="2626"/>
      <c r="Q60" s="503"/>
    </row>
    <row r="61" spans="1:29" s="116" customFormat="1" ht="15">
      <c r="A61" s="520" t="s">
        <v>2588</v>
      </c>
      <c r="B61" s="509"/>
      <c r="C61" s="521" t="s">
        <v>2589</v>
      </c>
      <c r="D61" s="522"/>
      <c r="E61" s="522"/>
      <c r="F61" s="522"/>
      <c r="G61" s="522"/>
      <c r="H61" s="522"/>
      <c r="I61" s="522"/>
      <c r="J61" s="522"/>
      <c r="K61" s="522"/>
      <c r="L61" s="523"/>
      <c r="M61" s="524"/>
      <c r="N61" s="1151"/>
      <c r="O61" s="1151"/>
      <c r="P61" s="2627"/>
      <c r="Q61" s="503"/>
    </row>
    <row r="62" spans="1:29" s="116" customFormat="1" ht="15.75" thickBot="1">
      <c r="A62" s="520"/>
      <c r="B62" s="509"/>
      <c r="C62" s="510">
        <v>100</v>
      </c>
      <c r="D62" s="511"/>
      <c r="E62" s="511"/>
      <c r="F62" s="511"/>
      <c r="G62" s="511"/>
      <c r="H62" s="511"/>
      <c r="I62" s="511"/>
      <c r="J62" s="511"/>
      <c r="K62" s="511"/>
      <c r="L62" s="511"/>
      <c r="M62" s="513"/>
      <c r="N62" s="1151"/>
      <c r="O62" s="1151"/>
      <c r="P62" s="2626"/>
      <c r="Q62" s="503"/>
    </row>
    <row r="63" spans="1:29">
      <c r="A63" s="526" t="s">
        <v>2590</v>
      </c>
      <c r="B63" s="527" t="s">
        <v>2556</v>
      </c>
      <c r="C63" s="528">
        <f>C9</f>
        <v>0</v>
      </c>
      <c r="D63" s="529"/>
      <c r="E63" s="529"/>
      <c r="F63" s="529"/>
      <c r="G63" s="529"/>
      <c r="H63" s="529"/>
      <c r="I63" s="529"/>
      <c r="J63" s="529"/>
      <c r="K63" s="530"/>
      <c r="L63" s="531"/>
      <c r="M63" s="532"/>
      <c r="N63" s="1152"/>
      <c r="O63" s="1152"/>
      <c r="P63" s="2628"/>
      <c r="Q63" s="503"/>
    </row>
    <row r="64" spans="1:29" ht="15.75" thickBot="1">
      <c r="A64" s="533"/>
      <c r="B64" s="534"/>
      <c r="C64" s="535">
        <v>100</v>
      </c>
      <c r="D64" s="535"/>
      <c r="E64" s="535"/>
      <c r="F64" s="535"/>
      <c r="G64" s="535"/>
      <c r="H64" s="535"/>
      <c r="I64" s="535"/>
      <c r="J64" s="535"/>
      <c r="K64" s="535"/>
      <c r="L64" s="535"/>
      <c r="M64" s="536"/>
      <c r="N64" s="1153"/>
      <c r="O64" s="1153"/>
      <c r="P64" s="2628"/>
      <c r="Q64" s="503"/>
    </row>
    <row r="65" spans="1:17" ht="27.75" thickTop="1">
      <c r="A65" s="533"/>
      <c r="B65" s="537" t="s">
        <v>2559</v>
      </c>
      <c r="C65" s="538" t="s">
        <v>2591</v>
      </c>
      <c r="D65" s="538" t="s">
        <v>2592</v>
      </c>
      <c r="E65" s="538" t="s">
        <v>2593</v>
      </c>
      <c r="F65" s="538" t="s">
        <v>2594</v>
      </c>
      <c r="G65" s="538" t="s">
        <v>2595</v>
      </c>
      <c r="H65" s="538" t="s">
        <v>2596</v>
      </c>
      <c r="I65" s="538" t="s">
        <v>2597</v>
      </c>
      <c r="J65" s="538"/>
      <c r="K65" s="539"/>
      <c r="L65" s="540"/>
      <c r="M65" s="541"/>
      <c r="N65" s="1152"/>
      <c r="O65" s="1152"/>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8"/>
      <c r="Q66" s="503"/>
    </row>
    <row r="67" spans="1:17" ht="15.75" thickTop="1">
      <c r="A67" s="533"/>
      <c r="B67" s="545" t="s">
        <v>2560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8"/>
      <c r="Q67" s="503"/>
    </row>
    <row r="68" spans="1:17" ht="15">
      <c r="A68" s="533"/>
      <c r="B68" s="547"/>
      <c r="C68" s="548"/>
      <c r="D68" s="548"/>
      <c r="E68" s="548"/>
      <c r="F68" s="548"/>
      <c r="G68" s="548"/>
      <c r="H68" s="548"/>
      <c r="I68" s="548"/>
      <c r="J68" s="548"/>
      <c r="K68" s="549"/>
      <c r="L68" s="550"/>
      <c r="M68" s="551"/>
      <c r="N68" s="1152"/>
      <c r="O68" s="1152"/>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8"/>
      <c r="Q69" s="503"/>
    </row>
    <row r="70" spans="1:17" s="470" customFormat="1" ht="15.75" thickTop="1">
      <c r="A70" s="552"/>
      <c r="B70" s="537">
        <f>B12</f>
        <v>111</v>
      </c>
      <c r="C70" s="553"/>
      <c r="D70" s="553"/>
      <c r="E70" s="553"/>
      <c r="F70" s="553"/>
      <c r="G70" s="553"/>
      <c r="H70" s="554"/>
      <c r="I70" s="554"/>
      <c r="J70" s="554"/>
      <c r="K70" s="554"/>
      <c r="L70" s="555"/>
      <c r="M70" s="556"/>
      <c r="N70" s="1154"/>
      <c r="O70" s="1154"/>
      <c r="P70" s="2629"/>
      <c r="Q70" s="558"/>
    </row>
    <row r="71" spans="1:17" s="470" customFormat="1" ht="15.75" thickBot="1">
      <c r="A71" s="552"/>
      <c r="B71" s="542"/>
      <c r="C71" s="559"/>
      <c r="D71" s="535"/>
      <c r="E71" s="535"/>
      <c r="F71" s="535"/>
      <c r="G71" s="535"/>
      <c r="H71" s="535"/>
      <c r="I71" s="535"/>
      <c r="J71" s="535"/>
      <c r="K71" s="535"/>
      <c r="L71" s="535"/>
      <c r="M71" s="536"/>
      <c r="N71" s="1153"/>
      <c r="O71" s="1153"/>
      <c r="P71" s="2629"/>
      <c r="Q71" s="558"/>
    </row>
    <row r="72" spans="1:17" s="470" customFormat="1" ht="15.75" thickTop="1">
      <c r="A72" s="552"/>
      <c r="B72" s="537">
        <f>B13</f>
        <v>111</v>
      </c>
      <c r="C72" s="553"/>
      <c r="D72" s="553"/>
      <c r="E72" s="553"/>
      <c r="F72" s="553"/>
      <c r="G72" s="553"/>
      <c r="H72" s="554"/>
      <c r="I72" s="554"/>
      <c r="J72" s="554"/>
      <c r="K72" s="554"/>
      <c r="L72" s="555"/>
      <c r="M72" s="556"/>
      <c r="N72" s="1154"/>
      <c r="O72" s="1154"/>
      <c r="P72" s="2630"/>
      <c r="Q72" s="560"/>
    </row>
    <row r="73" spans="1:17" s="470" customFormat="1" ht="15.75" thickBot="1">
      <c r="A73" s="552"/>
      <c r="B73" s="542"/>
      <c r="C73" s="559"/>
      <c r="D73" s="559"/>
      <c r="E73" s="559"/>
      <c r="F73" s="559"/>
      <c r="G73" s="559"/>
      <c r="H73" s="561"/>
      <c r="I73" s="561"/>
      <c r="J73" s="561"/>
      <c r="K73" s="561"/>
      <c r="L73" s="561"/>
      <c r="M73" s="562"/>
      <c r="N73" s="1154"/>
      <c r="O73" s="1154"/>
      <c r="P73" s="2629"/>
      <c r="Q73" s="558"/>
    </row>
    <row r="74" spans="1:17" s="470" customFormat="1" ht="15.75" thickTop="1">
      <c r="A74" s="552"/>
      <c r="B74" s="545">
        <f>B14</f>
        <v>111</v>
      </c>
      <c r="C74" s="553"/>
      <c r="D74" s="553"/>
      <c r="E74" s="553"/>
      <c r="F74" s="553"/>
      <c r="G74" s="522"/>
      <c r="H74" s="563"/>
      <c r="I74" s="563"/>
      <c r="J74" s="563"/>
      <c r="K74" s="563"/>
      <c r="L74" s="564"/>
      <c r="M74" s="565"/>
      <c r="N74" s="1154"/>
      <c r="O74" s="1154"/>
      <c r="P74" s="2631"/>
      <c r="Q74" s="558"/>
    </row>
    <row r="75" spans="1:17" s="470" customFormat="1" ht="15.75" thickBot="1">
      <c r="A75" s="567"/>
      <c r="B75" s="568"/>
      <c r="C75" s="569"/>
      <c r="D75" s="569"/>
      <c r="E75" s="569"/>
      <c r="F75" s="569"/>
      <c r="G75" s="569"/>
      <c r="H75" s="570"/>
      <c r="I75" s="570"/>
      <c r="J75" s="570"/>
      <c r="K75" s="570"/>
      <c r="L75" s="570"/>
      <c r="M75" s="571"/>
      <c r="N75" s="1154"/>
      <c r="O75" s="1154"/>
      <c r="P75" s="2629"/>
      <c r="Q75" s="558"/>
    </row>
    <row r="76" spans="1:17">
      <c r="A76" s="526" t="s">
        <v>2561</v>
      </c>
      <c r="B76" s="527" t="s">
        <v>2598</v>
      </c>
      <c r="C76" s="572" t="s">
        <v>2599</v>
      </c>
      <c r="D76" s="572" t="s">
        <v>2600</v>
      </c>
      <c r="E76" s="572" t="s">
        <v>2601</v>
      </c>
      <c r="F76" s="572" t="s">
        <v>2602</v>
      </c>
      <c r="G76" s="572" t="s">
        <v>2603</v>
      </c>
      <c r="H76" s="528"/>
      <c r="I76" s="528"/>
      <c r="J76" s="528"/>
      <c r="K76" s="573"/>
      <c r="L76" s="574"/>
      <c r="M76" s="575"/>
      <c r="N76" s="1152"/>
      <c r="O76" s="1152"/>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8"/>
      <c r="Q77" s="503"/>
    </row>
    <row r="78" spans="1:17" ht="15.75" thickTop="1">
      <c r="A78" s="533"/>
      <c r="B78" s="537" t="s">
        <v>2604</v>
      </c>
      <c r="C78" s="577" t="s">
        <v>2599</v>
      </c>
      <c r="D78" s="577" t="s">
        <v>2600</v>
      </c>
      <c r="E78" s="577" t="s">
        <v>2601</v>
      </c>
      <c r="F78" s="577" t="s">
        <v>2602</v>
      </c>
      <c r="G78" s="577" t="s">
        <v>2603</v>
      </c>
      <c r="H78" s="538"/>
      <c r="I78" s="538"/>
      <c r="J78" s="538"/>
      <c r="K78" s="539"/>
      <c r="L78" s="540"/>
      <c r="M78" s="541"/>
      <c r="N78" s="1152"/>
      <c r="O78" s="1152"/>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8"/>
      <c r="Q79" s="503"/>
    </row>
    <row r="80" spans="1:17" ht="15.75" thickTop="1">
      <c r="A80" s="533"/>
      <c r="B80" s="537" t="s">
        <v>2605</v>
      </c>
      <c r="C80" s="577" t="s">
        <v>2599</v>
      </c>
      <c r="D80" s="577" t="s">
        <v>2600</v>
      </c>
      <c r="E80" s="577" t="s">
        <v>2601</v>
      </c>
      <c r="F80" s="577" t="s">
        <v>2602</v>
      </c>
      <c r="G80" s="577" t="s">
        <v>2603</v>
      </c>
      <c r="H80" s="538"/>
      <c r="I80" s="538"/>
      <c r="J80" s="538"/>
      <c r="K80" s="539"/>
      <c r="L80" s="540"/>
      <c r="M80" s="541"/>
      <c r="N80" s="1152"/>
      <c r="O80" s="1152"/>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8"/>
      <c r="Q81" s="503"/>
    </row>
    <row r="82" spans="1:17" ht="15.75" thickTop="1">
      <c r="A82" s="533"/>
      <c r="B82" s="545" t="s">
        <v>2098</v>
      </c>
      <c r="C82" s="538" t="s">
        <v>2606</v>
      </c>
      <c r="D82" s="538" t="s">
        <v>2607</v>
      </c>
      <c r="E82" s="538" t="s">
        <v>2608</v>
      </c>
      <c r="F82" s="538" t="s">
        <v>2609</v>
      </c>
      <c r="G82" s="538" t="s">
        <v>2610</v>
      </c>
      <c r="H82" s="538"/>
      <c r="I82" s="538"/>
      <c r="J82" s="538"/>
      <c r="K82" s="538"/>
      <c r="L82" s="538"/>
      <c r="M82" s="1381"/>
      <c r="N82" s="1153"/>
      <c r="O82" s="1153"/>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8"/>
      <c r="Q83" s="503"/>
    </row>
    <row r="84" spans="1:17" ht="15.75" thickTop="1">
      <c r="A84" s="533"/>
      <c r="B84" s="537" t="s">
        <v>2611</v>
      </c>
      <c r="C84" s="577" t="s">
        <v>2599</v>
      </c>
      <c r="D84" s="577" t="s">
        <v>2600</v>
      </c>
      <c r="E84" s="577" t="s">
        <v>2601</v>
      </c>
      <c r="F84" s="577" t="s">
        <v>2602</v>
      </c>
      <c r="G84" s="577" t="s">
        <v>2603</v>
      </c>
      <c r="H84" s="538"/>
      <c r="I84" s="538"/>
      <c r="J84" s="538"/>
      <c r="K84" s="539"/>
      <c r="L84" s="540"/>
      <c r="M84" s="541"/>
      <c r="N84" s="1152"/>
      <c r="O84" s="1152"/>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8"/>
      <c r="Q85" s="503"/>
    </row>
    <row r="86" spans="1:17" s="116" customFormat="1" ht="15.75" thickTop="1">
      <c r="A86" s="578"/>
      <c r="B86" s="537" t="s">
        <v>2612</v>
      </c>
      <c r="C86" s="553"/>
      <c r="D86" s="553"/>
      <c r="E86" s="553"/>
      <c r="F86" s="553"/>
      <c r="G86" s="553"/>
      <c r="H86" s="553"/>
      <c r="I86" s="553"/>
      <c r="J86" s="553"/>
      <c r="K86" s="553"/>
      <c r="L86" s="579"/>
      <c r="M86" s="580"/>
      <c r="N86" s="1151"/>
      <c r="O86" s="1151"/>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8"/>
      <c r="Q87" s="503"/>
    </row>
    <row r="88" spans="1:17" s="116" customFormat="1" ht="15.75" thickTop="1">
      <c r="A88" s="578"/>
      <c r="B88" s="537" t="s">
        <v>2613</v>
      </c>
      <c r="C88" s="553"/>
      <c r="D88" s="553"/>
      <c r="E88" s="553"/>
      <c r="F88" s="2633"/>
      <c r="G88" s="553"/>
      <c r="H88" s="553"/>
      <c r="I88" s="553"/>
      <c r="J88" s="553"/>
      <c r="K88" s="553"/>
      <c r="L88" s="553"/>
      <c r="M88" s="580"/>
      <c r="N88" s="1151"/>
      <c r="O88" s="1151"/>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8"/>
      <c r="Q89" s="503"/>
    </row>
    <row r="90" spans="1:17" s="470" customFormat="1" ht="15.75" thickTop="1">
      <c r="A90" s="552"/>
      <c r="B90" s="537">
        <f>B27</f>
        <v>111</v>
      </c>
      <c r="C90" s="553"/>
      <c r="D90" s="553"/>
      <c r="E90" s="553"/>
      <c r="F90" s="553"/>
      <c r="G90" s="553"/>
      <c r="H90" s="554"/>
      <c r="I90" s="554"/>
      <c r="J90" s="554"/>
      <c r="K90" s="554"/>
      <c r="L90" s="555"/>
      <c r="M90" s="556"/>
      <c r="N90" s="1154"/>
      <c r="O90" s="1154"/>
      <c r="P90" s="2629"/>
      <c r="Q90" s="558"/>
    </row>
    <row r="91" spans="1:17" s="470" customFormat="1" ht="15.75" thickBot="1">
      <c r="A91" s="552"/>
      <c r="B91" s="542"/>
      <c r="C91" s="559"/>
      <c r="D91" s="559"/>
      <c r="E91" s="559"/>
      <c r="F91" s="559"/>
      <c r="G91" s="559"/>
      <c r="H91" s="561"/>
      <c r="I91" s="561"/>
      <c r="J91" s="561"/>
      <c r="K91" s="561"/>
      <c r="L91" s="561"/>
      <c r="M91" s="562"/>
      <c r="N91" s="1154"/>
      <c r="O91" s="1154"/>
      <c r="P91" s="2629"/>
      <c r="Q91" s="558"/>
    </row>
    <row r="92" spans="1:17" ht="15.75" thickTop="1">
      <c r="A92" s="533"/>
      <c r="B92" s="537">
        <f>B28</f>
        <v>111</v>
      </c>
      <c r="C92" s="553"/>
      <c r="D92" s="553"/>
      <c r="E92" s="553"/>
      <c r="F92" s="553"/>
      <c r="G92" s="582"/>
      <c r="H92" s="582"/>
      <c r="I92" s="582"/>
      <c r="J92" s="582"/>
      <c r="K92" s="583"/>
      <c r="L92" s="584"/>
      <c r="M92" s="585"/>
      <c r="N92" s="1152"/>
      <c r="O92" s="1152"/>
      <c r="P92" s="2628"/>
      <c r="Q92" s="503"/>
    </row>
    <row r="93" spans="1:17" ht="15.75" thickBot="1">
      <c r="A93" s="533"/>
      <c r="B93" s="542"/>
      <c r="C93" s="559"/>
      <c r="D93" s="535"/>
      <c r="E93" s="535"/>
      <c r="F93" s="535"/>
      <c r="G93" s="535"/>
      <c r="H93" s="535"/>
      <c r="I93" s="535"/>
      <c r="J93" s="535"/>
      <c r="K93" s="535"/>
      <c r="L93" s="535"/>
      <c r="M93" s="536"/>
      <c r="N93" s="1153"/>
      <c r="O93" s="1153"/>
      <c r="P93" s="2628"/>
      <c r="Q93" s="503"/>
    </row>
    <row r="94" spans="1:17" ht="15.75" thickTop="1">
      <c r="A94" s="533"/>
      <c r="B94" s="537">
        <f>B29</f>
        <v>111</v>
      </c>
      <c r="C94" s="553"/>
      <c r="D94" s="553"/>
      <c r="E94" s="553"/>
      <c r="F94" s="553"/>
      <c r="G94" s="582"/>
      <c r="H94" s="582"/>
      <c r="I94" s="582"/>
      <c r="J94" s="582"/>
      <c r="K94" s="583"/>
      <c r="L94" s="584"/>
      <c r="M94" s="585"/>
      <c r="N94" s="1152"/>
      <c r="O94" s="1152"/>
      <c r="P94" s="2628"/>
      <c r="Q94" s="503"/>
    </row>
    <row r="95" spans="1:17" ht="15.75" thickBot="1">
      <c r="A95" s="533"/>
      <c r="B95" s="542"/>
      <c r="C95" s="559"/>
      <c r="D95" s="559"/>
      <c r="E95" s="559"/>
      <c r="F95" s="559"/>
      <c r="G95" s="535"/>
      <c r="H95" s="535"/>
      <c r="I95" s="535"/>
      <c r="J95" s="535"/>
      <c r="K95" s="535"/>
      <c r="L95" s="535"/>
      <c r="M95" s="536"/>
      <c r="N95" s="1153"/>
      <c r="O95" s="1153"/>
      <c r="P95" s="2628"/>
      <c r="Q95" s="503"/>
    </row>
    <row r="96" spans="1:17" ht="15.75" thickTop="1">
      <c r="A96" s="533"/>
      <c r="B96" s="537">
        <f>B30</f>
        <v>111</v>
      </c>
      <c r="C96" s="553"/>
      <c r="D96" s="553"/>
      <c r="E96" s="553"/>
      <c r="F96" s="553"/>
      <c r="G96" s="582"/>
      <c r="H96" s="582"/>
      <c r="I96" s="582"/>
      <c r="J96" s="582"/>
      <c r="K96" s="583"/>
      <c r="L96" s="584"/>
      <c r="M96" s="585"/>
      <c r="N96" s="1152"/>
      <c r="O96" s="1152"/>
      <c r="P96" s="2628"/>
      <c r="Q96" s="503"/>
    </row>
    <row r="97" spans="1:17" ht="15.75" thickBot="1">
      <c r="A97" s="533"/>
      <c r="B97" s="542"/>
      <c r="C97" s="569"/>
      <c r="D97" s="569"/>
      <c r="E97" s="569"/>
      <c r="F97" s="569"/>
      <c r="G97" s="535"/>
      <c r="H97" s="535"/>
      <c r="I97" s="535"/>
      <c r="J97" s="535"/>
      <c r="K97" s="535"/>
      <c r="L97" s="535"/>
      <c r="M97" s="536"/>
      <c r="N97" s="1153"/>
      <c r="O97" s="1153"/>
      <c r="P97" s="2628"/>
      <c r="Q97" s="503"/>
    </row>
    <row r="98" spans="1:17" ht="15.75" thickTop="1">
      <c r="A98" s="533"/>
      <c r="B98" s="545">
        <f>B31</f>
        <v>111</v>
      </c>
      <c r="C98" s="586"/>
      <c r="D98" s="586"/>
      <c r="E98" s="586"/>
      <c r="F98" s="586"/>
      <c r="G98" s="586"/>
      <c r="H98" s="586"/>
      <c r="I98" s="586"/>
      <c r="J98" s="586"/>
      <c r="K98" s="587"/>
      <c r="L98" s="588"/>
      <c r="M98" s="589"/>
      <c r="N98" s="1152"/>
      <c r="O98" s="1152"/>
      <c r="P98" s="2628"/>
      <c r="Q98" s="503"/>
    </row>
    <row r="99" spans="1:17" ht="15.75" thickBot="1">
      <c r="A99" s="2634"/>
      <c r="B99" s="568"/>
      <c r="C99" s="590"/>
      <c r="D99" s="590"/>
      <c r="E99" s="590"/>
      <c r="F99" s="590"/>
      <c r="G99" s="590"/>
      <c r="H99" s="590"/>
      <c r="I99" s="590"/>
      <c r="J99" s="590"/>
      <c r="K99" s="590"/>
      <c r="L99" s="590"/>
      <c r="M99" s="591"/>
      <c r="N99" s="1153"/>
      <c r="O99" s="1153"/>
      <c r="P99" s="2628"/>
      <c r="Q99" s="503"/>
    </row>
    <row r="100" spans="1:17">
      <c r="A100" s="526" t="s">
        <v>2565</v>
      </c>
      <c r="B100" s="527" t="s">
        <v>2614</v>
      </c>
      <c r="C100" s="529"/>
      <c r="D100" s="529"/>
      <c r="E100" s="529"/>
      <c r="F100" s="529"/>
      <c r="G100" s="529"/>
      <c r="H100" s="529"/>
      <c r="I100" s="529"/>
      <c r="J100" s="529"/>
      <c r="K100" s="530"/>
      <c r="L100" s="531"/>
      <c r="M100" s="532"/>
      <c r="N100" s="1152"/>
      <c r="O100" s="1152"/>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8"/>
      <c r="Q101" s="503"/>
    </row>
    <row r="102" spans="1:17" ht="15.75" thickTop="1">
      <c r="A102" s="533"/>
      <c r="B102" s="537" t="s">
        <v>2615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8"/>
      <c r="Q102" s="503"/>
    </row>
    <row r="103" spans="1:17" s="470" customFormat="1">
      <c r="A103" s="592"/>
      <c r="B103" s="593"/>
      <c r="C103" s="594"/>
      <c r="D103" s="594"/>
      <c r="E103" s="594"/>
      <c r="F103" s="594"/>
      <c r="G103" s="594"/>
      <c r="H103" s="594"/>
      <c r="I103" s="594"/>
      <c r="J103" s="595"/>
      <c r="K103" s="595"/>
      <c r="L103" s="596"/>
      <c r="M103" s="597"/>
      <c r="N103" s="1154"/>
      <c r="O103" s="1154"/>
      <c r="P103" s="2629"/>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9"/>
      <c r="Q104" s="558"/>
    </row>
    <row r="105" spans="1:17" ht="15" thickTop="1">
      <c r="A105" s="598"/>
      <c r="B105" s="537" t="s">
        <v>2616</v>
      </c>
      <c r="C105" s="553"/>
      <c r="D105" s="553"/>
      <c r="E105" s="582"/>
      <c r="F105" s="582"/>
      <c r="G105" s="582"/>
      <c r="H105" s="582"/>
      <c r="I105" s="582"/>
      <c r="J105" s="582"/>
      <c r="K105" s="583"/>
      <c r="L105" s="584"/>
      <c r="M105" s="585"/>
      <c r="N105" s="1152"/>
      <c r="O105" s="1152"/>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8"/>
      <c r="Q106" s="503"/>
    </row>
    <row r="107" spans="1:17" ht="15" thickTop="1">
      <c r="A107" s="598"/>
      <c r="B107" s="537" t="s">
        <v>2617</v>
      </c>
      <c r="C107" s="582"/>
      <c r="D107" s="582"/>
      <c r="E107" s="582"/>
      <c r="F107" s="582"/>
      <c r="G107" s="582"/>
      <c r="H107" s="582"/>
      <c r="I107" s="582"/>
      <c r="J107" s="582"/>
      <c r="K107" s="583"/>
      <c r="L107" s="584"/>
      <c r="M107" s="585"/>
      <c r="N107" s="1152"/>
      <c r="O107" s="1152"/>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8"/>
      <c r="Q108" s="503"/>
    </row>
    <row r="109" spans="1:17" ht="15" thickTop="1">
      <c r="A109" s="598"/>
      <c r="B109" s="537" t="s">
        <v>2618</v>
      </c>
      <c r="C109" s="553"/>
      <c r="D109" s="553"/>
      <c r="E109" s="553"/>
      <c r="F109" s="582"/>
      <c r="G109" s="582"/>
      <c r="H109" s="582"/>
      <c r="I109" s="582"/>
      <c r="J109" s="582"/>
      <c r="K109" s="583"/>
      <c r="L109" s="584"/>
      <c r="M109" s="585"/>
      <c r="N109" s="1152"/>
      <c r="O109" s="1152"/>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8"/>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9"/>
      <c r="Q113" s="558"/>
    </row>
    <row r="114" spans="1:17" ht="15" thickTop="1">
      <c r="A114" s="598"/>
      <c r="B114" s="537" t="s">
        <v>2619</v>
      </c>
      <c r="C114" s="553"/>
      <c r="D114" s="553"/>
      <c r="E114" s="582"/>
      <c r="F114" s="582"/>
      <c r="G114" s="582"/>
      <c r="H114" s="582"/>
      <c r="I114" s="582"/>
      <c r="J114" s="582"/>
      <c r="K114" s="583"/>
      <c r="L114" s="584"/>
      <c r="M114" s="585"/>
      <c r="N114" s="1152"/>
      <c r="O114" s="1152"/>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8"/>
      <c r="Q115" s="503"/>
    </row>
    <row r="116" spans="1:17" ht="15" thickTop="1">
      <c r="A116" s="598"/>
      <c r="B116" s="537" t="s">
        <v>2620</v>
      </c>
      <c r="C116" s="553"/>
      <c r="D116" s="553"/>
      <c r="E116" s="553"/>
      <c r="F116" s="553"/>
      <c r="G116" s="553"/>
      <c r="H116" s="582"/>
      <c r="I116" s="582"/>
      <c r="J116" s="582"/>
      <c r="K116" s="583"/>
      <c r="L116" s="584"/>
      <c r="M116" s="585"/>
      <c r="N116" s="1152"/>
      <c r="O116" s="1152"/>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8"/>
      <c r="Q117" s="503"/>
    </row>
    <row r="118" spans="1:17" ht="15" thickTop="1">
      <c r="A118" s="598"/>
      <c r="B118" s="537" t="s">
        <v>2621</v>
      </c>
      <c r="C118" s="582"/>
      <c r="D118" s="582"/>
      <c r="E118" s="582"/>
      <c r="F118" s="582"/>
      <c r="G118" s="582"/>
      <c r="H118" s="582"/>
      <c r="I118" s="582"/>
      <c r="J118" s="582"/>
      <c r="K118" s="583"/>
      <c r="L118" s="584"/>
      <c r="M118" s="585"/>
      <c r="N118" s="1152"/>
      <c r="O118" s="1152"/>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8"/>
      <c r="Q119" s="503"/>
    </row>
    <row r="120" spans="1:17" s="470" customFormat="1" ht="28.5" thickTop="1">
      <c r="A120" s="592"/>
      <c r="B120" s="537" t="s">
        <v>2576</v>
      </c>
      <c r="C120" s="553"/>
      <c r="D120" s="553"/>
      <c r="E120" s="553"/>
      <c r="F120" s="553"/>
      <c r="G120" s="553"/>
      <c r="H120" s="553"/>
      <c r="I120" s="553"/>
      <c r="J120" s="553"/>
      <c r="K120" s="553"/>
      <c r="L120" s="579"/>
      <c r="M120" s="580"/>
      <c r="N120" s="1154"/>
      <c r="O120" s="1154"/>
      <c r="P120" s="2629"/>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9"/>
      <c r="Q121" s="558"/>
    </row>
    <row r="122" spans="1:17" ht="15" thickTop="1">
      <c r="A122" s="598"/>
      <c r="B122" s="537" t="s">
        <v>2622</v>
      </c>
      <c r="C122" s="553"/>
      <c r="D122" s="553"/>
      <c r="E122" s="553"/>
      <c r="F122" s="582"/>
      <c r="G122" s="582"/>
      <c r="H122" s="582"/>
      <c r="I122" s="582"/>
      <c r="J122" s="582"/>
      <c r="K122" s="583"/>
      <c r="L122" s="584"/>
      <c r="M122" s="585"/>
      <c r="N122" s="1152"/>
      <c r="O122" s="1152"/>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8"/>
      <c r="Q123" s="503"/>
    </row>
    <row r="124" spans="1:17" ht="15" thickTop="1">
      <c r="A124" s="598"/>
      <c r="B124" s="537" t="s">
        <v>2623</v>
      </c>
      <c r="C124" s="577" t="s">
        <v>2599</v>
      </c>
      <c r="D124" s="577" t="s">
        <v>2600</v>
      </c>
      <c r="E124" s="577" t="s">
        <v>2601</v>
      </c>
      <c r="F124" s="577" t="s">
        <v>2602</v>
      </c>
      <c r="G124" s="577" t="s">
        <v>2603</v>
      </c>
      <c r="H124" s="538"/>
      <c r="I124" s="538"/>
      <c r="J124" s="538"/>
      <c r="K124" s="539"/>
      <c r="L124" s="540"/>
      <c r="M124" s="541"/>
      <c r="N124" s="1152"/>
      <c r="O124" s="1152"/>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9"/>
      <c r="Q127" s="558"/>
    </row>
    <row r="128" spans="1:17" ht="15" thickTop="1">
      <c r="A128" s="598"/>
      <c r="B128" s="537">
        <f>B45</f>
        <v>111</v>
      </c>
      <c r="C128" s="553"/>
      <c r="D128" s="553"/>
      <c r="E128" s="553"/>
      <c r="F128" s="553"/>
      <c r="G128" s="582"/>
      <c r="H128" s="582"/>
      <c r="I128" s="582"/>
      <c r="J128" s="582"/>
      <c r="K128" s="583"/>
      <c r="L128" s="584"/>
      <c r="M128" s="585"/>
      <c r="N128" s="1152"/>
      <c r="O128" s="1152"/>
      <c r="P128" s="2628"/>
      <c r="Q128" s="503"/>
    </row>
    <row r="129" spans="1:17" ht="15.75" thickBot="1">
      <c r="A129" s="533"/>
      <c r="B129" s="542"/>
      <c r="C129" s="559"/>
      <c r="D129" s="559"/>
      <c r="E129" s="559"/>
      <c r="F129" s="559"/>
      <c r="G129" s="535"/>
      <c r="H129" s="535"/>
      <c r="I129" s="535"/>
      <c r="J129" s="535"/>
      <c r="K129" s="535"/>
      <c r="L129" s="535"/>
      <c r="M129" s="536"/>
      <c r="N129" s="1153"/>
      <c r="O129" s="1153"/>
      <c r="P129" s="2628"/>
      <c r="Q129" s="503"/>
    </row>
    <row r="130" spans="1:17" ht="15" thickTop="1">
      <c r="A130" s="598"/>
      <c r="B130" s="545">
        <f>B46</f>
        <v>111</v>
      </c>
      <c r="C130" s="553"/>
      <c r="D130" s="553"/>
      <c r="E130" s="553"/>
      <c r="F130" s="553"/>
      <c r="G130" s="586"/>
      <c r="H130" s="586"/>
      <c r="I130" s="586"/>
      <c r="J130" s="586"/>
      <c r="K130" s="522"/>
      <c r="L130" s="523"/>
      <c r="M130" s="589"/>
      <c r="N130" s="1152"/>
      <c r="O130" s="1152"/>
      <c r="P130" s="2628"/>
      <c r="Q130" s="503"/>
    </row>
    <row r="131" spans="1:17" ht="15.75" thickBot="1">
      <c r="A131" s="2634"/>
      <c r="B131" s="568"/>
      <c r="C131" s="569"/>
      <c r="D131" s="569"/>
      <c r="E131" s="569"/>
      <c r="F131" s="569"/>
      <c r="G131" s="590"/>
      <c r="H131" s="590"/>
      <c r="I131" s="590"/>
      <c r="J131" s="590"/>
      <c r="K131" s="590"/>
      <c r="L131" s="590"/>
      <c r="M131" s="591"/>
      <c r="N131" s="1153"/>
      <c r="O131" s="1153"/>
      <c r="P131" s="2628"/>
      <c r="Q131" s="503"/>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5" t="s">
        <v>2627</v>
      </c>
      <c r="D138" s="145" t="s">
        <v>2628</v>
      </c>
      <c r="E138" s="2643" t="s">
        <v>2629</v>
      </c>
      <c r="F138" s="2644" t="s">
        <v>2630</v>
      </c>
      <c r="G138" s="145" t="s">
        <v>2628</v>
      </c>
      <c r="H138" s="146" t="s">
        <v>2629</v>
      </c>
      <c r="I138" s="2645"/>
      <c r="J138" s="145" t="s">
        <v>2631</v>
      </c>
      <c r="K138" s="146" t="s">
        <v>2632</v>
      </c>
    </row>
    <row r="139" spans="1:17" ht="15">
      <c r="B139" s="1084">
        <v>6</v>
      </c>
      <c r="C139" s="1085">
        <v>96</v>
      </c>
      <c r="D139" s="2646" t="s">
        <v>2633</v>
      </c>
      <c r="E139" s="1086">
        <v>100</v>
      </c>
      <c r="F139" s="1087">
        <v>102.5</v>
      </c>
      <c r="G139" s="2646" t="s">
        <v>2633</v>
      </c>
      <c r="H139" s="1088">
        <v>105</v>
      </c>
      <c r="I139" s="2647" t="s">
        <v>2634</v>
      </c>
      <c r="J139" s="1085">
        <v>20</v>
      </c>
      <c r="K139" s="1089">
        <f>C145/(J139-2)</f>
        <v>4.0555555555555553E-3</v>
      </c>
    </row>
    <row r="140" spans="1:17" ht="15">
      <c r="B140" s="1090">
        <v>5</v>
      </c>
      <c r="C140" s="1091">
        <v>100</v>
      </c>
      <c r="D140" s="1091"/>
      <c r="E140" s="1092"/>
      <c r="F140" s="1093">
        <v>102</v>
      </c>
      <c r="G140" s="1091"/>
      <c r="H140" s="1094"/>
      <c r="I140" s="2648" t="s">
        <v>2635</v>
      </c>
      <c r="J140" s="314">
        <f>ROUNDUP((J139-1)/2,0)</f>
        <v>10</v>
      </c>
      <c r="K140" s="1095">
        <v>100</v>
      </c>
    </row>
    <row r="141" spans="1:17" ht="15">
      <c r="B141" s="1090">
        <v>4</v>
      </c>
      <c r="C141" s="1091">
        <v>102</v>
      </c>
      <c r="D141" s="1091"/>
      <c r="E141" s="1092"/>
      <c r="F141" s="1093">
        <v>101.5</v>
      </c>
      <c r="G141" s="1091"/>
      <c r="H141" s="1094"/>
      <c r="I141" s="2648" t="s">
        <v>2636</v>
      </c>
      <c r="J141" s="314">
        <v>1</v>
      </c>
      <c r="K141" s="1096">
        <f>ROUND(100+(J141-J140)*K139*100,1)</f>
        <v>96.4</v>
      </c>
    </row>
    <row r="142" spans="1:17" ht="15">
      <c r="B142" s="1090">
        <v>3</v>
      </c>
      <c r="C142" s="1091">
        <v>103</v>
      </c>
      <c r="D142" s="1091"/>
      <c r="E142" s="1092"/>
      <c r="F142" s="1093">
        <v>101</v>
      </c>
      <c r="G142" s="1091"/>
      <c r="H142" s="1094"/>
      <c r="I142" s="2648" t="s">
        <v>2637</v>
      </c>
      <c r="J142" s="314">
        <f>J139</f>
        <v>20</v>
      </c>
      <c r="K142" s="1097">
        <v>95</v>
      </c>
    </row>
    <row r="143" spans="1:17" ht="15">
      <c r="B143" s="1090">
        <v>2</v>
      </c>
      <c r="C143" s="1091">
        <v>100</v>
      </c>
      <c r="D143" s="1091"/>
      <c r="E143" s="1092"/>
      <c r="F143" s="1093">
        <v>100.5</v>
      </c>
      <c r="G143" s="1091"/>
      <c r="H143" s="1094"/>
      <c r="I143" s="2648" t="s">
        <v>2638</v>
      </c>
      <c r="J143" s="1091">
        <v>15</v>
      </c>
      <c r="K143" s="1096">
        <f>ROUND(100+(J143-J140)*K139*100,1)</f>
        <v>102</v>
      </c>
    </row>
    <row r="144" spans="1:17" ht="15">
      <c r="B144" s="1090">
        <v>1</v>
      </c>
      <c r="C144" s="1091">
        <v>98</v>
      </c>
      <c r="D144" s="2649" t="s">
        <v>2639</v>
      </c>
      <c r="E144" s="1092">
        <v>102</v>
      </c>
      <c r="F144" s="1098">
        <v>100</v>
      </c>
      <c r="G144" s="2649" t="s">
        <v>2639</v>
      </c>
      <c r="H144" s="1094">
        <v>105</v>
      </c>
      <c r="I144" s="2648" t="s">
        <v>2638</v>
      </c>
      <c r="J144" s="1091">
        <v>18</v>
      </c>
      <c r="K144" s="1096">
        <f>ROUND(100+(J144-J140)*K139*100,1)</f>
        <v>103.2</v>
      </c>
    </row>
    <row r="145" spans="2:11" ht="15.75" thickBot="1">
      <c r="B145" s="2650" t="s">
        <v>2640</v>
      </c>
      <c r="C145" s="1099">
        <f>ROUND(MAX(C139:C144)/MIN(C139:C144)-1,3)</f>
        <v>7.2999999999999995E-2</v>
      </c>
      <c r="D145" s="1100"/>
      <c r="E145" s="1100"/>
      <c r="F145" s="2651" t="s">
        <v>2641</v>
      </c>
      <c r="G145" s="2652"/>
      <c r="H145" s="2653"/>
      <c r="I145" s="2654" t="s">
        <v>2638</v>
      </c>
      <c r="J145" s="1101">
        <v>8</v>
      </c>
      <c r="K145" s="1102">
        <f>ROUND(100+(J145-J140)*K139*100,1)</f>
        <v>99.2</v>
      </c>
    </row>
    <row r="147" spans="2:11">
      <c r="B147" s="2635" t="s">
        <v>2642</v>
      </c>
    </row>
    <row r="148" spans="2:11">
      <c r="B148" s="2635"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0" priority="15" stopIfTrue="1" operator="containsText" text="超过">
      <formula>NOT(ISERROR(SEARCH("超过",F52)))</formula>
    </cfRule>
  </conditionalFormatting>
  <conditionalFormatting sqref="J54">
    <cfRule type="containsText" dxfId="119" priority="14" stopIfTrue="1" operator="containsText" text="超过">
      <formula>NOT(ISERROR(SEARCH("超过",J54)))</formula>
    </cfRule>
  </conditionalFormatting>
  <conditionalFormatting sqref="H54">
    <cfRule type="containsText" dxfId="118" priority="13" stopIfTrue="1" operator="containsText" text="超过">
      <formula>NOT(ISERROR(SEARCH("超过",H54)))</formula>
    </cfRule>
  </conditionalFormatting>
  <conditionalFormatting sqref="F54">
    <cfRule type="containsText" dxfId="117" priority="12" stopIfTrue="1" operator="containsText" text="超过">
      <formula>NOT(ISERROR(SEARCH("超过",F54)))</formula>
    </cfRule>
  </conditionalFormatting>
  <conditionalFormatting sqref="F53 H53 J53">
    <cfRule type="containsText" dxfId="116" priority="11" stopIfTrue="1" operator="containsText" text="超过">
      <formula>NOT(ISERROR(SEARCH("超过",F53)))</formula>
    </cfRule>
  </conditionalFormatting>
  <conditionalFormatting sqref="E52">
    <cfRule type="expression" dxfId="115" priority="10" stopIfTrue="1">
      <formula>$F$52="超过30%"</formula>
    </cfRule>
  </conditionalFormatting>
  <conditionalFormatting sqref="G54">
    <cfRule type="expression" dxfId="114" priority="8" stopIfTrue="1">
      <formula>$H$54="超过30%"</formula>
    </cfRule>
  </conditionalFormatting>
  <conditionalFormatting sqref="E53">
    <cfRule type="expression" dxfId="113" priority="7" stopIfTrue="1">
      <formula>$F$53="超过20%"</formula>
    </cfRule>
  </conditionalFormatting>
  <conditionalFormatting sqref="E54">
    <cfRule type="expression" dxfId="112" priority="6" stopIfTrue="1">
      <formula>$F$54="超过30%"</formula>
    </cfRule>
  </conditionalFormatting>
  <conditionalFormatting sqref="G52">
    <cfRule type="expression" dxfId="111" priority="5" stopIfTrue="1">
      <formula>$H$52="超过30%"</formula>
    </cfRule>
  </conditionalFormatting>
  <conditionalFormatting sqref="G53">
    <cfRule type="expression" dxfId="110" priority="4" stopIfTrue="1">
      <formula>$H$53="超过20%"</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2530</v>
      </c>
      <c r="B1" s="2667" t="s">
        <v>2704</v>
      </c>
      <c r="C1" s="1619" t="s">
        <v>2532</v>
      </c>
      <c r="D1" s="1620"/>
      <c r="E1" s="1629"/>
      <c r="F1" s="2582"/>
      <c r="G1" s="1630" t="s">
        <v>2645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IF(C2="——",ROUND(C43*D3/10000,0),ROUND(C43*D3/10000,0)-D2)</f>
        <v>#DIV/0!</v>
      </c>
      <c r="C2" s="2584"/>
      <c r="D2" s="1124" t="e">
        <f ca="1">SUMIF(INDIRECT("'"&amp;F2&amp;"'"&amp;"!A:A"),"承租人权益价值",INDIRECT("'"&amp;F2&amp;"'"&amp;"!c:c"))</f>
        <v>#REF!</v>
      </c>
      <c r="E2" s="2585" t="s">
        <v>2330</v>
      </c>
      <c r="F2" s="2586"/>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2331</v>
      </c>
      <c r="B3" s="608" t="e">
        <f ca="1">IF(C2="——",C43,ROUND(B2*10000/D3,0))</f>
        <v>#DIV/0!</v>
      </c>
      <c r="C3" s="399" t="s">
        <v>2646</v>
      </c>
      <c r="D3" s="398">
        <f>IF(D1="",'数据-汇总表'!E3,SUMIF('数据-汇总表'!$C19:$C33,D1,'数据-汇总表'!$E19:$E33))</f>
        <v>16929.979999999996</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451" t="s">
        <v>2648</v>
      </c>
      <c r="D4" s="3452"/>
      <c r="E4" s="3453" t="s">
        <v>2649</v>
      </c>
      <c r="F4" s="3454"/>
      <c r="G4" s="3451" t="s">
        <v>2650</v>
      </c>
      <c r="H4" s="3452"/>
      <c r="I4" s="3451" t="s">
        <v>2651</v>
      </c>
      <c r="J4" s="3452"/>
      <c r="K4" s="609" t="s">
        <v>2652</v>
      </c>
      <c r="L4" s="1130"/>
      <c r="M4" s="1131"/>
      <c r="N4" s="1131"/>
      <c r="O4" s="1131"/>
      <c r="P4" s="3499" t="s">
        <v>2653</v>
      </c>
      <c r="Q4" s="3500"/>
      <c r="R4" s="3503" t="s">
        <v>2649</v>
      </c>
      <c r="S4" s="3504"/>
      <c r="T4" s="3503" t="s">
        <v>2650</v>
      </c>
      <c r="U4" s="3504"/>
      <c r="V4" s="3468" t="s">
        <v>2651</v>
      </c>
      <c r="W4" s="3468"/>
      <c r="X4" s="1812"/>
      <c r="Y4" s="3503" t="s">
        <v>2653</v>
      </c>
      <c r="Z4" s="3504"/>
      <c r="AA4" s="3498" t="s">
        <v>2649</v>
      </c>
      <c r="AB4" s="3481" t="s">
        <v>2650</v>
      </c>
      <c r="AC4" s="3498" t="s">
        <v>2651</v>
      </c>
    </row>
    <row r="5" spans="1:29" ht="15">
      <c r="A5" s="403"/>
      <c r="B5" s="404"/>
      <c r="C5" s="3477" t="s">
        <v>2544</v>
      </c>
      <c r="D5" s="3472"/>
      <c r="E5" s="3526" t="s">
        <v>2545</v>
      </c>
      <c r="F5" s="3527"/>
      <c r="G5" s="3477" t="s">
        <v>2546</v>
      </c>
      <c r="H5" s="3472"/>
      <c r="I5" s="3477" t="s">
        <v>2547</v>
      </c>
      <c r="J5" s="3472"/>
      <c r="K5" s="609"/>
      <c r="L5" s="1130"/>
      <c r="M5" s="1131"/>
      <c r="N5" s="1131"/>
      <c r="O5" s="1131"/>
      <c r="P5" s="3501"/>
      <c r="Q5" s="3458"/>
      <c r="R5" s="3463"/>
      <c r="S5" s="3464"/>
      <c r="T5" s="3463"/>
      <c r="U5" s="3464"/>
      <c r="V5" s="3468"/>
      <c r="W5" s="3468"/>
      <c r="X5" s="1812"/>
      <c r="Y5" s="3463"/>
      <c r="Z5" s="3464"/>
      <c r="AA5" s="3481"/>
      <c r="AB5" s="3481"/>
      <c r="AC5" s="3481"/>
    </row>
    <row r="6" spans="1:29" ht="15.75" thickBot="1">
      <c r="A6" s="405"/>
      <c r="B6" s="406"/>
      <c r="C6" s="3469" t="s">
        <v>2548</v>
      </c>
      <c r="D6" s="3470"/>
      <c r="E6" s="3478" t="s">
        <v>2548</v>
      </c>
      <c r="F6" s="3479"/>
      <c r="G6" s="3469" t="s">
        <v>2548</v>
      </c>
      <c r="H6" s="3470"/>
      <c r="I6" s="3469" t="s">
        <v>2548</v>
      </c>
      <c r="J6" s="3470"/>
      <c r="K6" s="609" t="s">
        <v>2549</v>
      </c>
      <c r="L6" s="1130"/>
      <c r="M6" s="1131"/>
      <c r="N6" s="1131"/>
      <c r="O6" s="1131"/>
      <c r="P6" s="3502"/>
      <c r="Q6" s="3460"/>
      <c r="R6" s="3463"/>
      <c r="S6" s="3464"/>
      <c r="T6" s="3465"/>
      <c r="U6" s="3466"/>
      <c r="V6" s="3468"/>
      <c r="W6" s="3468"/>
      <c r="X6" s="1812"/>
      <c r="Y6" s="3465"/>
      <c r="Z6" s="3466"/>
      <c r="AA6" s="3482"/>
      <c r="AB6" s="3482"/>
      <c r="AC6" s="3482"/>
    </row>
    <row r="7" spans="1:29" s="116" customFormat="1" ht="15.75" thickBot="1">
      <c r="A7" s="407" t="s">
        <v>2550</v>
      </c>
      <c r="B7" s="408"/>
      <c r="C7" s="409">
        <f>'数据-取费表'!B2</f>
        <v>43553</v>
      </c>
      <c r="D7" s="410">
        <v>100</v>
      </c>
      <c r="E7" s="411"/>
      <c r="F7" s="412">
        <f>SUMIF(52:52,YEAR(E7)&amp;"-"&amp;MONTH(E7),53:53)</f>
        <v>0</v>
      </c>
      <c r="G7" s="411"/>
      <c r="H7" s="410">
        <f>SUMIF(52:52,YEAR(G7)&amp;"-"&amp;MONTH(G7),53:53)</f>
        <v>0</v>
      </c>
      <c r="I7" s="411"/>
      <c r="J7" s="410">
        <f>SUMIF(52:52,YEAR(I7)&amp;"-"&amp;MONTH(I7),53:53)</f>
        <v>0</v>
      </c>
      <c r="K7" s="610"/>
      <c r="L7" s="1132"/>
      <c r="M7" s="1133"/>
      <c r="N7" s="1133"/>
      <c r="O7" s="1133"/>
      <c r="P7" s="3475" t="s">
        <v>2551</v>
      </c>
      <c r="Q7" s="3476"/>
      <c r="R7" s="767" t="s">
        <v>17</v>
      </c>
      <c r="S7" s="768">
        <f t="shared" ref="S7:S15" si="0">F7</f>
        <v>0</v>
      </c>
      <c r="T7" s="767" t="s">
        <v>17</v>
      </c>
      <c r="U7" s="768">
        <f t="shared" ref="U7:U15" si="1">H7</f>
        <v>0</v>
      </c>
      <c r="V7" s="767" t="s">
        <v>17</v>
      </c>
      <c r="W7" s="768">
        <f t="shared" ref="W7:W15" si="2">J7</f>
        <v>0</v>
      </c>
      <c r="X7" s="769"/>
      <c r="Y7" s="3475" t="s">
        <v>2551</v>
      </c>
      <c r="Z7" s="3474"/>
      <c r="AA7" s="770" t="e">
        <f>D7/F7</f>
        <v>#DIV/0!</v>
      </c>
      <c r="AB7" s="770" t="e">
        <f>D7/H7</f>
        <v>#DIV/0!</v>
      </c>
      <c r="AC7" s="770" t="e">
        <f>D7/J7</f>
        <v>#DIV/0!</v>
      </c>
    </row>
    <row r="8" spans="1:29" s="116" customFormat="1" ht="15.75" thickBot="1">
      <c r="A8" s="407" t="s">
        <v>2552</v>
      </c>
      <c r="B8" s="408"/>
      <c r="C8" s="413" t="s">
        <v>2553</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475" t="s">
        <v>2554</v>
      </c>
      <c r="Q8" s="3474"/>
      <c r="R8" s="767" t="s">
        <v>17</v>
      </c>
      <c r="S8" s="768">
        <f t="shared" si="0"/>
        <v>0</v>
      </c>
      <c r="T8" s="767" t="s">
        <v>17</v>
      </c>
      <c r="U8" s="768">
        <f t="shared" si="1"/>
        <v>0</v>
      </c>
      <c r="V8" s="767" t="s">
        <v>17</v>
      </c>
      <c r="W8" s="768">
        <f t="shared" si="2"/>
        <v>0</v>
      </c>
      <c r="X8" s="769"/>
      <c r="Y8" s="3475" t="s">
        <v>2554</v>
      </c>
      <c r="Z8" s="3474"/>
      <c r="AA8" s="770" t="e">
        <f t="shared" ref="AA8:AA40" si="3">D8/F8</f>
        <v>#DIV/0!</v>
      </c>
      <c r="AB8" s="770" t="e">
        <f t="shared" ref="AB8:AB40" si="4">D8/H8</f>
        <v>#DIV/0!</v>
      </c>
      <c r="AC8" s="770" t="e">
        <f t="shared" ref="AC8:AC40" si="5">D8/J8</f>
        <v>#DIV/0!</v>
      </c>
    </row>
    <row r="9" spans="1:29" s="116" customFormat="1">
      <c r="A9" s="414" t="s">
        <v>2555</v>
      </c>
      <c r="B9" s="70" t="s">
        <v>2556</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434" t="s">
        <v>2557</v>
      </c>
      <c r="Q9" s="1794" t="str">
        <f t="shared" ref="Q9:Q15" si="6">B9</f>
        <v>用途</v>
      </c>
      <c r="R9" s="767" t="s">
        <v>17</v>
      </c>
      <c r="S9" s="768">
        <f t="shared" si="0"/>
        <v>100</v>
      </c>
      <c r="T9" s="767" t="s">
        <v>17</v>
      </c>
      <c r="U9" s="768">
        <f t="shared" si="1"/>
        <v>100</v>
      </c>
      <c r="V9" s="767" t="s">
        <v>17</v>
      </c>
      <c r="W9" s="768">
        <f t="shared" si="2"/>
        <v>100</v>
      </c>
      <c r="X9" s="769"/>
      <c r="Y9" s="3280" t="s">
        <v>2558</v>
      </c>
      <c r="Z9" s="54" t="str">
        <f t="shared" ref="Z9:Z15" si="7">Q9</f>
        <v>用途</v>
      </c>
      <c r="AA9" s="770">
        <f t="shared" si="3"/>
        <v>1</v>
      </c>
      <c r="AB9" s="770">
        <f t="shared" si="4"/>
        <v>1</v>
      </c>
      <c r="AC9" s="770">
        <f t="shared" si="5"/>
        <v>1</v>
      </c>
    </row>
    <row r="10" spans="1:29" s="426" customFormat="1" ht="27">
      <c r="A10" s="420"/>
      <c r="B10" s="421" t="s">
        <v>2559</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434"/>
      <c r="Q10" s="1794" t="str">
        <f t="shared" si="6"/>
        <v>土地使用年限（年）</v>
      </c>
      <c r="R10" s="767" t="s">
        <v>17</v>
      </c>
      <c r="S10" s="768">
        <f t="shared" si="0"/>
        <v>100</v>
      </c>
      <c r="T10" s="767" t="s">
        <v>17</v>
      </c>
      <c r="U10" s="768">
        <f t="shared" si="1"/>
        <v>100</v>
      </c>
      <c r="V10" s="767" t="s">
        <v>17</v>
      </c>
      <c r="W10" s="768">
        <f t="shared" si="2"/>
        <v>100</v>
      </c>
      <c r="X10" s="769"/>
      <c r="Y10" s="3280"/>
      <c r="Z10" s="54" t="str">
        <f t="shared" si="7"/>
        <v>土地使用年限（年）</v>
      </c>
      <c r="AA10" s="770">
        <f t="shared" si="3"/>
        <v>1</v>
      </c>
      <c r="AB10" s="770">
        <f t="shared" si="4"/>
        <v>1</v>
      </c>
      <c r="AC10" s="770">
        <f t="shared" si="5"/>
        <v>1</v>
      </c>
    </row>
    <row r="11" spans="1:29" ht="15">
      <c r="A11" s="427"/>
      <c r="B11" s="421" t="s">
        <v>2560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434"/>
      <c r="Q11" s="1794" t="str">
        <f t="shared" si="6"/>
        <v>容积率</v>
      </c>
      <c r="R11" s="767" t="s">
        <v>17</v>
      </c>
      <c r="S11" s="768" t="e">
        <f t="shared" si="0"/>
        <v>#N/A</v>
      </c>
      <c r="T11" s="767" t="s">
        <v>17</v>
      </c>
      <c r="U11" s="768" t="e">
        <f t="shared" si="1"/>
        <v>#N/A</v>
      </c>
      <c r="V11" s="767" t="s">
        <v>17</v>
      </c>
      <c r="W11" s="768" t="e">
        <f t="shared" si="2"/>
        <v>#N/A</v>
      </c>
      <c r="X11" s="769"/>
      <c r="Y11" s="3280"/>
      <c r="Z11" s="54" t="str">
        <f t="shared" si="7"/>
        <v>容积率</v>
      </c>
      <c r="AA11" s="770" t="e">
        <f t="shared" si="3"/>
        <v>#N/A</v>
      </c>
      <c r="AB11" s="770" t="e">
        <f t="shared" si="4"/>
        <v>#N/A</v>
      </c>
      <c r="AC11" s="770"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2"/>
      <c r="M12" s="1133"/>
      <c r="N12" s="1133"/>
      <c r="O12" s="1134"/>
      <c r="P12" s="3434"/>
      <c r="Q12" s="1794">
        <f t="shared" si="6"/>
        <v>111</v>
      </c>
      <c r="R12" s="767" t="s">
        <v>17</v>
      </c>
      <c r="S12" s="768">
        <f t="shared" si="0"/>
        <v>100</v>
      </c>
      <c r="T12" s="767" t="s">
        <v>17</v>
      </c>
      <c r="U12" s="768">
        <f t="shared" si="1"/>
        <v>100</v>
      </c>
      <c r="V12" s="767" t="s">
        <v>17</v>
      </c>
      <c r="W12" s="768">
        <f t="shared" si="2"/>
        <v>100</v>
      </c>
      <c r="X12" s="769"/>
      <c r="Y12" s="3280"/>
      <c r="Z12" s="54">
        <f t="shared" si="7"/>
        <v>111</v>
      </c>
      <c r="AA12" s="770">
        <f>D12/F12</f>
        <v>1</v>
      </c>
      <c r="AB12" s="770">
        <f>D12/H12</f>
        <v>1</v>
      </c>
      <c r="AC12" s="770">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0"/>
      <c r="M13" s="1131"/>
      <c r="N13" s="1131"/>
      <c r="O13" s="1139"/>
      <c r="P13" s="3434"/>
      <c r="Q13" s="1794">
        <f t="shared" si="6"/>
        <v>111</v>
      </c>
      <c r="R13" s="767" t="s">
        <v>17</v>
      </c>
      <c r="S13" s="768">
        <f t="shared" si="0"/>
        <v>100</v>
      </c>
      <c r="T13" s="767" t="s">
        <v>17</v>
      </c>
      <c r="U13" s="768">
        <f t="shared" si="1"/>
        <v>100</v>
      </c>
      <c r="V13" s="767" t="s">
        <v>17</v>
      </c>
      <c r="W13" s="768">
        <f t="shared" si="2"/>
        <v>100</v>
      </c>
      <c r="X13" s="769"/>
      <c r="Y13" s="3280"/>
      <c r="Z13" s="54">
        <f t="shared" si="7"/>
        <v>111</v>
      </c>
      <c r="AA13" s="770">
        <f t="shared" si="3"/>
        <v>1</v>
      </c>
      <c r="AB13" s="770">
        <f t="shared" si="4"/>
        <v>1</v>
      </c>
      <c r="AC13" s="770">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0"/>
      <c r="M14" s="1131"/>
      <c r="N14" s="1131"/>
      <c r="O14" s="1139"/>
      <c r="P14" s="3434"/>
      <c r="Q14" s="1794">
        <f t="shared" si="6"/>
        <v>111</v>
      </c>
      <c r="R14" s="767" t="s">
        <v>17</v>
      </c>
      <c r="S14" s="768">
        <f t="shared" si="0"/>
        <v>100</v>
      </c>
      <c r="T14" s="767" t="s">
        <v>17</v>
      </c>
      <c r="U14" s="768">
        <f t="shared" si="1"/>
        <v>100</v>
      </c>
      <c r="V14" s="767" t="s">
        <v>17</v>
      </c>
      <c r="W14" s="768">
        <f t="shared" si="2"/>
        <v>100</v>
      </c>
      <c r="X14" s="769"/>
      <c r="Y14" s="3280"/>
      <c r="Z14" s="54">
        <f t="shared" si="7"/>
        <v>111</v>
      </c>
      <c r="AA14" s="770">
        <f t="shared" si="3"/>
        <v>1</v>
      </c>
      <c r="AB14" s="770">
        <f t="shared" si="4"/>
        <v>1</v>
      </c>
      <c r="AC14" s="770">
        <f t="shared" si="5"/>
        <v>1</v>
      </c>
    </row>
    <row r="15" spans="1:29" ht="57">
      <c r="A15" s="439" t="s">
        <v>2561</v>
      </c>
      <c r="B15" s="68" t="s">
        <v>2705</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441" t="s">
        <v>2562</v>
      </c>
      <c r="Q15" s="1809" t="str">
        <f t="shared" si="6"/>
        <v>产业集聚程度</v>
      </c>
      <c r="R15" s="771" t="s">
        <v>17</v>
      </c>
      <c r="S15" s="772">
        <f t="shared" si="0"/>
        <v>100</v>
      </c>
      <c r="T15" s="771" t="s">
        <v>17</v>
      </c>
      <c r="U15" s="772">
        <f t="shared" si="1"/>
        <v>100</v>
      </c>
      <c r="V15" s="771" t="s">
        <v>17</v>
      </c>
      <c r="W15" s="772">
        <f t="shared" si="2"/>
        <v>100</v>
      </c>
      <c r="X15" s="1812"/>
      <c r="Y15" s="3441" t="s">
        <v>2562</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40"/>
      <c r="M16" s="1131"/>
      <c r="N16" s="1131"/>
      <c r="O16" s="1139"/>
      <c r="P16" s="3442"/>
      <c r="Q16" s="1809"/>
      <c r="R16" s="771"/>
      <c r="S16" s="772"/>
      <c r="T16" s="771"/>
      <c r="U16" s="772"/>
      <c r="V16" s="771"/>
      <c r="W16" s="772"/>
      <c r="X16" s="1812"/>
      <c r="Y16" s="3442"/>
      <c r="Z16" s="1813"/>
      <c r="AA16" s="1810">
        <v>1</v>
      </c>
      <c r="AB16" s="1810">
        <v>1</v>
      </c>
      <c r="AC16" s="1810">
        <v>1</v>
      </c>
    </row>
    <row r="17" spans="1:29" ht="85.5">
      <c r="A17" s="427"/>
      <c r="B17" s="450" t="s">
        <v>2097</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442"/>
      <c r="Q17" s="1809" t="str">
        <f>B17</f>
        <v>交通便捷度</v>
      </c>
      <c r="R17" s="771" t="s">
        <v>17</v>
      </c>
      <c r="S17" s="772">
        <f>F17</f>
        <v>100</v>
      </c>
      <c r="T17" s="771" t="s">
        <v>17</v>
      </c>
      <c r="U17" s="772">
        <f>H17</f>
        <v>100</v>
      </c>
      <c r="V17" s="771" t="s">
        <v>17</v>
      </c>
      <c r="W17" s="772">
        <f>J17</f>
        <v>100</v>
      </c>
      <c r="X17" s="1812"/>
      <c r="Y17" s="3442"/>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40"/>
      <c r="M18" s="1131"/>
      <c r="N18" s="1131"/>
      <c r="O18" s="1139"/>
      <c r="P18" s="3442"/>
      <c r="Q18" s="1809"/>
      <c r="R18" s="771"/>
      <c r="S18" s="772"/>
      <c r="T18" s="771"/>
      <c r="U18" s="772"/>
      <c r="V18" s="771"/>
      <c r="W18" s="772"/>
      <c r="X18" s="1812"/>
      <c r="Y18" s="3442"/>
      <c r="Z18" s="1813"/>
      <c r="AA18" s="1810">
        <v>1</v>
      </c>
      <c r="AB18" s="1810">
        <v>1</v>
      </c>
      <c r="AC18" s="1810">
        <v>1</v>
      </c>
    </row>
    <row r="19" spans="1:29" ht="42.75">
      <c r="A19" s="427"/>
      <c r="B19" s="450" t="s">
        <v>2690</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442"/>
      <c r="Q19" s="1809" t="str">
        <f>B19</f>
        <v>公共配套设施</v>
      </c>
      <c r="R19" s="771" t="s">
        <v>17</v>
      </c>
      <c r="S19" s="772">
        <f>F19</f>
        <v>100</v>
      </c>
      <c r="T19" s="771" t="s">
        <v>17</v>
      </c>
      <c r="U19" s="772">
        <f>H19</f>
        <v>100</v>
      </c>
      <c r="V19" s="771" t="s">
        <v>17</v>
      </c>
      <c r="W19" s="772">
        <f>J19</f>
        <v>100</v>
      </c>
      <c r="X19" s="1812"/>
      <c r="Y19" s="3442"/>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40"/>
      <c r="M20" s="1131"/>
      <c r="N20" s="1131"/>
      <c r="O20" s="1139"/>
      <c r="P20" s="3442"/>
      <c r="Q20" s="1809"/>
      <c r="R20" s="771"/>
      <c r="S20" s="772"/>
      <c r="T20" s="771"/>
      <c r="U20" s="772"/>
      <c r="V20" s="771"/>
      <c r="W20" s="772"/>
      <c r="X20" s="1812"/>
      <c r="Y20" s="3442"/>
      <c r="Z20" s="1813"/>
      <c r="AA20" s="1810">
        <v>1</v>
      </c>
      <c r="AB20" s="1810">
        <v>1</v>
      </c>
      <c r="AC20" s="1810">
        <v>1</v>
      </c>
    </row>
    <row r="21" spans="1:29" ht="28.5">
      <c r="A21" s="427"/>
      <c r="B21" s="1383" t="s">
        <v>2691</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442"/>
      <c r="Q21" s="1809" t="str">
        <f>B21</f>
        <v>基础设施水平</v>
      </c>
      <c r="R21" s="771" t="s">
        <v>17</v>
      </c>
      <c r="S21" s="772">
        <f>F21</f>
        <v>100</v>
      </c>
      <c r="T21" s="771" t="s">
        <v>17</v>
      </c>
      <c r="U21" s="772">
        <f>H21</f>
        <v>100</v>
      </c>
      <c r="V21" s="771" t="s">
        <v>17</v>
      </c>
      <c r="W21" s="772">
        <f>J21</f>
        <v>100</v>
      </c>
      <c r="X21" s="1812"/>
      <c r="Y21" s="3442"/>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40"/>
      <c r="M22" s="1131"/>
      <c r="N22" s="1131"/>
      <c r="O22" s="1139"/>
      <c r="P22" s="3442"/>
      <c r="Q22" s="1809"/>
      <c r="R22" s="771"/>
      <c r="S22" s="772"/>
      <c r="T22" s="771"/>
      <c r="U22" s="772"/>
      <c r="V22" s="771"/>
      <c r="W22" s="772"/>
      <c r="X22" s="1812"/>
      <c r="Y22" s="3442"/>
      <c r="Z22" s="1813"/>
      <c r="AA22" s="1810">
        <v>1</v>
      </c>
      <c r="AB22" s="1810">
        <v>1</v>
      </c>
      <c r="AC22" s="1810">
        <v>1</v>
      </c>
    </row>
    <row r="23" spans="1:29" ht="71.25">
      <c r="A23" s="427"/>
      <c r="B23" s="450" t="s">
        <v>2692</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442"/>
      <c r="Q23" s="1809" t="str">
        <f>B23</f>
        <v>环境质量</v>
      </c>
      <c r="R23" s="771" t="s">
        <v>17</v>
      </c>
      <c r="S23" s="772">
        <f>F23</f>
        <v>100</v>
      </c>
      <c r="T23" s="771" t="s">
        <v>17</v>
      </c>
      <c r="U23" s="772">
        <f>H23</f>
        <v>100</v>
      </c>
      <c r="V23" s="771" t="s">
        <v>17</v>
      </c>
      <c r="W23" s="772">
        <f>J23</f>
        <v>100</v>
      </c>
      <c r="X23" s="1812"/>
      <c r="Y23" s="3442"/>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40"/>
      <c r="M24" s="1131"/>
      <c r="N24" s="1131"/>
      <c r="O24" s="1139"/>
      <c r="P24" s="3442"/>
      <c r="Q24" s="1809"/>
      <c r="R24" s="771"/>
      <c r="S24" s="772"/>
      <c r="T24" s="771"/>
      <c r="U24" s="772"/>
      <c r="V24" s="771"/>
      <c r="W24" s="772"/>
      <c r="X24" s="1812"/>
      <c r="Y24" s="3442"/>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442"/>
      <c r="Q25" s="1809">
        <f>B25</f>
        <v>111</v>
      </c>
      <c r="R25" s="771" t="s">
        <v>17</v>
      </c>
      <c r="S25" s="772">
        <f>F25</f>
        <v>100</v>
      </c>
      <c r="T25" s="771" t="s">
        <v>17</v>
      </c>
      <c r="U25" s="772">
        <f>H25</f>
        <v>100</v>
      </c>
      <c r="V25" s="771" t="s">
        <v>17</v>
      </c>
      <c r="W25" s="772">
        <f>J25</f>
        <v>100</v>
      </c>
      <c r="X25" s="1812"/>
      <c r="Y25" s="3442"/>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442"/>
      <c r="Q26" s="1809">
        <f t="shared" ref="Q26:Q40" si="11">B26</f>
        <v>111</v>
      </c>
      <c r="R26" s="771" t="s">
        <v>17</v>
      </c>
      <c r="S26" s="772">
        <f>F26</f>
        <v>100</v>
      </c>
      <c r="T26" s="771" t="s">
        <v>17</v>
      </c>
      <c r="U26" s="772">
        <f>H26</f>
        <v>100</v>
      </c>
      <c r="V26" s="771" t="s">
        <v>17</v>
      </c>
      <c r="W26" s="772">
        <f>J26</f>
        <v>100</v>
      </c>
      <c r="X26" s="1812"/>
      <c r="Y26" s="3442"/>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442"/>
      <c r="Q27" s="1794">
        <f t="shared" si="11"/>
        <v>111</v>
      </c>
      <c r="R27" s="767" t="s">
        <v>17</v>
      </c>
      <c r="S27" s="768">
        <f>F27</f>
        <v>100</v>
      </c>
      <c r="T27" s="767" t="s">
        <v>17</v>
      </c>
      <c r="U27" s="768">
        <f>H27</f>
        <v>100</v>
      </c>
      <c r="V27" s="767" t="s">
        <v>17</v>
      </c>
      <c r="W27" s="768">
        <f>J27</f>
        <v>100</v>
      </c>
      <c r="X27" s="769"/>
      <c r="Y27" s="3442"/>
      <c r="Z27" s="54">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442"/>
      <c r="Q28" s="1809">
        <f t="shared" si="11"/>
        <v>111</v>
      </c>
      <c r="R28" s="771" t="s">
        <v>17</v>
      </c>
      <c r="S28" s="772">
        <f t="shared" ref="S28:S40" si="12">F28</f>
        <v>100</v>
      </c>
      <c r="T28" s="771" t="s">
        <v>17</v>
      </c>
      <c r="U28" s="772">
        <f t="shared" ref="U28:U40" si="13">H28</f>
        <v>100</v>
      </c>
      <c r="V28" s="771" t="s">
        <v>17</v>
      </c>
      <c r="W28" s="772">
        <f t="shared" ref="W28:W40" si="14">J28</f>
        <v>100</v>
      </c>
      <c r="X28" s="1812"/>
      <c r="Y28" s="3442"/>
      <c r="Z28" s="1813">
        <f t="shared" ref="Z28:Z40" si="15">Q28</f>
        <v>111</v>
      </c>
      <c r="AA28" s="1810">
        <f t="shared" si="3"/>
        <v>1</v>
      </c>
      <c r="AB28" s="1810">
        <f t="shared" si="4"/>
        <v>1</v>
      </c>
      <c r="AC28" s="1810">
        <f t="shared" si="5"/>
        <v>1</v>
      </c>
    </row>
    <row r="29" spans="1:29" ht="28.5">
      <c r="A29" s="465" t="s">
        <v>2565</v>
      </c>
      <c r="B29" s="70" t="s">
        <v>2695</v>
      </c>
      <c r="C29" s="2677"/>
      <c r="D29" s="466">
        <v>100</v>
      </c>
      <c r="E29" s="2677"/>
      <c r="F29" s="460">
        <f>SUMIF(88:88,E29,89:89)-SUMIF(88:88,C29,89:89)+100</f>
        <v>100</v>
      </c>
      <c r="G29" s="2677"/>
      <c r="H29" s="434">
        <f>SUMIF(88:88,G29,89:89)-SUMIF(88:88,C29,89:89)+100</f>
        <v>100</v>
      </c>
      <c r="I29" s="2677"/>
      <c r="J29" s="466">
        <f>SUMIF(88:88,I29,89:89)-SUMIF(88:88,C29,89:89)+100</f>
        <v>100</v>
      </c>
      <c r="K29" s="611"/>
      <c r="L29" s="1140"/>
      <c r="M29" s="1131"/>
      <c r="N29" s="1131"/>
      <c r="O29" s="1139"/>
      <c r="P29" s="3528" t="s">
        <v>2567</v>
      </c>
      <c r="Q29" s="1809" t="str">
        <f t="shared" si="11"/>
        <v>建筑类型</v>
      </c>
      <c r="R29" s="771" t="s">
        <v>17</v>
      </c>
      <c r="S29" s="772">
        <f t="shared" si="12"/>
        <v>100</v>
      </c>
      <c r="T29" s="771" t="s">
        <v>17</v>
      </c>
      <c r="U29" s="772">
        <f t="shared" si="13"/>
        <v>100</v>
      </c>
      <c r="V29" s="771" t="s">
        <v>17</v>
      </c>
      <c r="W29" s="772">
        <f t="shared" si="14"/>
        <v>100</v>
      </c>
      <c r="X29" s="1812"/>
      <c r="Y29" s="3446" t="s">
        <v>2567</v>
      </c>
      <c r="Z29" s="1813" t="str">
        <f t="shared" si="15"/>
        <v>建筑类型</v>
      </c>
      <c r="AA29" s="1810">
        <f t="shared" si="3"/>
        <v>1</v>
      </c>
      <c r="AB29" s="1810">
        <f t="shared" si="4"/>
        <v>1</v>
      </c>
      <c r="AC29" s="1810">
        <f t="shared" si="5"/>
        <v>1</v>
      </c>
    </row>
    <row r="30" spans="1:29" s="470" customFormat="1" ht="15">
      <c r="A30" s="467"/>
      <c r="B30" s="421" t="s">
        <v>2568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446"/>
      <c r="Q30" s="773" t="str">
        <f t="shared" si="11"/>
        <v>项目建筑规模</v>
      </c>
      <c r="R30" s="774" t="s">
        <v>17</v>
      </c>
      <c r="S30" s="775" t="e">
        <f t="shared" si="12"/>
        <v>#N/A</v>
      </c>
      <c r="T30" s="774" t="s">
        <v>17</v>
      </c>
      <c r="U30" s="775" t="e">
        <f t="shared" si="13"/>
        <v>#N/A</v>
      </c>
      <c r="V30" s="774" t="s">
        <v>17</v>
      </c>
      <c r="W30" s="775" t="e">
        <f t="shared" si="14"/>
        <v>#N/A</v>
      </c>
      <c r="X30" s="776"/>
      <c r="Y30" s="3446"/>
      <c r="Z30" s="777" t="str">
        <f t="shared" si="15"/>
        <v>项目建筑规模</v>
      </c>
      <c r="AA30" s="1810" t="e">
        <f t="shared" si="3"/>
        <v>#N/A</v>
      </c>
      <c r="AB30" s="1810" t="e">
        <f t="shared" si="4"/>
        <v>#N/A</v>
      </c>
      <c r="AC30" s="1810" t="e">
        <f t="shared" si="5"/>
        <v>#N/A</v>
      </c>
    </row>
    <row r="31" spans="1:29" ht="15">
      <c r="A31" s="471"/>
      <c r="B31" s="421" t="s">
        <v>2569</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446"/>
      <c r="Q31" s="1809" t="str">
        <f t="shared" si="11"/>
        <v>建筑结构</v>
      </c>
      <c r="R31" s="771" t="s">
        <v>17</v>
      </c>
      <c r="S31" s="772">
        <f t="shared" si="12"/>
        <v>100</v>
      </c>
      <c r="T31" s="771" t="s">
        <v>17</v>
      </c>
      <c r="U31" s="772">
        <f t="shared" si="13"/>
        <v>100</v>
      </c>
      <c r="V31" s="771" t="s">
        <v>17</v>
      </c>
      <c r="W31" s="772">
        <f t="shared" si="14"/>
        <v>100</v>
      </c>
      <c r="X31" s="1812"/>
      <c r="Y31" s="3446"/>
      <c r="Z31" s="1813" t="str">
        <f t="shared" si="15"/>
        <v>建筑结构</v>
      </c>
      <c r="AA31" s="1810">
        <f t="shared" si="3"/>
        <v>1</v>
      </c>
      <c r="AB31" s="1810">
        <f t="shared" si="4"/>
        <v>1</v>
      </c>
      <c r="AC31" s="1810">
        <f t="shared" si="5"/>
        <v>1</v>
      </c>
    </row>
    <row r="32" spans="1:29" ht="15">
      <c r="A32" s="471"/>
      <c r="B32" s="421" t="s">
        <v>2663</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446"/>
      <c r="Q32" s="1809" t="str">
        <f t="shared" si="11"/>
        <v>公共部分装修</v>
      </c>
      <c r="R32" s="771" t="s">
        <v>17</v>
      </c>
      <c r="S32" s="772">
        <f t="shared" si="12"/>
        <v>100</v>
      </c>
      <c r="T32" s="771" t="s">
        <v>17</v>
      </c>
      <c r="U32" s="772">
        <f t="shared" si="13"/>
        <v>100</v>
      </c>
      <c r="V32" s="771" t="s">
        <v>17</v>
      </c>
      <c r="W32" s="772">
        <f t="shared" si="14"/>
        <v>100</v>
      </c>
      <c r="X32" s="1812"/>
      <c r="Y32" s="3446"/>
      <c r="Z32" s="1813" t="str">
        <f t="shared" si="15"/>
        <v>公共部分装修</v>
      </c>
      <c r="AA32" s="1810">
        <f t="shared" si="3"/>
        <v>1</v>
      </c>
      <c r="AB32" s="1810">
        <f t="shared" si="4"/>
        <v>1</v>
      </c>
      <c r="AC32" s="1810">
        <f t="shared" si="5"/>
        <v>1</v>
      </c>
    </row>
    <row r="33" spans="1:29" ht="15">
      <c r="A33" s="471"/>
      <c r="B33" s="421" t="s">
        <v>2664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446"/>
      <c r="Q33" s="1809" t="str">
        <f t="shared" si="11"/>
        <v>成新度</v>
      </c>
      <c r="R33" s="771" t="s">
        <v>17</v>
      </c>
      <c r="S33" s="772" t="e">
        <f t="shared" si="12"/>
        <v>#N/A</v>
      </c>
      <c r="T33" s="771" t="s">
        <v>17</v>
      </c>
      <c r="U33" s="772" t="e">
        <f t="shared" si="13"/>
        <v>#N/A</v>
      </c>
      <c r="V33" s="771" t="s">
        <v>17</v>
      </c>
      <c r="W33" s="772" t="e">
        <f t="shared" si="14"/>
        <v>#N/A</v>
      </c>
      <c r="X33" s="1812"/>
      <c r="Y33" s="3446"/>
      <c r="Z33" s="1813" t="str">
        <f t="shared" si="15"/>
        <v>成新度</v>
      </c>
      <c r="AA33" s="1810" t="e">
        <f t="shared" si="3"/>
        <v>#N/A</v>
      </c>
      <c r="AB33" s="1810" t="e">
        <f t="shared" si="4"/>
        <v>#N/A</v>
      </c>
      <c r="AC33" s="1810" t="e">
        <f t="shared" si="5"/>
        <v>#N/A</v>
      </c>
    </row>
    <row r="34" spans="1:29" s="116" customFormat="1" ht="15">
      <c r="A34" s="472"/>
      <c r="B34" s="421" t="s">
        <v>2697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446"/>
      <c r="Q34" s="1794" t="str">
        <f t="shared" si="11"/>
        <v>物业管理</v>
      </c>
      <c r="R34" s="767" t="s">
        <v>17</v>
      </c>
      <c r="S34" s="768">
        <f t="shared" si="12"/>
        <v>100</v>
      </c>
      <c r="T34" s="767" t="s">
        <v>17</v>
      </c>
      <c r="U34" s="768">
        <f t="shared" si="13"/>
        <v>100</v>
      </c>
      <c r="V34" s="767" t="s">
        <v>17</v>
      </c>
      <c r="W34" s="768">
        <f t="shared" si="14"/>
        <v>100</v>
      </c>
      <c r="X34" s="769"/>
      <c r="Y34" s="3446"/>
      <c r="Z34" s="54" t="str">
        <f t="shared" si="15"/>
        <v>物业管理</v>
      </c>
      <c r="AA34" s="770">
        <f t="shared" si="3"/>
        <v>1</v>
      </c>
      <c r="AB34" s="770">
        <f t="shared" si="4"/>
        <v>1</v>
      </c>
      <c r="AC34" s="770">
        <f t="shared" si="5"/>
        <v>1</v>
      </c>
    </row>
    <row r="35" spans="1:29" ht="15">
      <c r="A35" s="471"/>
      <c r="B35" s="421" t="s">
        <v>2665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446" t="s">
        <v>2567</v>
      </c>
      <c r="Q35" s="1809" t="str">
        <f t="shared" si="11"/>
        <v>市政基础设施</v>
      </c>
      <c r="R35" s="771" t="s">
        <v>17</v>
      </c>
      <c r="S35" s="772">
        <f t="shared" si="12"/>
        <v>100</v>
      </c>
      <c r="T35" s="771" t="s">
        <v>17</v>
      </c>
      <c r="U35" s="772">
        <f t="shared" si="13"/>
        <v>100</v>
      </c>
      <c r="V35" s="771" t="s">
        <v>17</v>
      </c>
      <c r="W35" s="772">
        <f t="shared" si="14"/>
        <v>100</v>
      </c>
      <c r="X35" s="1812"/>
      <c r="Y35" s="3446" t="s">
        <v>2567</v>
      </c>
      <c r="Z35" s="1813" t="str">
        <f t="shared" si="15"/>
        <v>市政基础设施</v>
      </c>
      <c r="AA35" s="1810">
        <f t="shared" si="3"/>
        <v>1</v>
      </c>
      <c r="AB35" s="1810">
        <f t="shared" si="4"/>
        <v>1</v>
      </c>
      <c r="AC35" s="1810">
        <f t="shared" si="5"/>
        <v>1</v>
      </c>
    </row>
    <row r="36" spans="1:29" ht="15">
      <c r="A36" s="471"/>
      <c r="B36" s="421" t="s">
        <v>2670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446"/>
      <c r="Q36" s="1809" t="str">
        <f t="shared" si="11"/>
        <v>内部装修</v>
      </c>
      <c r="R36" s="771" t="s">
        <v>17</v>
      </c>
      <c r="S36" s="772">
        <f t="shared" si="12"/>
        <v>100</v>
      </c>
      <c r="T36" s="771" t="s">
        <v>17</v>
      </c>
      <c r="U36" s="772">
        <f t="shared" si="13"/>
        <v>100</v>
      </c>
      <c r="V36" s="771" t="s">
        <v>17</v>
      </c>
      <c r="W36" s="772">
        <f t="shared" si="14"/>
        <v>100</v>
      </c>
      <c r="X36" s="1812"/>
      <c r="Y36" s="3446"/>
      <c r="Z36" s="1813" t="str">
        <f t="shared" si="15"/>
        <v>内部装修</v>
      </c>
      <c r="AA36" s="1810">
        <f t="shared" si="3"/>
        <v>1</v>
      </c>
      <c r="AB36" s="1810">
        <f t="shared" si="4"/>
        <v>1</v>
      </c>
      <c r="AC36" s="1810">
        <f t="shared" si="5"/>
        <v>1</v>
      </c>
    </row>
    <row r="37" spans="1:29" ht="15">
      <c r="A37" s="471"/>
      <c r="B37" s="421" t="s">
        <v>2706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446"/>
      <c r="Q37" s="1809" t="str">
        <f t="shared" si="11"/>
        <v>内部装修状况</v>
      </c>
      <c r="R37" s="771" t="s">
        <v>17</v>
      </c>
      <c r="S37" s="772">
        <f t="shared" si="12"/>
        <v>100</v>
      </c>
      <c r="T37" s="771" t="s">
        <v>17</v>
      </c>
      <c r="U37" s="772">
        <f t="shared" si="13"/>
        <v>100</v>
      </c>
      <c r="V37" s="771" t="s">
        <v>17</v>
      </c>
      <c r="W37" s="772">
        <f t="shared" si="14"/>
        <v>100</v>
      </c>
      <c r="X37" s="1812"/>
      <c r="Y37" s="3446"/>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446"/>
      <c r="Q38" s="773">
        <f t="shared" si="11"/>
        <v>111</v>
      </c>
      <c r="R38" s="774" t="s">
        <v>17</v>
      </c>
      <c r="S38" s="775">
        <f t="shared" si="12"/>
        <v>100</v>
      </c>
      <c r="T38" s="774" t="s">
        <v>17</v>
      </c>
      <c r="U38" s="775">
        <f t="shared" si="13"/>
        <v>100</v>
      </c>
      <c r="V38" s="774" t="s">
        <v>17</v>
      </c>
      <c r="W38" s="775">
        <f t="shared" si="14"/>
        <v>100</v>
      </c>
      <c r="X38" s="776"/>
      <c r="Y38" s="3446"/>
      <c r="Z38" s="777">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446"/>
      <c r="Q39" s="1809">
        <f t="shared" si="11"/>
        <v>111</v>
      </c>
      <c r="R39" s="771" t="s">
        <v>17</v>
      </c>
      <c r="S39" s="772">
        <f t="shared" si="12"/>
        <v>100</v>
      </c>
      <c r="T39" s="771" t="s">
        <v>17</v>
      </c>
      <c r="U39" s="772">
        <f t="shared" si="13"/>
        <v>100</v>
      </c>
      <c r="V39" s="771" t="s">
        <v>17</v>
      </c>
      <c r="W39" s="772">
        <f t="shared" si="14"/>
        <v>100</v>
      </c>
      <c r="X39" s="1812"/>
      <c r="Y39" s="3446"/>
      <c r="Z39" s="1813">
        <f t="shared" si="15"/>
        <v>111</v>
      </c>
      <c r="AA39" s="1810">
        <f t="shared" si="3"/>
        <v>1</v>
      </c>
      <c r="AB39" s="1810">
        <f t="shared" si="4"/>
        <v>1</v>
      </c>
      <c r="AC39" s="1810">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447"/>
      <c r="Q40" s="1809">
        <f t="shared" si="11"/>
        <v>111</v>
      </c>
      <c r="R40" s="771" t="s">
        <v>17</v>
      </c>
      <c r="S40" s="772">
        <f t="shared" si="12"/>
        <v>100</v>
      </c>
      <c r="T40" s="771" t="s">
        <v>17</v>
      </c>
      <c r="U40" s="772">
        <f t="shared" si="13"/>
        <v>100</v>
      </c>
      <c r="V40" s="771" t="s">
        <v>17</v>
      </c>
      <c r="W40" s="772">
        <f t="shared" si="14"/>
        <v>100</v>
      </c>
      <c r="X40" s="1812"/>
      <c r="Y40" s="3447"/>
      <c r="Z40" s="1813">
        <f t="shared" si="15"/>
        <v>111</v>
      </c>
      <c r="AA40" s="1810">
        <f t="shared" si="3"/>
        <v>1</v>
      </c>
      <c r="AB40" s="1810">
        <f t="shared" si="4"/>
        <v>1</v>
      </c>
      <c r="AC40" s="1810">
        <f t="shared" si="5"/>
        <v>1</v>
      </c>
    </row>
    <row r="41" spans="1:29" ht="15">
      <c r="A41" s="478" t="s">
        <v>2579</v>
      </c>
      <c r="B41" s="479"/>
      <c r="C41" s="1406" t="s">
        <v>1</v>
      </c>
      <c r="D41" s="1407"/>
      <c r="E41" s="1408"/>
      <c r="F41" s="1409"/>
      <c r="G41" s="1410"/>
      <c r="H41" s="1411"/>
      <c r="I41" s="1408"/>
      <c r="J41" s="1411"/>
      <c r="K41" s="780"/>
      <c r="L41" s="1143"/>
      <c r="M41" s="1144"/>
      <c r="N41" s="1131"/>
      <c r="O41" s="1144"/>
      <c r="P41" s="3434" t="str">
        <f>A41</f>
        <v>成交单价（元/平方米）</v>
      </c>
      <c r="Q41" s="3434"/>
      <c r="R41" s="3435">
        <f>E41</f>
        <v>0</v>
      </c>
      <c r="S41" s="3435"/>
      <c r="T41" s="3435">
        <f>G41</f>
        <v>0</v>
      </c>
      <c r="U41" s="3435"/>
      <c r="V41" s="3435">
        <f>I41</f>
        <v>0</v>
      </c>
      <c r="W41" s="3435"/>
      <c r="X41" s="756"/>
      <c r="Y41" s="778"/>
      <c r="Z41" s="756"/>
      <c r="AA41" s="756"/>
      <c r="AB41" s="756"/>
      <c r="AC41" s="756"/>
    </row>
    <row r="42" spans="1:29" ht="15.75" thickBot="1">
      <c r="A42" s="485" t="s">
        <v>2671</v>
      </c>
      <c r="B42" s="486"/>
      <c r="C42" s="1412" t="e">
        <f>R43</f>
        <v>#DIV/0!</v>
      </c>
      <c r="D42" s="1413"/>
      <c r="E42" s="1414" t="e">
        <f>R42</f>
        <v>#DIV/0!</v>
      </c>
      <c r="F42" s="1414"/>
      <c r="G42" s="1412" t="e">
        <f>T42</f>
        <v>#DIV/0!</v>
      </c>
      <c r="H42" s="1413"/>
      <c r="I42" s="1414" t="e">
        <f>V42</f>
        <v>#DIV/0!</v>
      </c>
      <c r="J42" s="1413"/>
      <c r="K42" s="781"/>
      <c r="L42" s="1143"/>
      <c r="M42" s="1144"/>
      <c r="N42" s="1131"/>
      <c r="O42" s="1144"/>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756"/>
      <c r="Y42" s="756"/>
      <c r="Z42" s="756"/>
      <c r="AA42" s="756"/>
      <c r="AB42" s="756"/>
      <c r="AC42" s="756"/>
    </row>
    <row r="43" spans="1:29" ht="15.75" thickBot="1">
      <c r="A43" s="491" t="s">
        <v>2672</v>
      </c>
      <c r="B43" s="492"/>
      <c r="C43" s="1416" t="e">
        <f>R43</f>
        <v>#DIV/0!</v>
      </c>
      <c r="D43" s="1416"/>
      <c r="E43" s="1416"/>
      <c r="F43" s="1416"/>
      <c r="G43" s="1416"/>
      <c r="H43" s="1416"/>
      <c r="I43" s="1416"/>
      <c r="J43" s="1416"/>
      <c r="K43" s="782"/>
      <c r="L43" s="1143"/>
      <c r="M43" s="1144"/>
      <c r="N43" s="1144"/>
      <c r="O43" s="1144"/>
      <c r="P43" s="3495" t="str">
        <f>A43</f>
        <v>估价对象XX用房的比较价值（楼面单价，元/平方米）</v>
      </c>
      <c r="Q43" s="3496"/>
      <c r="R43" s="3497" t="e">
        <f>IF(F1="售价",ROUND(AVERAGE(R42:V42),0),ROUND(AVERAGE(R42:V42),1))</f>
        <v>#DIV/0!</v>
      </c>
      <c r="S43" s="3497"/>
      <c r="T43" s="3497"/>
      <c r="U43" s="3497"/>
      <c r="V43" s="3497"/>
      <c r="W43" s="3497"/>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2676</v>
      </c>
      <c r="B51" s="756"/>
      <c r="C51" s="761"/>
      <c r="D51" s="761"/>
      <c r="E51" s="761"/>
      <c r="F51" s="762"/>
      <c r="G51" s="762"/>
      <c r="H51" s="761"/>
      <c r="I51" s="761"/>
      <c r="J51" s="761"/>
      <c r="K51" s="1160"/>
      <c r="L51" s="1161"/>
      <c r="M51" s="1159"/>
      <c r="N51" s="1159"/>
      <c r="O51" s="1159"/>
      <c r="P51" s="502"/>
      <c r="Q51" s="503"/>
    </row>
    <row r="52" spans="1:17" s="507" customFormat="1" ht="15">
      <c r="A52" s="504" t="s">
        <v>2550</v>
      </c>
      <c r="B52" s="505"/>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2587</v>
      </c>
      <c r="B54" s="515"/>
      <c r="C54" s="516"/>
      <c r="D54" s="517"/>
      <c r="E54" s="517"/>
      <c r="F54" s="517"/>
      <c r="G54" s="517"/>
      <c r="H54" s="517"/>
      <c r="I54" s="517"/>
      <c r="J54" s="517"/>
      <c r="K54" s="517"/>
      <c r="L54" s="517"/>
      <c r="M54" s="518"/>
      <c r="N54" s="517"/>
      <c r="O54" s="519"/>
      <c r="P54" s="503"/>
      <c r="Q54" s="503"/>
    </row>
    <row r="55" spans="1:17" s="116" customFormat="1" ht="15">
      <c r="A55" s="520" t="s">
        <v>2552</v>
      </c>
      <c r="B55" s="509"/>
      <c r="C55" s="521" t="s">
        <v>2654</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2590</v>
      </c>
      <c r="B57" s="527" t="s">
        <v>2556</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2559</v>
      </c>
      <c r="C59" s="538" t="s">
        <v>2591</v>
      </c>
      <c r="D59" s="538" t="s">
        <v>2592</v>
      </c>
      <c r="E59" s="538" t="s">
        <v>2593</v>
      </c>
      <c r="F59" s="538" t="s">
        <v>2594</v>
      </c>
      <c r="G59" s="538" t="s">
        <v>2595</v>
      </c>
      <c r="H59" s="538" t="s">
        <v>2596</v>
      </c>
      <c r="I59" s="538" t="s">
        <v>2597</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2560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2561</v>
      </c>
      <c r="B70" s="527" t="s">
        <v>2707</v>
      </c>
      <c r="C70" s="572" t="s">
        <v>2599</v>
      </c>
      <c r="D70" s="572" t="s">
        <v>2600</v>
      </c>
      <c r="E70" s="572" t="s">
        <v>2601</v>
      </c>
      <c r="F70" s="572" t="s">
        <v>2602</v>
      </c>
      <c r="G70" s="572" t="s">
        <v>2603</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2604</v>
      </c>
      <c r="C72" s="577" t="s">
        <v>2599</v>
      </c>
      <c r="D72" s="577" t="s">
        <v>2600</v>
      </c>
      <c r="E72" s="577" t="s">
        <v>2601</v>
      </c>
      <c r="F72" s="577" t="s">
        <v>2602</v>
      </c>
      <c r="G72" s="577" t="s">
        <v>2603</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2605</v>
      </c>
      <c r="C74" s="577" t="s">
        <v>2599</v>
      </c>
      <c r="D74" s="577" t="s">
        <v>2600</v>
      </c>
      <c r="E74" s="577" t="s">
        <v>2601</v>
      </c>
      <c r="F74" s="577" t="s">
        <v>2602</v>
      </c>
      <c r="G74" s="577" t="s">
        <v>2603</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2691</v>
      </c>
      <c r="C76" s="659" t="s">
        <v>2677</v>
      </c>
      <c r="D76" s="659" t="s">
        <v>2678</v>
      </c>
      <c r="E76" s="659" t="s">
        <v>2679</v>
      </c>
      <c r="F76" s="659" t="s">
        <v>2680</v>
      </c>
      <c r="G76" s="659" t="s">
        <v>2681</v>
      </c>
      <c r="H76" s="538"/>
      <c r="I76" s="538"/>
      <c r="J76" s="538"/>
      <c r="K76" s="538"/>
      <c r="L76" s="538"/>
      <c r="M76" s="1381"/>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2700</v>
      </c>
      <c r="C78" s="577" t="s">
        <v>2599</v>
      </c>
      <c r="D78" s="577" t="s">
        <v>2600</v>
      </c>
      <c r="E78" s="577" t="s">
        <v>2601</v>
      </c>
      <c r="F78" s="577" t="s">
        <v>2602</v>
      </c>
      <c r="G78" s="577" t="s">
        <v>2603</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4"/>
      <c r="B87" s="568"/>
      <c r="C87" s="569"/>
      <c r="D87" s="569"/>
      <c r="E87" s="569"/>
      <c r="F87" s="569"/>
      <c r="G87" s="590"/>
      <c r="H87" s="590"/>
      <c r="I87" s="590"/>
      <c r="J87" s="590"/>
      <c r="K87" s="590"/>
      <c r="L87" s="590"/>
      <c r="M87" s="591"/>
      <c r="N87" s="1153"/>
      <c r="O87" s="1153"/>
      <c r="P87" s="44"/>
      <c r="Q87" s="503"/>
    </row>
    <row r="88" spans="1:17">
      <c r="A88" s="526" t="s">
        <v>2565</v>
      </c>
      <c r="B88" s="527" t="s">
        <v>2614</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2615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2616</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2618</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2619</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2620</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2622</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2708</v>
      </c>
      <c r="C106" s="577" t="s">
        <v>2599</v>
      </c>
      <c r="D106" s="577" t="s">
        <v>2600</v>
      </c>
      <c r="E106" s="577" t="s">
        <v>2601</v>
      </c>
      <c r="F106" s="577" t="s">
        <v>2602</v>
      </c>
      <c r="G106" s="577" t="s">
        <v>2603</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4"/>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2709</v>
      </c>
      <c r="B1" s="1618"/>
      <c r="C1" s="1619" t="s">
        <v>2532</v>
      </c>
      <c r="D1" s="1620"/>
      <c r="E1" s="1621"/>
      <c r="F1" s="2582"/>
      <c r="G1" s="1622" t="s">
        <v>2645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2329</v>
      </c>
      <c r="B2" s="1417" t="e">
        <f ca="1">IF(C2="——",IF(B37="元/平方米",ROUND(C39*D3/10000,0),ROUND(F3*C39/10000,0)),IF(B37="元/平方米",ROUND(C39*D3/10000,0),ROUND(F3*C39/10000,0))-D2)</f>
        <v>#DIV/0!</v>
      </c>
      <c r="C2" s="2584"/>
      <c r="D2" s="1124" t="e">
        <f ca="1">SUMIF(INDIRECT("'"&amp;F2&amp;"'"&amp;"!A:A"),"承租人权益价值",INDIRECT("'"&amp;F2&amp;"'"&amp;"!c:c"))</f>
        <v>#REF!</v>
      </c>
      <c r="E2" s="2585" t="s">
        <v>2330</v>
      </c>
      <c r="F2" s="2586"/>
      <c r="G2" s="1125"/>
      <c r="H2" s="1125"/>
      <c r="I2" s="1125"/>
      <c r="J2" s="1125"/>
      <c r="K2" s="1127"/>
      <c r="L2" s="1128"/>
      <c r="M2" s="1129"/>
      <c r="N2" s="1129"/>
      <c r="O2" s="1129"/>
      <c r="P2" s="1418"/>
      <c r="Q2" s="765"/>
      <c r="R2" s="765"/>
      <c r="S2" s="765"/>
      <c r="T2" s="765"/>
      <c r="U2" s="765"/>
      <c r="V2" s="765"/>
      <c r="W2" s="765"/>
      <c r="X2" s="765"/>
      <c r="Y2" s="765"/>
      <c r="Z2" s="765"/>
      <c r="AA2" s="765"/>
      <c r="AB2" s="765"/>
      <c r="AC2" s="766"/>
    </row>
    <row r="3" spans="1:29" s="397" customFormat="1" ht="28.5" customHeight="1" thickBot="1">
      <c r="A3" s="246" t="s">
        <v>2331</v>
      </c>
      <c r="B3" s="608" t="e">
        <f ca="1">IF(AND(C2="——",B37="元/平方米"),C39,ROUND(B2*10000/D3,0))</f>
        <v>#DIV/0!</v>
      </c>
      <c r="C3" s="399" t="s">
        <v>2646</v>
      </c>
      <c r="D3" s="398">
        <f>SUMIF('数据-汇总表'!$C19:$C33,D1,'数据-汇总表'!$E19:$E33)</f>
        <v>0</v>
      </c>
      <c r="E3" s="399" t="s">
        <v>2710</v>
      </c>
      <c r="F3" s="398">
        <f>SUMIF('数据-取费表'!A5:A15,D1,'数据-取费表'!AH5:AH15)</f>
        <v>0</v>
      </c>
      <c r="G3" s="1125"/>
      <c r="H3" s="1125"/>
      <c r="I3" s="1125"/>
      <c r="J3" s="1125"/>
      <c r="K3" s="1127"/>
      <c r="L3" s="1128"/>
      <c r="M3" s="1129"/>
      <c r="N3" s="1129"/>
      <c r="O3" s="1129"/>
      <c r="P3" s="1418"/>
      <c r="Q3" s="765"/>
      <c r="R3" s="765"/>
      <c r="S3" s="765"/>
      <c r="T3" s="765"/>
      <c r="U3" s="765"/>
      <c r="V3" s="765"/>
      <c r="W3" s="765"/>
      <c r="X3" s="765"/>
      <c r="Y3" s="765"/>
      <c r="Z3" s="765"/>
      <c r="AA3" s="765"/>
      <c r="AB3" s="783"/>
      <c r="AC3" s="779"/>
    </row>
    <row r="4" spans="1:29" ht="15">
      <c r="A4" s="400" t="s">
        <v>2647</v>
      </c>
      <c r="B4" s="401"/>
      <c r="C4" s="3451" t="s">
        <v>2648</v>
      </c>
      <c r="D4" s="3452"/>
      <c r="E4" s="3453" t="s">
        <v>2649</v>
      </c>
      <c r="F4" s="3454"/>
      <c r="G4" s="3451" t="s">
        <v>2650</v>
      </c>
      <c r="H4" s="3452"/>
      <c r="I4" s="3451" t="s">
        <v>2651</v>
      </c>
      <c r="J4" s="3452"/>
      <c r="K4" s="609" t="s">
        <v>2652</v>
      </c>
      <c r="L4" s="1130"/>
      <c r="M4" s="1131"/>
      <c r="N4" s="1131"/>
      <c r="O4" s="1131"/>
      <c r="P4" s="3499" t="s">
        <v>2653</v>
      </c>
      <c r="Q4" s="3500"/>
      <c r="R4" s="3503" t="s">
        <v>2649</v>
      </c>
      <c r="S4" s="3504"/>
      <c r="T4" s="3503" t="s">
        <v>2650</v>
      </c>
      <c r="U4" s="3504"/>
      <c r="V4" s="3468" t="s">
        <v>2651</v>
      </c>
      <c r="W4" s="3468"/>
      <c r="X4" s="1812"/>
      <c r="Y4" s="3503" t="s">
        <v>2653</v>
      </c>
      <c r="Z4" s="3504"/>
      <c r="AA4" s="3498" t="s">
        <v>2649</v>
      </c>
      <c r="AB4" s="3481" t="s">
        <v>2650</v>
      </c>
      <c r="AC4" s="3498" t="s">
        <v>2651</v>
      </c>
    </row>
    <row r="5" spans="1:29" ht="15">
      <c r="A5" s="403"/>
      <c r="B5" s="404"/>
      <c r="C5" s="3477" t="s">
        <v>2544</v>
      </c>
      <c r="D5" s="3472"/>
      <c r="E5" s="3526" t="s">
        <v>2545</v>
      </c>
      <c r="F5" s="3527"/>
      <c r="G5" s="3477" t="s">
        <v>2546</v>
      </c>
      <c r="H5" s="3472"/>
      <c r="I5" s="3477" t="s">
        <v>2547</v>
      </c>
      <c r="J5" s="3472"/>
      <c r="K5" s="609"/>
      <c r="L5" s="1130"/>
      <c r="M5" s="1131"/>
      <c r="N5" s="1131"/>
      <c r="O5" s="1131"/>
      <c r="P5" s="3501"/>
      <c r="Q5" s="3458"/>
      <c r="R5" s="3463"/>
      <c r="S5" s="3464"/>
      <c r="T5" s="3463"/>
      <c r="U5" s="3464"/>
      <c r="V5" s="3468"/>
      <c r="W5" s="3468"/>
      <c r="X5" s="1812"/>
      <c r="Y5" s="3463"/>
      <c r="Z5" s="3464"/>
      <c r="AA5" s="3481"/>
      <c r="AB5" s="3481"/>
      <c r="AC5" s="3481"/>
    </row>
    <row r="6" spans="1:29" ht="15.75" thickBot="1">
      <c r="A6" s="405"/>
      <c r="B6" s="406"/>
      <c r="C6" s="3469" t="s">
        <v>2548</v>
      </c>
      <c r="D6" s="3470"/>
      <c r="E6" s="3478" t="s">
        <v>2548</v>
      </c>
      <c r="F6" s="3479"/>
      <c r="G6" s="3469" t="s">
        <v>2548</v>
      </c>
      <c r="H6" s="3470"/>
      <c r="I6" s="3469" t="s">
        <v>2548</v>
      </c>
      <c r="J6" s="3470"/>
      <c r="K6" s="609" t="s">
        <v>2549</v>
      </c>
      <c r="L6" s="1130"/>
      <c r="M6" s="1131"/>
      <c r="N6" s="1131"/>
      <c r="O6" s="1131"/>
      <c r="P6" s="3502"/>
      <c r="Q6" s="3460"/>
      <c r="R6" s="3463"/>
      <c r="S6" s="3464"/>
      <c r="T6" s="3465"/>
      <c r="U6" s="3466"/>
      <c r="V6" s="3468"/>
      <c r="W6" s="3468"/>
      <c r="X6" s="1812"/>
      <c r="Y6" s="3465"/>
      <c r="Z6" s="3466"/>
      <c r="AA6" s="3482"/>
      <c r="AB6" s="3482"/>
      <c r="AC6" s="3482"/>
    </row>
    <row r="7" spans="1:29" s="116" customFormat="1" ht="15.75" thickBot="1">
      <c r="A7" s="407" t="s">
        <v>2550</v>
      </c>
      <c r="B7" s="408"/>
      <c r="C7" s="409">
        <f>'数据-取费表'!B2</f>
        <v>43553</v>
      </c>
      <c r="D7" s="410">
        <v>100</v>
      </c>
      <c r="E7" s="411"/>
      <c r="F7" s="412">
        <f>SUMIF(48:48,YEAR(E7)&amp;"-"&amp;MONTH(E7),49:49)</f>
        <v>0</v>
      </c>
      <c r="G7" s="411"/>
      <c r="H7" s="410">
        <f>SUMIF(48:48,YEAR(G7)&amp;"-"&amp;MONTH(G7),49:49)</f>
        <v>0</v>
      </c>
      <c r="I7" s="411"/>
      <c r="J7" s="410">
        <f>SUMIF(48:48,YEAR(I7)&amp;"-"&amp;MONTH(I7),49:49)</f>
        <v>0</v>
      </c>
      <c r="K7" s="610"/>
      <c r="L7" s="1132"/>
      <c r="M7" s="1133"/>
      <c r="N7" s="1133"/>
      <c r="O7" s="1133"/>
      <c r="P7" s="3475" t="s">
        <v>2551</v>
      </c>
      <c r="Q7" s="3476"/>
      <c r="R7" s="767" t="s">
        <v>17</v>
      </c>
      <c r="S7" s="768">
        <f t="shared" ref="S7:S14" si="0">F7</f>
        <v>0</v>
      </c>
      <c r="T7" s="767" t="s">
        <v>17</v>
      </c>
      <c r="U7" s="768">
        <f t="shared" ref="U7:U14" si="1">H7</f>
        <v>0</v>
      </c>
      <c r="V7" s="767" t="s">
        <v>17</v>
      </c>
      <c r="W7" s="768">
        <f t="shared" ref="W7:W14" si="2">J7</f>
        <v>0</v>
      </c>
      <c r="X7" s="769"/>
      <c r="Y7" s="3475" t="s">
        <v>2551</v>
      </c>
      <c r="Z7" s="3474"/>
      <c r="AA7" s="770" t="e">
        <f>D7/F7</f>
        <v>#DIV/0!</v>
      </c>
      <c r="AB7" s="770" t="e">
        <f>D7/H7</f>
        <v>#DIV/0!</v>
      </c>
      <c r="AC7" s="770" t="e">
        <f>D7/J7</f>
        <v>#DIV/0!</v>
      </c>
    </row>
    <row r="8" spans="1:29" s="116" customFormat="1" ht="15.75" thickBot="1">
      <c r="A8" s="407" t="s">
        <v>2552</v>
      </c>
      <c r="B8" s="408"/>
      <c r="C8" s="413" t="s">
        <v>2654</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475" t="s">
        <v>2554</v>
      </c>
      <c r="Q8" s="3474"/>
      <c r="R8" s="767" t="s">
        <v>17</v>
      </c>
      <c r="S8" s="768">
        <f t="shared" si="0"/>
        <v>0</v>
      </c>
      <c r="T8" s="767" t="s">
        <v>17</v>
      </c>
      <c r="U8" s="768">
        <f t="shared" si="1"/>
        <v>0</v>
      </c>
      <c r="V8" s="767" t="s">
        <v>17</v>
      </c>
      <c r="W8" s="768">
        <f t="shared" si="2"/>
        <v>0</v>
      </c>
      <c r="X8" s="769"/>
      <c r="Y8" s="3475" t="s">
        <v>2554</v>
      </c>
      <c r="Z8" s="3474"/>
      <c r="AA8" s="770" t="e">
        <f t="shared" ref="AA8:AA36" si="3">D8/F8</f>
        <v>#DIV/0!</v>
      </c>
      <c r="AB8" s="770" t="e">
        <f t="shared" ref="AB8:AB36" si="4">D8/H8</f>
        <v>#DIV/0!</v>
      </c>
      <c r="AC8" s="770" t="e">
        <f t="shared" ref="AC8:AC36" si="5">D8/J8</f>
        <v>#DIV/0!</v>
      </c>
    </row>
    <row r="9" spans="1:29" s="116" customFormat="1">
      <c r="A9" s="67" t="s">
        <v>2555</v>
      </c>
      <c r="B9" s="639" t="s">
        <v>2556</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434" t="s">
        <v>2557</v>
      </c>
      <c r="Q9" s="1794" t="str">
        <f t="shared" ref="Q9:Q14" si="6">B9</f>
        <v>用途</v>
      </c>
      <c r="R9" s="767" t="s">
        <v>17</v>
      </c>
      <c r="S9" s="768">
        <f t="shared" si="0"/>
        <v>100</v>
      </c>
      <c r="T9" s="767" t="s">
        <v>17</v>
      </c>
      <c r="U9" s="768">
        <f t="shared" si="1"/>
        <v>100</v>
      </c>
      <c r="V9" s="767" t="s">
        <v>17</v>
      </c>
      <c r="W9" s="768">
        <f t="shared" si="2"/>
        <v>100</v>
      </c>
      <c r="X9" s="769"/>
      <c r="Y9" s="3280" t="s">
        <v>2558</v>
      </c>
      <c r="Z9" s="54" t="str">
        <f t="shared" ref="Z9:Z14" si="7">Q9</f>
        <v>用途</v>
      </c>
      <c r="AA9" s="770">
        <f t="shared" si="3"/>
        <v>1</v>
      </c>
      <c r="AB9" s="770">
        <f t="shared" si="4"/>
        <v>1</v>
      </c>
      <c r="AC9" s="770">
        <f t="shared" si="5"/>
        <v>1</v>
      </c>
    </row>
    <row r="10" spans="1:29" s="426" customFormat="1" ht="27">
      <c r="A10" s="640"/>
      <c r="B10" s="641" t="s">
        <v>2559</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434"/>
      <c r="Q10" s="1794" t="str">
        <f t="shared" si="6"/>
        <v>土地使用年限（年）</v>
      </c>
      <c r="R10" s="767" t="s">
        <v>17</v>
      </c>
      <c r="S10" s="768">
        <f t="shared" si="0"/>
        <v>100</v>
      </c>
      <c r="T10" s="767" t="s">
        <v>17</v>
      </c>
      <c r="U10" s="768">
        <f t="shared" si="1"/>
        <v>100</v>
      </c>
      <c r="V10" s="767" t="s">
        <v>17</v>
      </c>
      <c r="W10" s="768">
        <f t="shared" si="2"/>
        <v>100</v>
      </c>
      <c r="X10" s="769"/>
      <c r="Y10" s="3280"/>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434"/>
      <c r="Q11" s="1794">
        <f t="shared" si="6"/>
        <v>111</v>
      </c>
      <c r="R11" s="767" t="s">
        <v>17</v>
      </c>
      <c r="S11" s="768">
        <f t="shared" si="0"/>
        <v>100</v>
      </c>
      <c r="T11" s="767" t="s">
        <v>17</v>
      </c>
      <c r="U11" s="768">
        <f t="shared" si="1"/>
        <v>100</v>
      </c>
      <c r="V11" s="767" t="s">
        <v>17</v>
      </c>
      <c r="W11" s="768">
        <f t="shared" si="2"/>
        <v>100</v>
      </c>
      <c r="X11" s="769"/>
      <c r="Y11" s="3280"/>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434"/>
      <c r="Q12" s="1794">
        <f t="shared" si="6"/>
        <v>111</v>
      </c>
      <c r="R12" s="767" t="s">
        <v>17</v>
      </c>
      <c r="S12" s="768">
        <f t="shared" si="0"/>
        <v>100</v>
      </c>
      <c r="T12" s="767" t="s">
        <v>17</v>
      </c>
      <c r="U12" s="768">
        <f t="shared" si="1"/>
        <v>100</v>
      </c>
      <c r="V12" s="767" t="s">
        <v>17</v>
      </c>
      <c r="W12" s="768">
        <f t="shared" si="2"/>
        <v>100</v>
      </c>
      <c r="X12" s="769"/>
      <c r="Y12" s="3280"/>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434"/>
      <c r="Q13" s="1794">
        <f t="shared" si="6"/>
        <v>111</v>
      </c>
      <c r="R13" s="767" t="s">
        <v>17</v>
      </c>
      <c r="S13" s="768">
        <f t="shared" si="0"/>
        <v>100</v>
      </c>
      <c r="T13" s="767" t="s">
        <v>17</v>
      </c>
      <c r="U13" s="768">
        <f t="shared" si="1"/>
        <v>100</v>
      </c>
      <c r="V13" s="767" t="s">
        <v>17</v>
      </c>
      <c r="W13" s="768">
        <f t="shared" si="2"/>
        <v>100</v>
      </c>
      <c r="X13" s="769"/>
      <c r="Y13" s="3280"/>
      <c r="Z13" s="54">
        <f t="shared" si="7"/>
        <v>111</v>
      </c>
      <c r="AA13" s="770">
        <f t="shared" si="3"/>
        <v>1</v>
      </c>
      <c r="AB13" s="770">
        <f t="shared" si="4"/>
        <v>1</v>
      </c>
      <c r="AC13" s="770">
        <f t="shared" si="5"/>
        <v>1</v>
      </c>
    </row>
    <row r="14" spans="1:29" ht="85.5">
      <c r="A14" s="400" t="s">
        <v>2561</v>
      </c>
      <c r="B14" s="628" t="s">
        <v>2711</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441" t="s">
        <v>2562</v>
      </c>
      <c r="Q14" s="1809" t="str">
        <f t="shared" si="6"/>
        <v>交通便捷度</v>
      </c>
      <c r="R14" s="771" t="s">
        <v>17</v>
      </c>
      <c r="S14" s="772">
        <f t="shared" si="0"/>
        <v>100</v>
      </c>
      <c r="T14" s="771" t="s">
        <v>17</v>
      </c>
      <c r="U14" s="772">
        <f t="shared" si="1"/>
        <v>100</v>
      </c>
      <c r="V14" s="771" t="s">
        <v>17</v>
      </c>
      <c r="W14" s="772">
        <f t="shared" si="2"/>
        <v>100</v>
      </c>
      <c r="X14" s="1812"/>
      <c r="Y14" s="3441" t="s">
        <v>2562</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40"/>
      <c r="M15" s="1131"/>
      <c r="N15" s="1131"/>
      <c r="O15" s="1131"/>
      <c r="P15" s="3442"/>
      <c r="Q15" s="1809"/>
      <c r="R15" s="771"/>
      <c r="S15" s="772"/>
      <c r="T15" s="771"/>
      <c r="U15" s="772"/>
      <c r="V15" s="771"/>
      <c r="W15" s="772"/>
      <c r="X15" s="1812"/>
      <c r="Y15" s="3442"/>
      <c r="Z15" s="1813"/>
      <c r="AA15" s="1810">
        <v>1</v>
      </c>
      <c r="AB15" s="1810">
        <v>1</v>
      </c>
      <c r="AC15" s="1810">
        <v>1</v>
      </c>
    </row>
    <row r="16" spans="1:29" ht="42.75">
      <c r="A16" s="403"/>
      <c r="B16" s="630" t="s">
        <v>2690</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442"/>
      <c r="Q16" s="1809" t="str">
        <f>B16</f>
        <v>公共配套设施</v>
      </c>
      <c r="R16" s="771" t="s">
        <v>17</v>
      </c>
      <c r="S16" s="772">
        <f>F16</f>
        <v>100</v>
      </c>
      <c r="T16" s="771" t="s">
        <v>17</v>
      </c>
      <c r="U16" s="772">
        <f>H16</f>
        <v>100</v>
      </c>
      <c r="V16" s="771" t="s">
        <v>17</v>
      </c>
      <c r="W16" s="772">
        <f>J16</f>
        <v>100</v>
      </c>
      <c r="X16" s="1812"/>
      <c r="Y16" s="3442"/>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40"/>
      <c r="M17" s="1131"/>
      <c r="N17" s="1131"/>
      <c r="O17" s="1131"/>
      <c r="P17" s="3442"/>
      <c r="Q17" s="1809"/>
      <c r="R17" s="771"/>
      <c r="S17" s="772"/>
      <c r="T17" s="771"/>
      <c r="U17" s="772"/>
      <c r="V17" s="771"/>
      <c r="W17" s="772"/>
      <c r="X17" s="1812"/>
      <c r="Y17" s="3442"/>
      <c r="Z17" s="1813"/>
      <c r="AA17" s="1810">
        <v>1</v>
      </c>
      <c r="AB17" s="1810">
        <v>1</v>
      </c>
      <c r="AC17" s="1810">
        <v>1</v>
      </c>
    </row>
    <row r="18" spans="1:29" ht="28.5">
      <c r="A18" s="403"/>
      <c r="B18" s="632" t="s">
        <v>2691</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442"/>
      <c r="Q18" s="1809" t="str">
        <f>B18</f>
        <v>基础设施水平</v>
      </c>
      <c r="R18" s="771" t="s">
        <v>17</v>
      </c>
      <c r="S18" s="772">
        <f>F18</f>
        <v>100</v>
      </c>
      <c r="T18" s="771" t="s">
        <v>17</v>
      </c>
      <c r="U18" s="772">
        <f>H18</f>
        <v>100</v>
      </c>
      <c r="V18" s="771" t="s">
        <v>17</v>
      </c>
      <c r="W18" s="772">
        <f>J18</f>
        <v>100</v>
      </c>
      <c r="X18" s="1812"/>
      <c r="Y18" s="3442"/>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40"/>
      <c r="M19" s="1131"/>
      <c r="N19" s="1131"/>
      <c r="O19" s="1131"/>
      <c r="P19" s="3442"/>
      <c r="Q19" s="1809"/>
      <c r="R19" s="771"/>
      <c r="S19" s="772"/>
      <c r="T19" s="771"/>
      <c r="U19" s="772"/>
      <c r="V19" s="771"/>
      <c r="W19" s="772"/>
      <c r="X19" s="1812"/>
      <c r="Y19" s="3442"/>
      <c r="Z19" s="1813"/>
      <c r="AA19" s="1810">
        <v>1</v>
      </c>
      <c r="AB19" s="1810">
        <v>1</v>
      </c>
      <c r="AC19" s="1810">
        <v>1</v>
      </c>
    </row>
    <row r="20" spans="1:29" ht="57">
      <c r="A20" s="403"/>
      <c r="B20" s="630" t="s">
        <v>2712</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442"/>
      <c r="Q20" s="1809" t="str">
        <f>B20</f>
        <v>自然及人文环境</v>
      </c>
      <c r="R20" s="771" t="s">
        <v>17</v>
      </c>
      <c r="S20" s="772">
        <f>F20</f>
        <v>100</v>
      </c>
      <c r="T20" s="771" t="s">
        <v>17</v>
      </c>
      <c r="U20" s="772">
        <f>H20</f>
        <v>100</v>
      </c>
      <c r="V20" s="771" t="s">
        <v>17</v>
      </c>
      <c r="W20" s="772">
        <f>J20</f>
        <v>100</v>
      </c>
      <c r="X20" s="1812"/>
      <c r="Y20" s="3442"/>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40"/>
      <c r="M21" s="1131"/>
      <c r="N21" s="1131"/>
      <c r="O21" s="1131"/>
      <c r="P21" s="3442"/>
      <c r="Q21" s="1809"/>
      <c r="R21" s="771"/>
      <c r="S21" s="772"/>
      <c r="T21" s="771"/>
      <c r="U21" s="772"/>
      <c r="V21" s="771"/>
      <c r="W21" s="772"/>
      <c r="X21" s="1812"/>
      <c r="Y21" s="3442"/>
      <c r="Z21" s="1813"/>
      <c r="AA21" s="1810">
        <v>1</v>
      </c>
      <c r="AB21" s="1810">
        <v>1</v>
      </c>
      <c r="AC21" s="1810">
        <v>1</v>
      </c>
    </row>
    <row r="22" spans="1:29" ht="15">
      <c r="A22" s="403"/>
      <c r="B22" s="630" t="s">
        <v>2713</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442"/>
      <c r="Q22" s="1809" t="str">
        <f>B22</f>
        <v>楼层</v>
      </c>
      <c r="R22" s="771" t="s">
        <v>17</v>
      </c>
      <c r="S22" s="772">
        <f>F22</f>
        <v>100</v>
      </c>
      <c r="T22" s="771" t="s">
        <v>17</v>
      </c>
      <c r="U22" s="772">
        <f>H22</f>
        <v>100</v>
      </c>
      <c r="V22" s="771" t="s">
        <v>17</v>
      </c>
      <c r="W22" s="772">
        <f>J22</f>
        <v>100</v>
      </c>
      <c r="X22" s="1812"/>
      <c r="Y22" s="3442"/>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442"/>
      <c r="Q23" s="1809">
        <f>B23</f>
        <v>111</v>
      </c>
      <c r="R23" s="771" t="s">
        <v>17</v>
      </c>
      <c r="S23" s="772">
        <f>F23</f>
        <v>100</v>
      </c>
      <c r="T23" s="771" t="s">
        <v>17</v>
      </c>
      <c r="U23" s="772">
        <f>H23</f>
        <v>100</v>
      </c>
      <c r="V23" s="771" t="s">
        <v>17</v>
      </c>
      <c r="W23" s="772">
        <f>J23</f>
        <v>100</v>
      </c>
      <c r="X23" s="1812"/>
      <c r="Y23" s="3442"/>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442"/>
      <c r="Q24" s="1809">
        <f t="shared" ref="Q24:Q36" si="11">B24</f>
        <v>111</v>
      </c>
      <c r="R24" s="771" t="s">
        <v>17</v>
      </c>
      <c r="S24" s="772">
        <f>F24</f>
        <v>100</v>
      </c>
      <c r="T24" s="771" t="s">
        <v>17</v>
      </c>
      <c r="U24" s="772">
        <f>H24</f>
        <v>100</v>
      </c>
      <c r="V24" s="771" t="s">
        <v>17</v>
      </c>
      <c r="W24" s="772">
        <f>J24</f>
        <v>100</v>
      </c>
      <c r="X24" s="1812"/>
      <c r="Y24" s="3442"/>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442"/>
      <c r="Q25" s="1794">
        <f t="shared" si="11"/>
        <v>111</v>
      </c>
      <c r="R25" s="767" t="s">
        <v>17</v>
      </c>
      <c r="S25" s="768">
        <f>F25</f>
        <v>100</v>
      </c>
      <c r="T25" s="767" t="s">
        <v>17</v>
      </c>
      <c r="U25" s="768">
        <f>H25</f>
        <v>100</v>
      </c>
      <c r="V25" s="767" t="s">
        <v>17</v>
      </c>
      <c r="W25" s="768">
        <f>J25</f>
        <v>100</v>
      </c>
      <c r="X25" s="769"/>
      <c r="Y25" s="3442"/>
      <c r="Z25" s="54">
        <f>Q25</f>
        <v>111</v>
      </c>
      <c r="AA25" s="1810">
        <f>D25/F25</f>
        <v>1</v>
      </c>
      <c r="AB25" s="1810">
        <f>D25/H25</f>
        <v>1</v>
      </c>
      <c r="AC25" s="1810">
        <f>D25/J25</f>
        <v>1</v>
      </c>
    </row>
    <row r="26" spans="1:29" ht="28.5">
      <c r="A26" s="651" t="s">
        <v>2565</v>
      </c>
      <c r="B26" s="69" t="s">
        <v>2714</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528" t="s">
        <v>2567</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446" t="s">
        <v>2567</v>
      </c>
      <c r="Z26" s="1813" t="str">
        <f t="shared" ref="Z26:Z36" si="15">Q26</f>
        <v>配套类型</v>
      </c>
      <c r="AA26" s="1810">
        <f t="shared" si="3"/>
        <v>1</v>
      </c>
      <c r="AB26" s="1810">
        <f t="shared" si="4"/>
        <v>1</v>
      </c>
      <c r="AC26" s="1810">
        <f t="shared" si="5"/>
        <v>1</v>
      </c>
    </row>
    <row r="27" spans="1:29" s="470" customFormat="1" ht="15">
      <c r="A27" s="652"/>
      <c r="B27" s="653" t="s">
        <v>2715</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446"/>
      <c r="Q27" s="773" t="str">
        <f t="shared" si="11"/>
        <v>项目停车位配比</v>
      </c>
      <c r="R27" s="774" t="s">
        <v>17</v>
      </c>
      <c r="S27" s="775">
        <f t="shared" si="12"/>
        <v>100</v>
      </c>
      <c r="T27" s="774" t="s">
        <v>17</v>
      </c>
      <c r="U27" s="775">
        <f t="shared" si="13"/>
        <v>100</v>
      </c>
      <c r="V27" s="774" t="s">
        <v>17</v>
      </c>
      <c r="W27" s="775">
        <f t="shared" si="14"/>
        <v>100</v>
      </c>
      <c r="X27" s="776"/>
      <c r="Y27" s="3446"/>
      <c r="Z27" s="777" t="str">
        <f t="shared" si="15"/>
        <v>项目停车位配比</v>
      </c>
      <c r="AA27" s="1810">
        <f t="shared" si="3"/>
        <v>1</v>
      </c>
      <c r="AB27" s="1810">
        <f t="shared" si="4"/>
        <v>1</v>
      </c>
      <c r="AC27" s="1810">
        <f t="shared" si="5"/>
        <v>1</v>
      </c>
    </row>
    <row r="28" spans="1:29" ht="15">
      <c r="A28" s="655"/>
      <c r="B28" s="653" t="s">
        <v>2716</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446"/>
      <c r="Q28" s="1809" t="str">
        <f t="shared" si="11"/>
        <v>公共部分装修</v>
      </c>
      <c r="R28" s="771" t="s">
        <v>17</v>
      </c>
      <c r="S28" s="772">
        <f t="shared" si="12"/>
        <v>100</v>
      </c>
      <c r="T28" s="771" t="s">
        <v>17</v>
      </c>
      <c r="U28" s="772">
        <f t="shared" si="13"/>
        <v>100</v>
      </c>
      <c r="V28" s="771" t="s">
        <v>17</v>
      </c>
      <c r="W28" s="772">
        <f t="shared" si="14"/>
        <v>100</v>
      </c>
      <c r="X28" s="1812"/>
      <c r="Y28" s="3446"/>
      <c r="Z28" s="1813" t="str">
        <f t="shared" si="15"/>
        <v>公共部分装修</v>
      </c>
      <c r="AA28" s="1810">
        <f t="shared" si="3"/>
        <v>1</v>
      </c>
      <c r="AB28" s="1810">
        <f t="shared" si="4"/>
        <v>1</v>
      </c>
      <c r="AC28" s="1810">
        <f t="shared" si="5"/>
        <v>1</v>
      </c>
    </row>
    <row r="29" spans="1:29" ht="15">
      <c r="A29" s="655"/>
      <c r="B29" s="653" t="s">
        <v>2717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446"/>
      <c r="Q29" s="1809" t="str">
        <f t="shared" si="11"/>
        <v>成新率</v>
      </c>
      <c r="R29" s="771" t="s">
        <v>17</v>
      </c>
      <c r="S29" s="772" t="e">
        <f t="shared" si="12"/>
        <v>#N/A</v>
      </c>
      <c r="T29" s="771" t="s">
        <v>17</v>
      </c>
      <c r="U29" s="772" t="e">
        <f t="shared" si="13"/>
        <v>#N/A</v>
      </c>
      <c r="V29" s="771" t="s">
        <v>17</v>
      </c>
      <c r="W29" s="772" t="e">
        <f t="shared" si="14"/>
        <v>#N/A</v>
      </c>
      <c r="X29" s="1812"/>
      <c r="Y29" s="3446"/>
      <c r="Z29" s="1813" t="str">
        <f t="shared" si="15"/>
        <v>成新率</v>
      </c>
      <c r="AA29" s="1810" t="e">
        <f t="shared" si="3"/>
        <v>#N/A</v>
      </c>
      <c r="AB29" s="1810" t="e">
        <f t="shared" si="4"/>
        <v>#N/A</v>
      </c>
      <c r="AC29" s="1810" t="e">
        <f t="shared" si="5"/>
        <v>#N/A</v>
      </c>
    </row>
    <row r="30" spans="1:29" ht="15">
      <c r="A30" s="655"/>
      <c r="B30" s="653" t="s">
        <v>2718</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446"/>
      <c r="Q30" s="1809" t="str">
        <f t="shared" si="11"/>
        <v>物业等级</v>
      </c>
      <c r="R30" s="771" t="s">
        <v>17</v>
      </c>
      <c r="S30" s="772">
        <f t="shared" si="12"/>
        <v>100</v>
      </c>
      <c r="T30" s="771" t="s">
        <v>17</v>
      </c>
      <c r="U30" s="772">
        <f t="shared" si="13"/>
        <v>100</v>
      </c>
      <c r="V30" s="771" t="s">
        <v>17</v>
      </c>
      <c r="W30" s="772">
        <f t="shared" si="14"/>
        <v>100</v>
      </c>
      <c r="X30" s="1812"/>
      <c r="Y30" s="3446"/>
      <c r="Z30" s="1813" t="str">
        <f t="shared" si="15"/>
        <v>物业等级</v>
      </c>
      <c r="AA30" s="1810">
        <f t="shared" si="3"/>
        <v>1</v>
      </c>
      <c r="AB30" s="1810">
        <f t="shared" si="4"/>
        <v>1</v>
      </c>
      <c r="AC30" s="1810">
        <f t="shared" si="5"/>
        <v>1</v>
      </c>
    </row>
    <row r="31" spans="1:29" s="116" customFormat="1" ht="15">
      <c r="A31" s="657"/>
      <c r="B31" s="653" t="s">
        <v>2719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446"/>
      <c r="Q31" s="1794" t="str">
        <f t="shared" si="11"/>
        <v>停车位面积</v>
      </c>
      <c r="R31" s="767" t="s">
        <v>17</v>
      </c>
      <c r="S31" s="768" t="e">
        <f t="shared" si="12"/>
        <v>#N/A</v>
      </c>
      <c r="T31" s="767" t="s">
        <v>17</v>
      </c>
      <c r="U31" s="768" t="e">
        <f t="shared" si="13"/>
        <v>#N/A</v>
      </c>
      <c r="V31" s="767" t="s">
        <v>17</v>
      </c>
      <c r="W31" s="768" t="e">
        <f t="shared" si="14"/>
        <v>#N/A</v>
      </c>
      <c r="X31" s="769"/>
      <c r="Y31" s="3446"/>
      <c r="Z31" s="54" t="str">
        <f t="shared" si="15"/>
        <v>停车位面积</v>
      </c>
      <c r="AA31" s="770" t="e">
        <f t="shared" si="3"/>
        <v>#N/A</v>
      </c>
      <c r="AB31" s="770" t="e">
        <f t="shared" si="4"/>
        <v>#N/A</v>
      </c>
      <c r="AC31" s="770" t="e">
        <f t="shared" si="5"/>
        <v>#N/A</v>
      </c>
    </row>
    <row r="32" spans="1:29" ht="15">
      <c r="A32" s="655"/>
      <c r="B32" s="653" t="s">
        <v>2720</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446" t="s">
        <v>2567</v>
      </c>
      <c r="Q32" s="1809" t="str">
        <f t="shared" si="11"/>
        <v>车位类型</v>
      </c>
      <c r="R32" s="771" t="s">
        <v>17</v>
      </c>
      <c r="S32" s="772">
        <f t="shared" si="12"/>
        <v>100</v>
      </c>
      <c r="T32" s="771" t="s">
        <v>17</v>
      </c>
      <c r="U32" s="772">
        <f t="shared" si="13"/>
        <v>100</v>
      </c>
      <c r="V32" s="771" t="s">
        <v>17</v>
      </c>
      <c r="W32" s="772">
        <f t="shared" si="14"/>
        <v>100</v>
      </c>
      <c r="X32" s="1812"/>
      <c r="Y32" s="3446" t="s">
        <v>2567</v>
      </c>
      <c r="Z32" s="1813" t="str">
        <f t="shared" si="15"/>
        <v>车位类型</v>
      </c>
      <c r="AA32" s="1810">
        <f t="shared" si="3"/>
        <v>1</v>
      </c>
      <c r="AB32" s="1810">
        <f t="shared" si="4"/>
        <v>1</v>
      </c>
      <c r="AC32" s="1810">
        <f t="shared" si="5"/>
        <v>1</v>
      </c>
    </row>
    <row r="33" spans="1:29" ht="15">
      <c r="A33" s="655"/>
      <c r="B33" s="653" t="s">
        <v>2721</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446"/>
      <c r="Q33" s="1809" t="str">
        <f t="shared" si="11"/>
        <v>是否直接入户</v>
      </c>
      <c r="R33" s="771" t="s">
        <v>17</v>
      </c>
      <c r="S33" s="772">
        <f t="shared" si="12"/>
        <v>100</v>
      </c>
      <c r="T33" s="771" t="s">
        <v>17</v>
      </c>
      <c r="U33" s="772">
        <f t="shared" si="13"/>
        <v>100</v>
      </c>
      <c r="V33" s="771" t="s">
        <v>17</v>
      </c>
      <c r="W33" s="772">
        <f t="shared" si="14"/>
        <v>100</v>
      </c>
      <c r="X33" s="1812"/>
      <c r="Y33" s="3446"/>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446"/>
      <c r="Q34" s="1809">
        <f t="shared" si="11"/>
        <v>111</v>
      </c>
      <c r="R34" s="771" t="s">
        <v>17</v>
      </c>
      <c r="S34" s="772">
        <f t="shared" si="12"/>
        <v>100</v>
      </c>
      <c r="T34" s="771" t="s">
        <v>17</v>
      </c>
      <c r="U34" s="772">
        <f t="shared" si="13"/>
        <v>100</v>
      </c>
      <c r="V34" s="771" t="s">
        <v>17</v>
      </c>
      <c r="W34" s="772">
        <f t="shared" si="14"/>
        <v>100</v>
      </c>
      <c r="X34" s="1812"/>
      <c r="Y34" s="3446"/>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446"/>
      <c r="Q35" s="773">
        <f t="shared" si="11"/>
        <v>111</v>
      </c>
      <c r="R35" s="774" t="s">
        <v>17</v>
      </c>
      <c r="S35" s="775">
        <f t="shared" si="12"/>
        <v>100</v>
      </c>
      <c r="T35" s="774" t="s">
        <v>17</v>
      </c>
      <c r="U35" s="775">
        <f t="shared" si="13"/>
        <v>100</v>
      </c>
      <c r="V35" s="774" t="s">
        <v>17</v>
      </c>
      <c r="W35" s="775">
        <f t="shared" si="14"/>
        <v>100</v>
      </c>
      <c r="X35" s="776"/>
      <c r="Y35" s="3446"/>
      <c r="Z35" s="777">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446"/>
      <c r="Q36" s="1809">
        <f t="shared" si="11"/>
        <v>111</v>
      </c>
      <c r="R36" s="771" t="s">
        <v>17</v>
      </c>
      <c r="S36" s="772">
        <f t="shared" si="12"/>
        <v>100</v>
      </c>
      <c r="T36" s="771" t="s">
        <v>17</v>
      </c>
      <c r="U36" s="772">
        <f t="shared" si="13"/>
        <v>100</v>
      </c>
      <c r="V36" s="771" t="s">
        <v>17</v>
      </c>
      <c r="W36" s="772">
        <f t="shared" si="14"/>
        <v>100</v>
      </c>
      <c r="X36" s="1812"/>
      <c r="Y36" s="3446"/>
      <c r="Z36" s="1813">
        <f t="shared" si="15"/>
        <v>111</v>
      </c>
      <c r="AA36" s="1810">
        <f t="shared" si="3"/>
        <v>1</v>
      </c>
      <c r="AB36" s="1810">
        <f t="shared" si="4"/>
        <v>1</v>
      </c>
      <c r="AC36" s="1810">
        <f t="shared" si="5"/>
        <v>1</v>
      </c>
    </row>
    <row r="37" spans="1:29" ht="15">
      <c r="A37" s="478" t="s">
        <v>2722</v>
      </c>
      <c r="B37" s="2693" t="s">
        <v>2723</v>
      </c>
      <c r="C37" s="1406" t="s">
        <v>1</v>
      </c>
      <c r="D37" s="1407"/>
      <c r="E37" s="1408"/>
      <c r="F37" s="1409"/>
      <c r="G37" s="1410"/>
      <c r="H37" s="1411"/>
      <c r="I37" s="1408"/>
      <c r="J37" s="1411"/>
      <c r="K37" s="618"/>
      <c r="L37" s="1143"/>
      <c r="M37" s="1144"/>
      <c r="N37" s="1131"/>
      <c r="O37" s="1144"/>
      <c r="P37" s="3434" t="str">
        <f>A37</f>
        <v>成交单价</v>
      </c>
      <c r="Q37" s="3434"/>
      <c r="R37" s="3435">
        <f>E37</f>
        <v>0</v>
      </c>
      <c r="S37" s="3435"/>
      <c r="T37" s="3435">
        <f>G37</f>
        <v>0</v>
      </c>
      <c r="U37" s="3435"/>
      <c r="V37" s="3435">
        <f>I37</f>
        <v>0</v>
      </c>
      <c r="W37" s="3435"/>
      <c r="X37" s="756"/>
      <c r="Y37" s="778"/>
      <c r="Z37" s="756"/>
      <c r="AA37" s="756"/>
      <c r="AB37" s="756"/>
      <c r="AC37" s="756"/>
    </row>
    <row r="38" spans="1:29" ht="15.75" thickBot="1">
      <c r="A38" s="485" t="s">
        <v>2724</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756"/>
      <c r="Y38" s="756"/>
      <c r="Z38" s="756"/>
      <c r="AA38" s="756"/>
      <c r="AB38" s="756"/>
      <c r="AC38" s="756"/>
    </row>
    <row r="39" spans="1:29" ht="15.75" thickBot="1">
      <c r="A39" s="491" t="s">
        <v>2725</v>
      </c>
      <c r="B39" s="492"/>
      <c r="C39" s="1416" t="e">
        <f>R39</f>
        <v>#DIV/0!</v>
      </c>
      <c r="D39" s="1416"/>
      <c r="E39" s="1416"/>
      <c r="F39" s="1416"/>
      <c r="G39" s="1416"/>
      <c r="H39" s="1416"/>
      <c r="I39" s="1416"/>
      <c r="J39" s="1416"/>
      <c r="K39" s="620"/>
      <c r="L39" s="1143"/>
      <c r="M39" s="1144"/>
      <c r="N39" s="1144"/>
      <c r="O39" s="1144"/>
      <c r="P39" s="3495" t="str">
        <f>A39</f>
        <v>估价对象XX用房的比较价值（楼面单价，元/平方米）</v>
      </c>
      <c r="Q39" s="3496"/>
      <c r="R39" s="3497" t="e">
        <f>IF(F1="售价",ROUND(AVERAGE(R38:V38),0),ROUND(AVERAGE(R38:V38),1))</f>
        <v>#DIV/0!</v>
      </c>
      <c r="S39" s="3497"/>
      <c r="T39" s="3497"/>
      <c r="U39" s="3497"/>
      <c r="V39" s="3497"/>
      <c r="W39" s="3497"/>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2726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2727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2728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2729</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2730</v>
      </c>
      <c r="B48" s="505"/>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2587</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2552</v>
      </c>
      <c r="B51" s="509"/>
      <c r="C51" s="521" t="s">
        <v>2654</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2590</v>
      </c>
      <c r="B53" s="527" t="s">
        <v>2556</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2559</v>
      </c>
      <c r="C55" s="538" t="s">
        <v>2591</v>
      </c>
      <c r="D55" s="538" t="s">
        <v>2592</v>
      </c>
      <c r="E55" s="538" t="s">
        <v>2593</v>
      </c>
      <c r="F55" s="538" t="s">
        <v>2594</v>
      </c>
      <c r="G55" s="538" t="s">
        <v>2595</v>
      </c>
      <c r="H55" s="538" t="s">
        <v>2596</v>
      </c>
      <c r="I55" s="538" t="s">
        <v>2597</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2561</v>
      </c>
      <c r="B63" s="527" t="s">
        <v>2604</v>
      </c>
      <c r="C63" s="572" t="s">
        <v>2599</v>
      </c>
      <c r="D63" s="572" t="s">
        <v>2600</v>
      </c>
      <c r="E63" s="572" t="s">
        <v>2601</v>
      </c>
      <c r="F63" s="572" t="s">
        <v>2602</v>
      </c>
      <c r="G63" s="572" t="s">
        <v>2603</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2605</v>
      </c>
      <c r="C65" s="577" t="s">
        <v>2599</v>
      </c>
      <c r="D65" s="577" t="s">
        <v>2600</v>
      </c>
      <c r="E65" s="577" t="s">
        <v>2601</v>
      </c>
      <c r="F65" s="577" t="s">
        <v>2602</v>
      </c>
      <c r="G65" s="577" t="s">
        <v>2603</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2691</v>
      </c>
      <c r="C67" s="659" t="s">
        <v>2677</v>
      </c>
      <c r="D67" s="659" t="s">
        <v>2678</v>
      </c>
      <c r="E67" s="659" t="s">
        <v>2679</v>
      </c>
      <c r="F67" s="659" t="s">
        <v>2680</v>
      </c>
      <c r="G67" s="659" t="s">
        <v>2681</v>
      </c>
      <c r="H67" s="538"/>
      <c r="I67" s="538"/>
      <c r="J67" s="538"/>
      <c r="K67" s="538"/>
      <c r="L67" s="538"/>
      <c r="M67" s="1381"/>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2611</v>
      </c>
      <c r="C69" s="577" t="s">
        <v>2599</v>
      </c>
      <c r="D69" s="577" t="s">
        <v>2600</v>
      </c>
      <c r="E69" s="577" t="s">
        <v>2601</v>
      </c>
      <c r="F69" s="577" t="s">
        <v>2602</v>
      </c>
      <c r="G69" s="577" t="s">
        <v>2603</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2731</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2565</v>
      </c>
      <c r="B79" s="527" t="s">
        <v>2732</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2733</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2618</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2734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2735</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2736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2737</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2738</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2709</v>
      </c>
      <c r="B1" s="1618"/>
      <c r="C1" s="1619" t="s">
        <v>2532</v>
      </c>
      <c r="D1" s="1620"/>
      <c r="E1" s="1629"/>
      <c r="F1" s="2582"/>
      <c r="G1" s="1630" t="s">
        <v>2645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2329</v>
      </c>
      <c r="B2" s="1417" t="e">
        <f ca="1">IF(C2="——",ROUND(C37*D3/10000,0),ROUND(C37*D3/10000,0)-D2)</f>
        <v>#DIV/0!</v>
      </c>
      <c r="C2" s="2584"/>
      <c r="D2" s="1124" t="e">
        <f ca="1">SUMIF(INDIRECT("'"&amp;F2&amp;"'"&amp;"!A:A"),"承租人权益价值",INDIRECT("'"&amp;F2&amp;"'"&amp;"!c:c"))</f>
        <v>#REF!</v>
      </c>
      <c r="E2" s="2585" t="s">
        <v>2330</v>
      </c>
      <c r="F2" s="258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 ca="1">IF(C2="——",C37,ROUND(B2*10000/D3,0))</f>
        <v>#DIV/0!</v>
      </c>
      <c r="C3" s="399" t="s">
        <v>2646</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451" t="s">
        <v>2648</v>
      </c>
      <c r="D4" s="3452"/>
      <c r="E4" s="3453" t="s">
        <v>2649</v>
      </c>
      <c r="F4" s="3454"/>
      <c r="G4" s="3451" t="s">
        <v>2650</v>
      </c>
      <c r="H4" s="3452"/>
      <c r="I4" s="3451" t="s">
        <v>2651</v>
      </c>
      <c r="J4" s="3452"/>
      <c r="K4" s="609" t="s">
        <v>2652</v>
      </c>
      <c r="L4" s="1130"/>
      <c r="M4" s="1131"/>
      <c r="N4" s="1131"/>
      <c r="O4" s="1131"/>
      <c r="P4" s="3499" t="s">
        <v>2653</v>
      </c>
      <c r="Q4" s="3500"/>
      <c r="R4" s="3503" t="s">
        <v>2649</v>
      </c>
      <c r="S4" s="3504"/>
      <c r="T4" s="3503" t="s">
        <v>2650</v>
      </c>
      <c r="U4" s="3504"/>
      <c r="V4" s="3468" t="s">
        <v>2651</v>
      </c>
      <c r="W4" s="3468"/>
      <c r="X4" s="1812"/>
      <c r="Y4" s="3503" t="s">
        <v>2653</v>
      </c>
      <c r="Z4" s="3504"/>
      <c r="AA4" s="3498" t="s">
        <v>2649</v>
      </c>
      <c r="AB4" s="3481" t="s">
        <v>2650</v>
      </c>
      <c r="AC4" s="3498" t="s">
        <v>2651</v>
      </c>
    </row>
    <row r="5" spans="1:29" ht="15">
      <c r="A5" s="403"/>
      <c r="B5" s="404"/>
      <c r="C5" s="3477" t="s">
        <v>2544</v>
      </c>
      <c r="D5" s="3472"/>
      <c r="E5" s="3526" t="s">
        <v>2545</v>
      </c>
      <c r="F5" s="3527"/>
      <c r="G5" s="3477" t="s">
        <v>2546</v>
      </c>
      <c r="H5" s="3472"/>
      <c r="I5" s="3477" t="s">
        <v>2547</v>
      </c>
      <c r="J5" s="3472"/>
      <c r="K5" s="609"/>
      <c r="L5" s="1130"/>
      <c r="M5" s="1131"/>
      <c r="N5" s="1131"/>
      <c r="O5" s="1131"/>
      <c r="P5" s="3501"/>
      <c r="Q5" s="3458"/>
      <c r="R5" s="3463"/>
      <c r="S5" s="3464"/>
      <c r="T5" s="3463"/>
      <c r="U5" s="3464"/>
      <c r="V5" s="3468"/>
      <c r="W5" s="3468"/>
      <c r="X5" s="1812"/>
      <c r="Y5" s="3463"/>
      <c r="Z5" s="3464"/>
      <c r="AA5" s="3481"/>
      <c r="AB5" s="3481"/>
      <c r="AC5" s="3481"/>
    </row>
    <row r="6" spans="1:29" ht="15.75" thickBot="1">
      <c r="A6" s="405"/>
      <c r="B6" s="406"/>
      <c r="C6" s="3469" t="s">
        <v>2548</v>
      </c>
      <c r="D6" s="3470"/>
      <c r="E6" s="3478" t="s">
        <v>2548</v>
      </c>
      <c r="F6" s="3479"/>
      <c r="G6" s="3469" t="s">
        <v>2548</v>
      </c>
      <c r="H6" s="3470"/>
      <c r="I6" s="3469" t="s">
        <v>2548</v>
      </c>
      <c r="J6" s="3470"/>
      <c r="K6" s="609" t="s">
        <v>2549</v>
      </c>
      <c r="L6" s="1130"/>
      <c r="M6" s="1131"/>
      <c r="N6" s="1131"/>
      <c r="O6" s="1131"/>
      <c r="P6" s="3502"/>
      <c r="Q6" s="3460"/>
      <c r="R6" s="3463"/>
      <c r="S6" s="3464"/>
      <c r="T6" s="3465"/>
      <c r="U6" s="3466"/>
      <c r="V6" s="3468"/>
      <c r="W6" s="3468"/>
      <c r="X6" s="1812"/>
      <c r="Y6" s="3465"/>
      <c r="Z6" s="3466"/>
      <c r="AA6" s="3482"/>
      <c r="AB6" s="3482"/>
      <c r="AC6" s="3482"/>
    </row>
    <row r="7" spans="1:29" s="116" customFormat="1" ht="15.75" thickBot="1">
      <c r="A7" s="407" t="s">
        <v>2550</v>
      </c>
      <c r="B7" s="408"/>
      <c r="C7" s="409">
        <f>'数据-取费表'!B2</f>
        <v>43553</v>
      </c>
      <c r="D7" s="410">
        <v>100</v>
      </c>
      <c r="E7" s="411"/>
      <c r="F7" s="412">
        <f>SUMIF(46:46,YEAR(E7)&amp;"-"&amp;MONTH(E7),47:47)</f>
        <v>0</v>
      </c>
      <c r="G7" s="2694"/>
      <c r="H7" s="410">
        <f>SUMIF(46:46,YEAR(G7)&amp;"-"&amp;MONTH(G7),47:47)</f>
        <v>0</v>
      </c>
      <c r="I7" s="411"/>
      <c r="J7" s="410">
        <f>SUMIF(46:46,YEAR(I7)&amp;"-"&amp;MONTH(I7),47:47)</f>
        <v>0</v>
      </c>
      <c r="K7" s="610"/>
      <c r="L7" s="1132"/>
      <c r="M7" s="1133"/>
      <c r="N7" s="1133"/>
      <c r="O7" s="1133"/>
      <c r="P7" s="3475" t="s">
        <v>2551</v>
      </c>
      <c r="Q7" s="3476"/>
      <c r="R7" s="767" t="s">
        <v>17</v>
      </c>
      <c r="S7" s="768">
        <f t="shared" ref="S7:S14" si="0">F7</f>
        <v>0</v>
      </c>
      <c r="T7" s="767" t="s">
        <v>17</v>
      </c>
      <c r="U7" s="768">
        <f t="shared" ref="U7:U14" si="1">H7</f>
        <v>0</v>
      </c>
      <c r="V7" s="767" t="s">
        <v>17</v>
      </c>
      <c r="W7" s="768">
        <f t="shared" ref="W7:W14" si="2">J7</f>
        <v>0</v>
      </c>
      <c r="X7" s="769"/>
      <c r="Y7" s="3475" t="s">
        <v>2551</v>
      </c>
      <c r="Z7" s="3474"/>
      <c r="AA7" s="770" t="e">
        <f>D7/F7</f>
        <v>#DIV/0!</v>
      </c>
      <c r="AB7" s="770" t="e">
        <f>D7/H7</f>
        <v>#DIV/0!</v>
      </c>
      <c r="AC7" s="770" t="e">
        <f>D7/J7</f>
        <v>#DIV/0!</v>
      </c>
    </row>
    <row r="8" spans="1:29" s="116" customFormat="1" ht="15.75" thickBot="1">
      <c r="A8" s="407" t="s">
        <v>2552</v>
      </c>
      <c r="B8" s="408"/>
      <c r="C8" s="413" t="s">
        <v>2654</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475" t="s">
        <v>2554</v>
      </c>
      <c r="Q8" s="3474"/>
      <c r="R8" s="767" t="s">
        <v>17</v>
      </c>
      <c r="S8" s="768">
        <f t="shared" si="0"/>
        <v>0</v>
      </c>
      <c r="T8" s="767" t="s">
        <v>17</v>
      </c>
      <c r="U8" s="768">
        <f t="shared" si="1"/>
        <v>0</v>
      </c>
      <c r="V8" s="767" t="s">
        <v>17</v>
      </c>
      <c r="W8" s="768">
        <f t="shared" si="2"/>
        <v>0</v>
      </c>
      <c r="X8" s="769"/>
      <c r="Y8" s="3475" t="s">
        <v>2554</v>
      </c>
      <c r="Z8" s="3474"/>
      <c r="AA8" s="770" t="e">
        <f t="shared" ref="AA8:AA34" si="3">D8/F8</f>
        <v>#DIV/0!</v>
      </c>
      <c r="AB8" s="770" t="e">
        <f t="shared" ref="AB8:AB34" si="4">D8/H8</f>
        <v>#DIV/0!</v>
      </c>
      <c r="AC8" s="770" t="e">
        <f t="shared" ref="AC8:AC34" si="5">D8/J8</f>
        <v>#DIV/0!</v>
      </c>
    </row>
    <row r="9" spans="1:29" s="116" customFormat="1">
      <c r="A9" s="414" t="s">
        <v>2555</v>
      </c>
      <c r="B9" s="70" t="s">
        <v>2556</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434" t="s">
        <v>2557</v>
      </c>
      <c r="Q9" s="1794" t="str">
        <f t="shared" ref="Q9:Q14" si="6">B9</f>
        <v>用途</v>
      </c>
      <c r="R9" s="767" t="s">
        <v>17</v>
      </c>
      <c r="S9" s="768">
        <f t="shared" si="0"/>
        <v>100</v>
      </c>
      <c r="T9" s="767" t="s">
        <v>17</v>
      </c>
      <c r="U9" s="768">
        <f t="shared" si="1"/>
        <v>100</v>
      </c>
      <c r="V9" s="767" t="s">
        <v>17</v>
      </c>
      <c r="W9" s="768">
        <f t="shared" si="2"/>
        <v>100</v>
      </c>
      <c r="X9" s="769"/>
      <c r="Y9" s="3280" t="s">
        <v>2558</v>
      </c>
      <c r="Z9" s="54" t="str">
        <f t="shared" ref="Z9:Z14" si="7">Q9</f>
        <v>用途</v>
      </c>
      <c r="AA9" s="770">
        <f t="shared" si="3"/>
        <v>1</v>
      </c>
      <c r="AB9" s="770">
        <f t="shared" si="4"/>
        <v>1</v>
      </c>
      <c r="AC9" s="770">
        <f t="shared" si="5"/>
        <v>1</v>
      </c>
    </row>
    <row r="10" spans="1:29" s="426" customFormat="1" ht="27">
      <c r="A10" s="420"/>
      <c r="B10" s="421" t="s">
        <v>2559</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434"/>
      <c r="Q10" s="1794" t="str">
        <f t="shared" si="6"/>
        <v>土地使用年限（年）</v>
      </c>
      <c r="R10" s="767" t="s">
        <v>17</v>
      </c>
      <c r="S10" s="768">
        <f t="shared" si="0"/>
        <v>100</v>
      </c>
      <c r="T10" s="767" t="s">
        <v>17</v>
      </c>
      <c r="U10" s="768">
        <f t="shared" si="1"/>
        <v>100</v>
      </c>
      <c r="V10" s="767" t="s">
        <v>17</v>
      </c>
      <c r="W10" s="768">
        <f t="shared" si="2"/>
        <v>100</v>
      </c>
      <c r="X10" s="769"/>
      <c r="Y10" s="3280"/>
      <c r="Z10" s="54" t="str">
        <f t="shared" si="7"/>
        <v>土地使用年限（年）</v>
      </c>
      <c r="AA10" s="770">
        <f t="shared" si="3"/>
        <v>1</v>
      </c>
      <c r="AB10" s="770">
        <f t="shared" si="4"/>
        <v>1</v>
      </c>
      <c r="AC10" s="770">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434"/>
      <c r="Q11" s="1794">
        <f t="shared" si="6"/>
        <v>111</v>
      </c>
      <c r="R11" s="767" t="s">
        <v>17</v>
      </c>
      <c r="S11" s="768">
        <f t="shared" si="0"/>
        <v>100</v>
      </c>
      <c r="T11" s="767" t="s">
        <v>17</v>
      </c>
      <c r="U11" s="768">
        <f t="shared" si="1"/>
        <v>100</v>
      </c>
      <c r="V11" s="767" t="s">
        <v>17</v>
      </c>
      <c r="W11" s="768">
        <f t="shared" si="2"/>
        <v>100</v>
      </c>
      <c r="X11" s="769"/>
      <c r="Y11" s="3280"/>
      <c r="Z11" s="54">
        <f t="shared" si="7"/>
        <v>111</v>
      </c>
      <c r="AA11" s="770">
        <f t="shared" si="3"/>
        <v>1</v>
      </c>
      <c r="AB11" s="770">
        <f t="shared" si="4"/>
        <v>1</v>
      </c>
      <c r="AC11" s="770">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434"/>
      <c r="Q12" s="1794">
        <f t="shared" si="6"/>
        <v>111</v>
      </c>
      <c r="R12" s="767" t="s">
        <v>17</v>
      </c>
      <c r="S12" s="768">
        <f t="shared" si="0"/>
        <v>100</v>
      </c>
      <c r="T12" s="767" t="s">
        <v>17</v>
      </c>
      <c r="U12" s="768">
        <f t="shared" si="1"/>
        <v>100</v>
      </c>
      <c r="V12" s="767" t="s">
        <v>17</v>
      </c>
      <c r="W12" s="768">
        <f t="shared" si="2"/>
        <v>100</v>
      </c>
      <c r="X12" s="769"/>
      <c r="Y12" s="3280"/>
      <c r="Z12" s="54">
        <f t="shared" si="7"/>
        <v>111</v>
      </c>
      <c r="AA12" s="770">
        <f>D12/F12</f>
        <v>1</v>
      </c>
      <c r="AB12" s="770">
        <f>D12/H12</f>
        <v>1</v>
      </c>
      <c r="AC12" s="770">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0"/>
      <c r="M13" s="1131"/>
      <c r="N13" s="1131"/>
      <c r="O13" s="1139"/>
      <c r="P13" s="3434"/>
      <c r="Q13" s="1794">
        <f t="shared" si="6"/>
        <v>111</v>
      </c>
      <c r="R13" s="767" t="s">
        <v>17</v>
      </c>
      <c r="S13" s="768">
        <f t="shared" si="0"/>
        <v>100</v>
      </c>
      <c r="T13" s="767" t="s">
        <v>17</v>
      </c>
      <c r="U13" s="768">
        <f t="shared" si="1"/>
        <v>100</v>
      </c>
      <c r="V13" s="767" t="s">
        <v>17</v>
      </c>
      <c r="W13" s="768">
        <f t="shared" si="2"/>
        <v>100</v>
      </c>
      <c r="X13" s="769"/>
      <c r="Y13" s="3280"/>
      <c r="Z13" s="54">
        <f t="shared" si="7"/>
        <v>111</v>
      </c>
      <c r="AA13" s="770">
        <f t="shared" si="3"/>
        <v>1</v>
      </c>
      <c r="AB13" s="770">
        <f t="shared" si="4"/>
        <v>1</v>
      </c>
      <c r="AC13" s="770">
        <f t="shared" si="5"/>
        <v>1</v>
      </c>
    </row>
    <row r="14" spans="1:29" ht="85.5">
      <c r="A14" s="439" t="s">
        <v>2561</v>
      </c>
      <c r="B14" s="68" t="s">
        <v>2711</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441" t="s">
        <v>2562</v>
      </c>
      <c r="Q14" s="1809" t="str">
        <f t="shared" si="6"/>
        <v>交通便捷度</v>
      </c>
      <c r="R14" s="771" t="s">
        <v>17</v>
      </c>
      <c r="S14" s="772">
        <f t="shared" si="0"/>
        <v>100</v>
      </c>
      <c r="T14" s="771" t="s">
        <v>17</v>
      </c>
      <c r="U14" s="772">
        <f t="shared" si="1"/>
        <v>100</v>
      </c>
      <c r="V14" s="771" t="s">
        <v>17</v>
      </c>
      <c r="W14" s="772">
        <f t="shared" si="2"/>
        <v>100</v>
      </c>
      <c r="X14" s="1812"/>
      <c r="Y14" s="3441" t="s">
        <v>2562</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40"/>
      <c r="M15" s="1131"/>
      <c r="N15" s="1131"/>
      <c r="O15" s="1139"/>
      <c r="P15" s="3442"/>
      <c r="Q15" s="1809"/>
      <c r="R15" s="771"/>
      <c r="S15" s="772"/>
      <c r="T15" s="771"/>
      <c r="U15" s="772"/>
      <c r="V15" s="771"/>
      <c r="W15" s="772"/>
      <c r="X15" s="1812"/>
      <c r="Y15" s="3442"/>
      <c r="Z15" s="1813"/>
      <c r="AA15" s="1810">
        <v>1</v>
      </c>
      <c r="AB15" s="1810">
        <v>1</v>
      </c>
      <c r="AC15" s="1810">
        <v>1</v>
      </c>
    </row>
    <row r="16" spans="1:29" ht="42.75">
      <c r="A16" s="427"/>
      <c r="B16" s="450" t="s">
        <v>2690</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442"/>
      <c r="Q16" s="1809" t="str">
        <f>B16</f>
        <v>公共配套设施</v>
      </c>
      <c r="R16" s="771" t="s">
        <v>17</v>
      </c>
      <c r="S16" s="772">
        <f>F16</f>
        <v>100</v>
      </c>
      <c r="T16" s="771" t="s">
        <v>17</v>
      </c>
      <c r="U16" s="772">
        <f>H16</f>
        <v>100</v>
      </c>
      <c r="V16" s="771" t="s">
        <v>17</v>
      </c>
      <c r="W16" s="772">
        <f>J16</f>
        <v>100</v>
      </c>
      <c r="X16" s="1812"/>
      <c r="Y16" s="3442"/>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40"/>
      <c r="M17" s="1131"/>
      <c r="N17" s="1131"/>
      <c r="O17" s="1139"/>
      <c r="P17" s="3442"/>
      <c r="Q17" s="1809"/>
      <c r="R17" s="771"/>
      <c r="S17" s="772"/>
      <c r="T17" s="771"/>
      <c r="U17" s="772"/>
      <c r="V17" s="771"/>
      <c r="W17" s="772"/>
      <c r="X17" s="1812"/>
      <c r="Y17" s="3442"/>
      <c r="Z17" s="1813"/>
      <c r="AA17" s="1810">
        <v>1</v>
      </c>
      <c r="AB17" s="1810">
        <v>1</v>
      </c>
      <c r="AC17" s="1810">
        <v>1</v>
      </c>
    </row>
    <row r="18" spans="1:29" ht="28.5">
      <c r="A18" s="427"/>
      <c r="B18" s="1383" t="s">
        <v>2691</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442"/>
      <c r="Q18" s="1809" t="str">
        <f>B18</f>
        <v>基础设施水平</v>
      </c>
      <c r="R18" s="771" t="s">
        <v>17</v>
      </c>
      <c r="S18" s="772">
        <f>F18</f>
        <v>100</v>
      </c>
      <c r="T18" s="771" t="s">
        <v>17</v>
      </c>
      <c r="U18" s="772">
        <f>H18</f>
        <v>100</v>
      </c>
      <c r="V18" s="771" t="s">
        <v>17</v>
      </c>
      <c r="W18" s="772">
        <f>J18</f>
        <v>100</v>
      </c>
      <c r="X18" s="1812"/>
      <c r="Y18" s="3442"/>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40"/>
      <c r="M19" s="1131"/>
      <c r="N19" s="1131"/>
      <c r="O19" s="1139"/>
      <c r="P19" s="3442"/>
      <c r="Q19" s="1809"/>
      <c r="R19" s="771"/>
      <c r="S19" s="772"/>
      <c r="T19" s="771"/>
      <c r="U19" s="772"/>
      <c r="V19" s="771"/>
      <c r="W19" s="772"/>
      <c r="X19" s="1812"/>
      <c r="Y19" s="3442"/>
      <c r="Z19" s="1813"/>
      <c r="AA19" s="1810">
        <v>1</v>
      </c>
      <c r="AB19" s="1810">
        <v>1</v>
      </c>
      <c r="AC19" s="1810">
        <v>1</v>
      </c>
    </row>
    <row r="20" spans="1:29" ht="57">
      <c r="A20" s="427"/>
      <c r="B20" s="450" t="s">
        <v>2712</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442"/>
      <c r="Q20" s="1809" t="str">
        <f>B20</f>
        <v>自然及人文环境</v>
      </c>
      <c r="R20" s="771" t="s">
        <v>17</v>
      </c>
      <c r="S20" s="772">
        <f>F20</f>
        <v>100</v>
      </c>
      <c r="T20" s="771" t="s">
        <v>17</v>
      </c>
      <c r="U20" s="772">
        <f>H20</f>
        <v>100</v>
      </c>
      <c r="V20" s="771" t="s">
        <v>17</v>
      </c>
      <c r="W20" s="772">
        <f>J20</f>
        <v>100</v>
      </c>
      <c r="X20" s="1812"/>
      <c r="Y20" s="3442"/>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40"/>
      <c r="M21" s="1131"/>
      <c r="N21" s="1131"/>
      <c r="O21" s="1139"/>
      <c r="P21" s="3442"/>
      <c r="Q21" s="1809"/>
      <c r="R21" s="771"/>
      <c r="S21" s="772"/>
      <c r="T21" s="771"/>
      <c r="U21" s="772"/>
      <c r="V21" s="771"/>
      <c r="W21" s="772"/>
      <c r="X21" s="1812"/>
      <c r="Y21" s="3442"/>
      <c r="Z21" s="1813"/>
      <c r="AA21" s="1810">
        <v>1</v>
      </c>
      <c r="AB21" s="1810">
        <v>1</v>
      </c>
      <c r="AC21" s="1810">
        <v>1</v>
      </c>
    </row>
    <row r="22" spans="1:29" ht="15">
      <c r="A22" s="427"/>
      <c r="B22" s="450" t="s">
        <v>2713</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442"/>
      <c r="Q22" s="1809" t="str">
        <f>B22</f>
        <v>楼层</v>
      </c>
      <c r="R22" s="771" t="s">
        <v>17</v>
      </c>
      <c r="S22" s="772">
        <f>F22</f>
        <v>100</v>
      </c>
      <c r="T22" s="771" t="s">
        <v>17</v>
      </c>
      <c r="U22" s="772">
        <f>H22</f>
        <v>100</v>
      </c>
      <c r="V22" s="771" t="s">
        <v>17</v>
      </c>
      <c r="W22" s="772">
        <f>J22</f>
        <v>100</v>
      </c>
      <c r="X22" s="1812"/>
      <c r="Y22" s="3442"/>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442"/>
      <c r="Q23" s="1809">
        <f>B23</f>
        <v>111</v>
      </c>
      <c r="R23" s="771" t="s">
        <v>17</v>
      </c>
      <c r="S23" s="772">
        <f>F23</f>
        <v>100</v>
      </c>
      <c r="T23" s="771" t="s">
        <v>17</v>
      </c>
      <c r="U23" s="772">
        <f>H23</f>
        <v>100</v>
      </c>
      <c r="V23" s="771" t="s">
        <v>17</v>
      </c>
      <c r="W23" s="772">
        <f>J23</f>
        <v>100</v>
      </c>
      <c r="X23" s="1812"/>
      <c r="Y23" s="3442"/>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442"/>
      <c r="Q24" s="1809">
        <f t="shared" ref="Q24:Q34" si="11">B24</f>
        <v>111</v>
      </c>
      <c r="R24" s="771" t="s">
        <v>17</v>
      </c>
      <c r="S24" s="772">
        <f>F24</f>
        <v>100</v>
      </c>
      <c r="T24" s="771" t="s">
        <v>17</v>
      </c>
      <c r="U24" s="772">
        <f>H24</f>
        <v>100</v>
      </c>
      <c r="V24" s="771" t="s">
        <v>17</v>
      </c>
      <c r="W24" s="772">
        <f>J24</f>
        <v>100</v>
      </c>
      <c r="X24" s="1812"/>
      <c r="Y24" s="3442"/>
      <c r="Z24" s="1813">
        <f>Q24</f>
        <v>111</v>
      </c>
      <c r="AA24" s="1810">
        <f t="shared" si="3"/>
        <v>1</v>
      </c>
      <c r="AB24" s="1810">
        <f t="shared" si="4"/>
        <v>1</v>
      </c>
      <c r="AC24" s="1810">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2"/>
      <c r="M25" s="1133"/>
      <c r="N25" s="1133"/>
      <c r="O25" s="1134"/>
      <c r="P25" s="3442"/>
      <c r="Q25" s="1794">
        <f t="shared" si="11"/>
        <v>111</v>
      </c>
      <c r="R25" s="767" t="s">
        <v>17</v>
      </c>
      <c r="S25" s="768">
        <f>F25</f>
        <v>100</v>
      </c>
      <c r="T25" s="767" t="s">
        <v>17</v>
      </c>
      <c r="U25" s="768">
        <f>H25</f>
        <v>100</v>
      </c>
      <c r="V25" s="767" t="s">
        <v>17</v>
      </c>
      <c r="W25" s="768">
        <f>J25</f>
        <v>100</v>
      </c>
      <c r="X25" s="769"/>
      <c r="Y25" s="3442"/>
      <c r="Z25" s="54">
        <f>Q25</f>
        <v>111</v>
      </c>
      <c r="AA25" s="1810">
        <f>D25/F25</f>
        <v>1</v>
      </c>
      <c r="AB25" s="1810">
        <f>D25/H25</f>
        <v>1</v>
      </c>
      <c r="AC25" s="1810">
        <f>D25/J25</f>
        <v>1</v>
      </c>
    </row>
    <row r="26" spans="1:29" ht="28.5">
      <c r="A26" s="465" t="s">
        <v>2565</v>
      </c>
      <c r="B26" s="70" t="s">
        <v>2716</v>
      </c>
      <c r="C26" s="2677"/>
      <c r="D26" s="466">
        <v>100</v>
      </c>
      <c r="E26" s="2677"/>
      <c r="F26" s="666">
        <f>SUMIF(77:77,E26,78:78)-SUMIF(77:77,C26,78:78)+100</f>
        <v>100</v>
      </c>
      <c r="G26" s="2677"/>
      <c r="H26" s="466">
        <f>SUMIF(77:77,G26,78:78)-SUMIF(77:77,C26,78:78)+100</f>
        <v>100</v>
      </c>
      <c r="I26" s="2677"/>
      <c r="J26" s="466">
        <f>SUMIF(77:77,I26,78:78)-SUMIF(77:77,C26,78:78)+100</f>
        <v>100</v>
      </c>
      <c r="K26" s="611"/>
      <c r="L26" s="1140"/>
      <c r="M26" s="1131"/>
      <c r="N26" s="1131"/>
      <c r="O26" s="1139"/>
      <c r="P26" s="3528" t="s">
        <v>2567</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446" t="s">
        <v>2567</v>
      </c>
      <c r="Z26" s="1813" t="str">
        <f t="shared" ref="Z26:Z34" si="15">Q26</f>
        <v>公共部分装修</v>
      </c>
      <c r="AA26" s="1810">
        <f t="shared" si="3"/>
        <v>1</v>
      </c>
      <c r="AB26" s="1810">
        <f t="shared" si="4"/>
        <v>1</v>
      </c>
      <c r="AC26" s="1810">
        <f t="shared" si="5"/>
        <v>1</v>
      </c>
    </row>
    <row r="27" spans="1:29" s="470" customFormat="1" ht="15">
      <c r="A27" s="467"/>
      <c r="B27" s="421" t="s">
        <v>2717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446"/>
      <c r="Q27" s="773" t="str">
        <f t="shared" si="11"/>
        <v>成新率</v>
      </c>
      <c r="R27" s="774" t="s">
        <v>17</v>
      </c>
      <c r="S27" s="775" t="e">
        <f t="shared" si="12"/>
        <v>#N/A</v>
      </c>
      <c r="T27" s="774" t="s">
        <v>17</v>
      </c>
      <c r="U27" s="775" t="e">
        <f t="shared" si="13"/>
        <v>#N/A</v>
      </c>
      <c r="V27" s="774" t="s">
        <v>17</v>
      </c>
      <c r="W27" s="775" t="e">
        <f t="shared" si="14"/>
        <v>#N/A</v>
      </c>
      <c r="X27" s="776"/>
      <c r="Y27" s="3446"/>
      <c r="Z27" s="777" t="str">
        <f t="shared" si="15"/>
        <v>成新率</v>
      </c>
      <c r="AA27" s="1810" t="e">
        <f t="shared" si="3"/>
        <v>#N/A</v>
      </c>
      <c r="AB27" s="1810" t="e">
        <f t="shared" si="4"/>
        <v>#N/A</v>
      </c>
      <c r="AC27" s="1810" t="e">
        <f t="shared" si="5"/>
        <v>#N/A</v>
      </c>
    </row>
    <row r="28" spans="1:29" ht="15">
      <c r="A28" s="471"/>
      <c r="B28" s="421" t="s">
        <v>2718</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446"/>
      <c r="Q28" s="1809" t="str">
        <f t="shared" si="11"/>
        <v>物业等级</v>
      </c>
      <c r="R28" s="771" t="s">
        <v>17</v>
      </c>
      <c r="S28" s="772">
        <f t="shared" si="12"/>
        <v>100</v>
      </c>
      <c r="T28" s="771" t="s">
        <v>17</v>
      </c>
      <c r="U28" s="772">
        <f t="shared" si="13"/>
        <v>100</v>
      </c>
      <c r="V28" s="771" t="s">
        <v>17</v>
      </c>
      <c r="W28" s="772">
        <f t="shared" si="14"/>
        <v>100</v>
      </c>
      <c r="X28" s="1812"/>
      <c r="Y28" s="3446"/>
      <c r="Z28" s="1813" t="str">
        <f t="shared" si="15"/>
        <v>物业等级</v>
      </c>
      <c r="AA28" s="1810">
        <f t="shared" si="3"/>
        <v>1</v>
      </c>
      <c r="AB28" s="1810">
        <f t="shared" si="4"/>
        <v>1</v>
      </c>
      <c r="AC28" s="1810">
        <f t="shared" si="5"/>
        <v>1</v>
      </c>
    </row>
    <row r="29" spans="1:29" ht="15">
      <c r="A29" s="471"/>
      <c r="B29" s="421" t="s">
        <v>2739</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446"/>
      <c r="Q29" s="1809" t="str">
        <f t="shared" si="11"/>
        <v>有无电梯</v>
      </c>
      <c r="R29" s="771" t="s">
        <v>17</v>
      </c>
      <c r="S29" s="772">
        <f t="shared" si="12"/>
        <v>100</v>
      </c>
      <c r="T29" s="771" t="s">
        <v>17</v>
      </c>
      <c r="U29" s="772">
        <f t="shared" si="13"/>
        <v>100</v>
      </c>
      <c r="V29" s="771" t="s">
        <v>17</v>
      </c>
      <c r="W29" s="772">
        <f t="shared" si="14"/>
        <v>100</v>
      </c>
      <c r="X29" s="1812"/>
      <c r="Y29" s="3446"/>
      <c r="Z29" s="1813" t="str">
        <f t="shared" si="15"/>
        <v>有无电梯</v>
      </c>
      <c r="AA29" s="1810">
        <f t="shared" si="3"/>
        <v>1</v>
      </c>
      <c r="AB29" s="1810">
        <f t="shared" si="4"/>
        <v>1</v>
      </c>
      <c r="AC29" s="1810">
        <f t="shared" si="5"/>
        <v>1</v>
      </c>
    </row>
    <row r="30" spans="1:29" ht="15">
      <c r="A30" s="471"/>
      <c r="B30" s="421" t="s">
        <v>2740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446"/>
      <c r="Q30" s="1809" t="str">
        <f t="shared" si="11"/>
        <v>建筑面积</v>
      </c>
      <c r="R30" s="771" t="s">
        <v>17</v>
      </c>
      <c r="S30" s="772" t="e">
        <f t="shared" si="12"/>
        <v>#N/A</v>
      </c>
      <c r="T30" s="771" t="s">
        <v>17</v>
      </c>
      <c r="U30" s="772" t="e">
        <f t="shared" si="13"/>
        <v>#N/A</v>
      </c>
      <c r="V30" s="771" t="s">
        <v>17</v>
      </c>
      <c r="W30" s="772" t="e">
        <f t="shared" si="14"/>
        <v>#N/A</v>
      </c>
      <c r="X30" s="1812"/>
      <c r="Y30" s="3446"/>
      <c r="Z30" s="1813" t="str">
        <f t="shared" si="15"/>
        <v>建筑面积</v>
      </c>
      <c r="AA30" s="1810" t="e">
        <f t="shared" si="3"/>
        <v>#N/A</v>
      </c>
      <c r="AB30" s="1810" t="e">
        <f t="shared" si="4"/>
        <v>#N/A</v>
      </c>
      <c r="AC30" s="1810" t="e">
        <f t="shared" si="5"/>
        <v>#N/A</v>
      </c>
    </row>
    <row r="31" spans="1:29" s="116" customFormat="1" ht="15">
      <c r="A31" s="472"/>
      <c r="B31" s="421" t="s">
        <v>2741</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446"/>
      <c r="Q31" s="1794" t="str">
        <f t="shared" si="11"/>
        <v>是否封闭</v>
      </c>
      <c r="R31" s="767" t="s">
        <v>17</v>
      </c>
      <c r="S31" s="768">
        <f t="shared" si="12"/>
        <v>100</v>
      </c>
      <c r="T31" s="767" t="s">
        <v>17</v>
      </c>
      <c r="U31" s="768">
        <f t="shared" si="13"/>
        <v>100</v>
      </c>
      <c r="V31" s="767" t="s">
        <v>17</v>
      </c>
      <c r="W31" s="768">
        <f t="shared" si="14"/>
        <v>100</v>
      </c>
      <c r="X31" s="769"/>
      <c r="Y31" s="3446"/>
      <c r="Z31" s="54" t="str">
        <f t="shared" si="15"/>
        <v>是否封闭</v>
      </c>
      <c r="AA31" s="770">
        <f t="shared" si="3"/>
        <v>1</v>
      </c>
      <c r="AB31" s="770">
        <f t="shared" si="4"/>
        <v>1</v>
      </c>
      <c r="AC31" s="770">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446" t="s">
        <v>2567</v>
      </c>
      <c r="Q32" s="1809">
        <f t="shared" si="11"/>
        <v>111</v>
      </c>
      <c r="R32" s="771" t="s">
        <v>17</v>
      </c>
      <c r="S32" s="772">
        <f t="shared" si="12"/>
        <v>100</v>
      </c>
      <c r="T32" s="771" t="s">
        <v>17</v>
      </c>
      <c r="U32" s="772">
        <f t="shared" si="13"/>
        <v>100</v>
      </c>
      <c r="V32" s="771" t="s">
        <v>17</v>
      </c>
      <c r="W32" s="772">
        <f t="shared" si="14"/>
        <v>100</v>
      </c>
      <c r="X32" s="1812"/>
      <c r="Y32" s="3446" t="s">
        <v>2567</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446"/>
      <c r="Q33" s="1809">
        <f t="shared" si="11"/>
        <v>111</v>
      </c>
      <c r="R33" s="771" t="s">
        <v>17</v>
      </c>
      <c r="S33" s="772">
        <f t="shared" si="12"/>
        <v>100</v>
      </c>
      <c r="T33" s="771" t="s">
        <v>17</v>
      </c>
      <c r="U33" s="772">
        <f t="shared" si="13"/>
        <v>100</v>
      </c>
      <c r="V33" s="771" t="s">
        <v>17</v>
      </c>
      <c r="W33" s="772">
        <f t="shared" si="14"/>
        <v>100</v>
      </c>
      <c r="X33" s="1812"/>
      <c r="Y33" s="3446"/>
      <c r="Z33" s="1813">
        <f t="shared" si="15"/>
        <v>111</v>
      </c>
      <c r="AA33" s="1810">
        <f t="shared" si="3"/>
        <v>1</v>
      </c>
      <c r="AB33" s="1810">
        <f t="shared" si="4"/>
        <v>1</v>
      </c>
      <c r="AC33" s="1810">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0"/>
      <c r="M34" s="1131"/>
      <c r="N34" s="1131"/>
      <c r="O34" s="1139"/>
      <c r="P34" s="3446"/>
      <c r="Q34" s="1809">
        <f t="shared" si="11"/>
        <v>111</v>
      </c>
      <c r="R34" s="771" t="s">
        <v>17</v>
      </c>
      <c r="S34" s="772">
        <f t="shared" si="12"/>
        <v>100</v>
      </c>
      <c r="T34" s="771" t="s">
        <v>17</v>
      </c>
      <c r="U34" s="772">
        <f t="shared" si="13"/>
        <v>100</v>
      </c>
      <c r="V34" s="771" t="s">
        <v>17</v>
      </c>
      <c r="W34" s="772">
        <f t="shared" si="14"/>
        <v>100</v>
      </c>
      <c r="X34" s="1812"/>
      <c r="Y34" s="3446"/>
      <c r="Z34" s="1813">
        <f t="shared" si="15"/>
        <v>111</v>
      </c>
      <c r="AA34" s="1810">
        <f t="shared" si="3"/>
        <v>1</v>
      </c>
      <c r="AB34" s="1810">
        <f t="shared" si="4"/>
        <v>1</v>
      </c>
      <c r="AC34" s="1810">
        <f t="shared" si="5"/>
        <v>1</v>
      </c>
    </row>
    <row r="35" spans="1:29" ht="15">
      <c r="A35" s="478" t="s">
        <v>2579</v>
      </c>
      <c r="B35" s="479"/>
      <c r="C35" s="1406" t="s">
        <v>1</v>
      </c>
      <c r="D35" s="1407"/>
      <c r="E35" s="1408"/>
      <c r="F35" s="1409"/>
      <c r="G35" s="1410"/>
      <c r="H35" s="1411"/>
      <c r="I35" s="1408"/>
      <c r="J35" s="1411"/>
      <c r="K35" s="780"/>
      <c r="L35" s="1143"/>
      <c r="M35" s="1144"/>
      <c r="N35" s="1131"/>
      <c r="O35" s="1144"/>
      <c r="P35" s="3434" t="str">
        <f>A35</f>
        <v>成交单价（元/平方米）</v>
      </c>
      <c r="Q35" s="3434"/>
      <c r="R35" s="3435">
        <f>E35</f>
        <v>0</v>
      </c>
      <c r="S35" s="3435"/>
      <c r="T35" s="3435">
        <f>G35</f>
        <v>0</v>
      </c>
      <c r="U35" s="3435"/>
      <c r="V35" s="3435">
        <f>I35</f>
        <v>0</v>
      </c>
      <c r="W35" s="3435"/>
      <c r="X35" s="756"/>
      <c r="Y35" s="778"/>
      <c r="Z35" s="756"/>
      <c r="AA35" s="756"/>
      <c r="AB35" s="756"/>
      <c r="AC35" s="756"/>
    </row>
    <row r="36" spans="1:29" ht="15.75" thickBot="1">
      <c r="A36" s="485" t="s">
        <v>2671</v>
      </c>
      <c r="B36" s="486"/>
      <c r="C36" s="1412" t="e">
        <f>R37</f>
        <v>#DIV/0!</v>
      </c>
      <c r="D36" s="1413"/>
      <c r="E36" s="1414" t="e">
        <f>R36</f>
        <v>#DIV/0!</v>
      </c>
      <c r="F36" s="1414"/>
      <c r="G36" s="1412" t="e">
        <f>T36</f>
        <v>#DIV/0!</v>
      </c>
      <c r="H36" s="1413"/>
      <c r="I36" s="1414" t="e">
        <f>V36</f>
        <v>#DIV/0!</v>
      </c>
      <c r="J36" s="1413"/>
      <c r="K36" s="781"/>
      <c r="L36" s="1143"/>
      <c r="M36" s="1144"/>
      <c r="N36" s="1131"/>
      <c r="O36" s="1144"/>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756"/>
      <c r="Y36" s="756"/>
      <c r="Z36" s="756"/>
      <c r="AA36" s="756"/>
      <c r="AB36" s="756"/>
      <c r="AC36" s="756"/>
    </row>
    <row r="37" spans="1:29" ht="15.75" thickBot="1">
      <c r="A37" s="491" t="s">
        <v>2672</v>
      </c>
      <c r="B37" s="492"/>
      <c r="C37" s="1416" t="e">
        <f>R37</f>
        <v>#DIV/0!</v>
      </c>
      <c r="D37" s="1416"/>
      <c r="E37" s="1416"/>
      <c r="F37" s="1416"/>
      <c r="G37" s="1416"/>
      <c r="H37" s="1416"/>
      <c r="I37" s="1416"/>
      <c r="J37" s="1416"/>
      <c r="K37" s="782"/>
      <c r="L37" s="1143"/>
      <c r="M37" s="1144"/>
      <c r="N37" s="1144"/>
      <c r="O37" s="1144"/>
      <c r="P37" s="3495" t="str">
        <f>A37</f>
        <v>估价对象XX用房的比较价值（楼面单价，元/平方米）</v>
      </c>
      <c r="Q37" s="3496"/>
      <c r="R37" s="3497" t="e">
        <f>IF(F1="售价",ROUND(AVERAGE(R36:V36),0),ROUND(AVERAGE(R36:V36),1))</f>
        <v>#DIV/0!</v>
      </c>
      <c r="S37" s="3497"/>
      <c r="T37" s="3497"/>
      <c r="U37" s="3497"/>
      <c r="V37" s="3497"/>
      <c r="W37" s="3497"/>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2676</v>
      </c>
      <c r="B45" s="756"/>
      <c r="C45" s="761"/>
      <c r="D45" s="761"/>
      <c r="E45" s="761"/>
      <c r="F45" s="762"/>
      <c r="G45" s="762"/>
      <c r="H45" s="761"/>
      <c r="I45" s="761"/>
      <c r="J45" s="761"/>
      <c r="K45" s="763"/>
      <c r="L45" s="764"/>
      <c r="M45" s="761"/>
      <c r="N45" s="761"/>
      <c r="O45" s="761"/>
      <c r="P45" s="502"/>
      <c r="Q45" s="503"/>
    </row>
    <row r="46" spans="1:29" s="507" customFormat="1" ht="15">
      <c r="A46" s="504" t="s">
        <v>2550</v>
      </c>
      <c r="B46" s="505"/>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2587</v>
      </c>
      <c r="B48" s="515"/>
      <c r="C48" s="516"/>
      <c r="D48" s="517"/>
      <c r="E48" s="517"/>
      <c r="F48" s="517"/>
      <c r="G48" s="517"/>
      <c r="H48" s="517"/>
      <c r="I48" s="517"/>
      <c r="J48" s="517"/>
      <c r="K48" s="517"/>
      <c r="L48" s="517"/>
      <c r="M48" s="518"/>
      <c r="N48" s="517"/>
      <c r="O48" s="519"/>
      <c r="P48" s="503"/>
      <c r="Q48" s="503"/>
    </row>
    <row r="49" spans="1:17" s="116" customFormat="1" ht="15">
      <c r="A49" s="520" t="s">
        <v>2552</v>
      </c>
      <c r="B49" s="509"/>
      <c r="C49" s="521" t="s">
        <v>2654</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2590</v>
      </c>
      <c r="B51" s="527" t="s">
        <v>2556</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2559</v>
      </c>
      <c r="C53" s="538" t="s">
        <v>2591</v>
      </c>
      <c r="D53" s="538" t="s">
        <v>2592</v>
      </c>
      <c r="E53" s="538" t="s">
        <v>2593</v>
      </c>
      <c r="F53" s="538" t="s">
        <v>2594</v>
      </c>
      <c r="G53" s="538" t="s">
        <v>2595</v>
      </c>
      <c r="H53" s="538" t="s">
        <v>2596</v>
      </c>
      <c r="I53" s="538" t="s">
        <v>2597</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2561</v>
      </c>
      <c r="B61" s="527" t="s">
        <v>2604</v>
      </c>
      <c r="C61" s="572" t="s">
        <v>2599</v>
      </c>
      <c r="D61" s="572" t="s">
        <v>2600</v>
      </c>
      <c r="E61" s="572" t="s">
        <v>2601</v>
      </c>
      <c r="F61" s="572" t="s">
        <v>2602</v>
      </c>
      <c r="G61" s="572" t="s">
        <v>2603</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2742</v>
      </c>
      <c r="C63" s="577" t="s">
        <v>2599</v>
      </c>
      <c r="D63" s="577" t="s">
        <v>2600</v>
      </c>
      <c r="E63" s="577" t="s">
        <v>2601</v>
      </c>
      <c r="F63" s="577" t="s">
        <v>2602</v>
      </c>
      <c r="G63" s="577" t="s">
        <v>2603</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2691</v>
      </c>
      <c r="C65" s="659" t="s">
        <v>2677</v>
      </c>
      <c r="D65" s="659" t="s">
        <v>2678</v>
      </c>
      <c r="E65" s="659" t="s">
        <v>2679</v>
      </c>
      <c r="F65" s="659" t="s">
        <v>2680</v>
      </c>
      <c r="G65" s="659" t="s">
        <v>2681</v>
      </c>
      <c r="H65" s="538"/>
      <c r="I65" s="538"/>
      <c r="J65" s="538"/>
      <c r="K65" s="538"/>
      <c r="L65" s="538"/>
      <c r="M65" s="1381"/>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2611</v>
      </c>
      <c r="C67" s="577" t="s">
        <v>2599</v>
      </c>
      <c r="D67" s="577" t="s">
        <v>2600</v>
      </c>
      <c r="E67" s="577" t="s">
        <v>2601</v>
      </c>
      <c r="F67" s="577" t="s">
        <v>2602</v>
      </c>
      <c r="G67" s="577" t="s">
        <v>2603</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2731</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2565</v>
      </c>
      <c r="B77" s="527" t="s">
        <v>2618</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2734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2735</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2743</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2744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2745</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topLeftCell="A4" zoomScaleNormal="100" zoomScaleSheetLayoutView="100" zoomScalePageLayoutView="80" workbookViewId="0">
      <selection activeCell="C1" sqref="C1"/>
    </sheetView>
  </sheetViews>
  <sheetFormatPr defaultColWidth="12.625" defaultRowHeight="21.75" customHeight="1"/>
  <cols>
    <col min="1" max="2" width="12.625" style="2221"/>
    <col min="3" max="4" width="12.625" style="2221" customWidth="1"/>
    <col min="5" max="9" width="12.625" style="2221"/>
    <col min="10" max="11" width="12.625" style="2221" customWidth="1"/>
    <col min="12" max="12" width="12.625" style="2221"/>
    <col min="13" max="13" width="14.125" style="2221" bestFit="1" customWidth="1"/>
    <col min="14" max="16384" width="12.625" style="2221"/>
  </cols>
  <sheetData>
    <row r="1" spans="1:12" ht="21.75" customHeight="1" thickBot="1">
      <c r="A1" s="2221" t="s">
        <v>2118</v>
      </c>
      <c r="C1" s="3066" t="s">
        <v>1373</v>
      </c>
      <c r="F1" s="2416" t="s">
        <v>2119</v>
      </c>
      <c r="G1" s="2067" t="s">
        <v>2120</v>
      </c>
      <c r="H1" s="2417" t="str">
        <f>IF(G1="现房","——","估价对象范围")</f>
        <v>估价对象范围</v>
      </c>
      <c r="I1" s="2418"/>
    </row>
    <row r="2" spans="1:12" ht="21.75" customHeight="1" thickBot="1">
      <c r="A2" s="3373" t="str">
        <f>项目基本情况!S2</f>
        <v>北京市经济技术开发区荣华南路1号院1号楼房地产</v>
      </c>
      <c r="B2" s="3374"/>
      <c r="C2" s="3374"/>
      <c r="D2" s="3374"/>
      <c r="E2" s="3374"/>
      <c r="F2" s="3374"/>
      <c r="G2" s="3374"/>
      <c r="H2" s="3374"/>
      <c r="I2" s="3375"/>
    </row>
    <row r="3" spans="1:12" ht="18">
      <c r="A3" s="3377" t="s">
        <v>2121</v>
      </c>
      <c r="B3" s="3378"/>
      <c r="C3" s="3378"/>
      <c r="D3" s="3378"/>
      <c r="E3" s="3378"/>
      <c r="F3" s="3378"/>
      <c r="G3" s="3378"/>
      <c r="H3" s="3378"/>
      <c r="I3" s="3378"/>
    </row>
    <row r="4" spans="1:12" ht="18">
      <c r="A4" s="2421" t="s">
        <v>2122</v>
      </c>
      <c r="B4" s="2422" t="s">
        <v>2123</v>
      </c>
      <c r="C4" s="2423" t="s">
        <v>3187</v>
      </c>
      <c r="D4" s="2423" t="s">
        <v>3186</v>
      </c>
      <c r="E4" s="3370" t="s">
        <v>2124</v>
      </c>
      <c r="F4" s="3371"/>
      <c r="G4" s="3371"/>
      <c r="H4" s="3371"/>
      <c r="I4" s="3379"/>
      <c r="K4" s="2424"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8">
      <c r="A5" s="3353" t="s">
        <v>2125</v>
      </c>
      <c r="B5" s="3280">
        <v>25</v>
      </c>
      <c r="C5" s="3356"/>
      <c r="D5" s="3376"/>
      <c r="E5" s="139" t="s">
        <v>2126</v>
      </c>
      <c r="F5" s="2425"/>
      <c r="G5" s="2425"/>
      <c r="H5" s="2425"/>
      <c r="I5" s="1830"/>
    </row>
    <row r="6" spans="1:12" ht="18">
      <c r="A6" s="3353"/>
      <c r="B6" s="3280"/>
      <c r="C6" s="3357"/>
      <c r="D6" s="3376"/>
      <c r="E6" s="139" t="s">
        <v>2127</v>
      </c>
      <c r="F6" s="2425"/>
      <c r="G6" s="2425"/>
      <c r="H6" s="2425"/>
      <c r="I6" s="1830"/>
    </row>
    <row r="7" spans="1:12" ht="18">
      <c r="A7" s="3353"/>
      <c r="B7" s="3280"/>
      <c r="C7" s="3358"/>
      <c r="D7" s="3376"/>
      <c r="E7" s="139" t="s">
        <v>2128</v>
      </c>
      <c r="F7" s="2425"/>
      <c r="G7" s="2425"/>
      <c r="H7" s="2425"/>
      <c r="I7" s="1830"/>
    </row>
    <row r="8" spans="1:12" ht="18">
      <c r="A8" s="3353" t="s">
        <v>2129</v>
      </c>
      <c r="B8" s="3280">
        <v>15</v>
      </c>
      <c r="C8" s="3356"/>
      <c r="D8" s="3376"/>
      <c r="E8" s="139" t="s">
        <v>2130</v>
      </c>
      <c r="F8" s="2425"/>
      <c r="G8" s="2425"/>
      <c r="H8" s="2425"/>
      <c r="I8" s="1830"/>
    </row>
    <row r="9" spans="1:12" ht="18">
      <c r="A9" s="3353"/>
      <c r="B9" s="3280"/>
      <c r="C9" s="3358"/>
      <c r="D9" s="3376"/>
      <c r="E9" s="139" t="s">
        <v>2131</v>
      </c>
      <c r="F9" s="2425"/>
      <c r="G9" s="2425"/>
      <c r="H9" s="2425"/>
      <c r="I9" s="1830"/>
    </row>
    <row r="10" spans="1:12" ht="18">
      <c r="A10" s="3353" t="s">
        <v>2132</v>
      </c>
      <c r="B10" s="3280">
        <v>15</v>
      </c>
      <c r="C10" s="3356"/>
      <c r="D10" s="3376"/>
      <c r="E10" s="139" t="s">
        <v>2133</v>
      </c>
      <c r="F10" s="2425"/>
      <c r="G10" s="2425"/>
      <c r="H10" s="2425"/>
      <c r="I10" s="1830"/>
    </row>
    <row r="11" spans="1:12" ht="18">
      <c r="A11" s="3353"/>
      <c r="B11" s="3280"/>
      <c r="C11" s="3358"/>
      <c r="D11" s="3376"/>
      <c r="E11" s="139" t="s">
        <v>2134</v>
      </c>
      <c r="F11" s="2425"/>
      <c r="G11" s="2425"/>
      <c r="H11" s="2425"/>
      <c r="I11" s="1830"/>
    </row>
    <row r="12" spans="1:12" ht="18">
      <c r="A12" s="3353" t="s">
        <v>2135</v>
      </c>
      <c r="B12" s="3280">
        <v>15</v>
      </c>
      <c r="C12" s="3356"/>
      <c r="D12" s="3376"/>
      <c r="E12" s="139" t="s">
        <v>2136</v>
      </c>
      <c r="F12" s="2425"/>
      <c r="G12" s="2425"/>
      <c r="H12" s="2425"/>
      <c r="I12" s="1830"/>
    </row>
    <row r="13" spans="1:12" ht="18">
      <c r="A13" s="3353"/>
      <c r="B13" s="3280"/>
      <c r="C13" s="3358"/>
      <c r="D13" s="3376"/>
      <c r="E13" s="139" t="s">
        <v>2137</v>
      </c>
      <c r="F13" s="2425"/>
      <c r="G13" s="2425"/>
      <c r="H13" s="2425"/>
      <c r="I13" s="1830"/>
    </row>
    <row r="14" spans="1:12" ht="18">
      <c r="A14" s="3353" t="s">
        <v>2138</v>
      </c>
      <c r="B14" s="3280">
        <v>30</v>
      </c>
      <c r="C14" s="3356">
        <v>4</v>
      </c>
      <c r="D14" s="3376">
        <v>6</v>
      </c>
      <c r="E14" s="139" t="s">
        <v>2139</v>
      </c>
      <c r="F14" s="2425"/>
      <c r="G14" s="2425"/>
      <c r="H14" s="2425"/>
      <c r="I14" s="1830"/>
    </row>
    <row r="15" spans="1:12" ht="18">
      <c r="A15" s="3353"/>
      <c r="B15" s="3280"/>
      <c r="C15" s="3357"/>
      <c r="D15" s="3376"/>
      <c r="E15" s="139" t="s">
        <v>2140</v>
      </c>
      <c r="F15" s="2425"/>
      <c r="G15" s="2425"/>
      <c r="H15" s="2425"/>
      <c r="I15" s="1830"/>
    </row>
    <row r="16" spans="1:12" ht="18">
      <c r="A16" s="3353"/>
      <c r="B16" s="3280"/>
      <c r="C16" s="3358"/>
      <c r="D16" s="3376"/>
      <c r="E16" s="139" t="s">
        <v>2141</v>
      </c>
      <c r="F16" s="2425"/>
      <c r="G16" s="2425"/>
      <c r="H16" s="2425"/>
      <c r="I16" s="1830"/>
    </row>
    <row r="17" spans="1:13" ht="18">
      <c r="A17" s="2426" t="s">
        <v>2142</v>
      </c>
      <c r="B17" s="63"/>
      <c r="C17" s="140">
        <f>SUM(C5:C16)</f>
        <v>4</v>
      </c>
      <c r="D17" s="140">
        <f>SUM(D5:D16)</f>
        <v>6</v>
      </c>
      <c r="K17" s="2424"/>
      <c r="L17" s="2427" t="s">
        <v>2143</v>
      </c>
      <c r="M17" s="2427" t="s">
        <v>2144</v>
      </c>
    </row>
    <row r="18" spans="1:13" ht="18.75" thickBot="1">
      <c r="A18" s="2428" t="s">
        <v>2145</v>
      </c>
      <c r="C18" s="141">
        <f>ROUND(C17/SUM(C17:D17),2)</f>
        <v>0.4</v>
      </c>
      <c r="D18" s="141">
        <f>1-C18</f>
        <v>0.6</v>
      </c>
      <c r="K18" s="2424" t="s">
        <v>2146</v>
      </c>
      <c r="L18" s="2424">
        <f>IF(C1="",'数据-汇总表'!E3,SUMIF(项目类型,C1,'数据-汇总表'!E17:E26)+SUMIF(项目类型,C1,'数据-汇总表'!I17:I26))</f>
        <v>0</v>
      </c>
      <c r="M18" s="2424">
        <f>IF(C1="",'数据-汇总表'!E3,SUMIF(项目类型,C1,'数据-汇总表'!E17:E26))</f>
        <v>0</v>
      </c>
    </row>
    <row r="19" spans="1:13" ht="18">
      <c r="A19" s="2430" t="s">
        <v>2147</v>
      </c>
      <c r="B19" s="2431" t="s">
        <v>2148</v>
      </c>
      <c r="C19" s="142">
        <f ca="1">SUMIF(INDIRECT("'"&amp;C4&amp;"'"&amp;"!A:A"),'结果表-商业'!B19,INDIRECT("'"&amp;C4&amp;"'"&amp;"!B:B"))</f>
        <v>70196</v>
      </c>
      <c r="D19" s="143" t="e">
        <f ca="1">SUMIF(INDIRECT("'"&amp;D4&amp;"'"&amp;"!A:A"),'结果表-商业'!B19,INDIRECT("'"&amp;D4&amp;"'"&amp;"!B:B"))</f>
        <v>#N/A</v>
      </c>
      <c r="E19" s="2430" t="s">
        <v>2149</v>
      </c>
      <c r="F19" s="2431" t="s">
        <v>2148</v>
      </c>
      <c r="G19" s="144" t="e">
        <f ca="1">ROUND(C19*$C$18+D19*$D$18,0)</f>
        <v>#N/A</v>
      </c>
      <c r="H19" s="2432" t="s">
        <v>2150</v>
      </c>
      <c r="K19" s="2424" t="s">
        <v>2151</v>
      </c>
      <c r="L19" s="2424">
        <f>IF(C1="",'数据-汇总表'!D3,SUMIF(项目类型,C1,'数据-汇总表'!D17:D26)+SUMIF(项目类型,C1,'数据-汇总表'!H17:H27))</f>
        <v>0</v>
      </c>
      <c r="M19" s="2424">
        <f>IF(C1="",'数据-汇总表'!D3,SUMIF(项目类型,C1,'数据-汇总表'!D17:D26))</f>
        <v>0</v>
      </c>
    </row>
    <row r="20" spans="1:13" ht="18">
      <c r="A20" s="2433"/>
      <c r="B20" s="1246" t="s">
        <v>2152</v>
      </c>
      <c r="C20" s="145">
        <f ca="1">SUMIF(INDIRECT("'"&amp;C4&amp;"'"&amp;"!A:A"),'结果表-商业'!B20,INDIRECT("'"&amp;C4&amp;"'"&amp;"!B:B"))</f>
        <v>41471</v>
      </c>
      <c r="D20" s="146">
        <f ca="1">SUMIF(INDIRECT("'"&amp;D4&amp;"'"&amp;"!A:A"),'结果表-商业'!B20,INDIRECT("'"&amp;D4&amp;"'"&amp;"!B:B"))</f>
        <v>0</v>
      </c>
      <c r="E20" s="2433"/>
      <c r="F20" s="1246" t="s">
        <v>2152</v>
      </c>
      <c r="G20" s="147">
        <f ca="1">ROUND(C20*$C$18+D20*$D$18,0)</f>
        <v>16588</v>
      </c>
      <c r="H20" s="980" t="s">
        <v>2153</v>
      </c>
    </row>
    <row r="21" spans="1:13" ht="15" customHeight="1" thickBot="1">
      <c r="A21" s="1000"/>
      <c r="B21" s="2434" t="s">
        <v>2154</v>
      </c>
      <c r="C21" s="786" t="e">
        <f ca="1">ROUND(C19*10000/L19,0)</f>
        <v>#DIV/0!</v>
      </c>
      <c r="D21" s="787" t="e">
        <f ca="1">ROUND(D19*10000/L19,0)</f>
        <v>#N/A</v>
      </c>
      <c r="E21" s="1000"/>
      <c r="F21" s="2434" t="s">
        <v>2154</v>
      </c>
      <c r="G21" s="148" t="e">
        <f ca="1">ROUND(G19*10000/L19,0)</f>
        <v>#N/A</v>
      </c>
      <c r="H21" s="2435" t="s">
        <v>2153</v>
      </c>
    </row>
    <row r="22" spans="1:13" ht="18.75" thickBot="1">
      <c r="A22" s="2276" t="s">
        <v>2155</v>
      </c>
      <c r="B22" s="2436"/>
      <c r="C22" s="2437"/>
      <c r="D22" s="788" t="e">
        <f ca="1">IF(C19&lt;D19,D19/C19-1,C19/D19-1)</f>
        <v>#N/A</v>
      </c>
    </row>
    <row r="23" spans="1:13" ht="18.75" thickBot="1"/>
    <row r="24" spans="1:13" ht="18">
      <c r="A24" s="3347" t="s">
        <v>2156</v>
      </c>
      <c r="B24" s="2431" t="s">
        <v>2148</v>
      </c>
      <c r="C24" s="144">
        <f>IF(B30=0,0,D30)</f>
        <v>0</v>
      </c>
      <c r="D24" s="2438"/>
    </row>
    <row r="25" spans="1:13" ht="18">
      <c r="A25" s="3348"/>
      <c r="B25" s="1246" t="s">
        <v>2152</v>
      </c>
      <c r="C25" s="149">
        <f>IF(B30=0,0,C30)</f>
        <v>0</v>
      </c>
      <c r="D25" s="2439"/>
    </row>
    <row r="26" spans="1:13" ht="13.5" customHeight="1">
      <c r="A26" s="2440" t="s">
        <v>2157</v>
      </c>
      <c r="B26" s="150" t="s">
        <v>2158</v>
      </c>
      <c r="C26" s="150" t="s">
        <v>2159</v>
      </c>
      <c r="D26" s="151" t="s">
        <v>2160</v>
      </c>
    </row>
    <row r="27" spans="1:13" ht="18">
      <c r="A27" s="2440"/>
      <c r="B27" s="150">
        <v>0</v>
      </c>
      <c r="C27" s="150">
        <v>0</v>
      </c>
      <c r="D27" s="151">
        <f>ROUND(C27*B27/10000,0)</f>
        <v>0</v>
      </c>
    </row>
    <row r="28" spans="1:13" ht="18">
      <c r="A28" s="2440"/>
      <c r="B28" s="150"/>
      <c r="C28" s="150"/>
      <c r="D28" s="151"/>
    </row>
    <row r="29" spans="1:13" ht="18">
      <c r="A29" s="2440"/>
      <c r="B29" s="150"/>
      <c r="C29" s="150"/>
      <c r="D29" s="151"/>
    </row>
    <row r="30" spans="1:13" ht="18">
      <c r="A30" s="150" t="s">
        <v>2161</v>
      </c>
      <c r="B30" s="150"/>
      <c r="C30" s="150"/>
      <c r="D30" s="150"/>
      <c r="E30" s="2221" t="s">
        <v>3035</v>
      </c>
    </row>
    <row r="31" spans="1:13" ht="18.75" thickBot="1"/>
    <row r="32" spans="1:13" ht="18.75" thickBot="1">
      <c r="A32" s="2443" t="s">
        <v>2162</v>
      </c>
      <c r="B32" s="2444"/>
      <c r="C32" s="152" t="e">
        <f ca="1">IF(D32="总价",G19-C24,G20-C25)</f>
        <v>#N/A</v>
      </c>
      <c r="D32" s="2445" t="s">
        <v>2163</v>
      </c>
    </row>
    <row r="33" spans="1:15" ht="18">
      <c r="A33" s="957" t="s">
        <v>2164</v>
      </c>
      <c r="B33" s="2446"/>
      <c r="C33" s="2447"/>
      <c r="D33" s="2448"/>
      <c r="E33" s="2449" t="s">
        <v>2165</v>
      </c>
      <c r="F33" s="2949" t="str">
        <f>IF(D32="楼面单价","取值（单价）","取值（总价）")</f>
        <v>取值（总价）</v>
      </c>
    </row>
    <row r="34" spans="1:15" ht="18">
      <c r="A34" s="2451"/>
      <c r="B34" s="2452" t="s">
        <v>2166</v>
      </c>
      <c r="C34" s="156" t="e">
        <f ca="1">IF(C33="自定义",F34,C32-C35)</f>
        <v>#N/A</v>
      </c>
      <c r="D34" s="1055" t="e">
        <f ca="1">IF(C33="自定义",ROUND(C34/C32,3),IF(C33="收益比率",SUMIF(INDIRECT("'"&amp;D33&amp;"'"&amp;"!b:b"),"土地收益比率",INDIRECT("'"&amp;D33&amp;"'"&amp;"!c:c")),SUMIF(INDIRECT("'"&amp;D33&amp;"'"&amp;"!b:b"),"土地成本比率",INDIRECT("'"&amp;D33&amp;"'"&amp;"!c:c"))))</f>
        <v>#REF!</v>
      </c>
      <c r="E34" s="2453" t="s">
        <v>2167</v>
      </c>
      <c r="F34" s="1735"/>
    </row>
    <row r="35" spans="1:15" ht="18.75" thickBot="1">
      <c r="A35" s="2454"/>
      <c r="B35" s="2455" t="s">
        <v>2168</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6" t="s">
        <v>2169</v>
      </c>
      <c r="F35" s="162"/>
    </row>
    <row r="36" spans="1:15" ht="18.75" thickBot="1">
      <c r="A36" s="3365" t="s">
        <v>2170</v>
      </c>
      <c r="B36" s="2457" t="s">
        <v>2171</v>
      </c>
      <c r="C36" s="153"/>
      <c r="D36" s="2458"/>
      <c r="E36" s="2459"/>
    </row>
    <row r="37" spans="1:15" ht="18.75" thickBot="1">
      <c r="A37" s="3366"/>
      <c r="B37" s="2262" t="s">
        <v>2172</v>
      </c>
      <c r="C37" s="155"/>
    </row>
    <row r="38" spans="1:15" ht="18.75" thickBot="1">
      <c r="A38" s="3367"/>
      <c r="B38" s="2461" t="s">
        <v>2173</v>
      </c>
      <c r="C38" s="724"/>
      <c r="D38" s="2462" t="s">
        <v>2174</v>
      </c>
    </row>
    <row r="39" spans="1:15" ht="18">
      <c r="A39" s="2433" t="s">
        <v>2175</v>
      </c>
      <c r="B39" s="2463" t="s">
        <v>2158</v>
      </c>
      <c r="C39" s="2464" t="s">
        <v>2159</v>
      </c>
      <c r="D39" s="2464" t="s">
        <v>2178</v>
      </c>
      <c r="E39" s="2465" t="s">
        <v>2160</v>
      </c>
    </row>
    <row r="40" spans="1:15" ht="18">
      <c r="A40" s="2466" t="s">
        <v>2180</v>
      </c>
      <c r="B40" s="157"/>
      <c r="C40" s="158"/>
      <c r="D40" s="158"/>
      <c r="E40" s="159"/>
    </row>
    <row r="41" spans="1:15" ht="18">
      <c r="A41" s="2466" t="s">
        <v>2181</v>
      </c>
      <c r="B41" s="157"/>
      <c r="C41" s="158"/>
      <c r="D41" s="158"/>
      <c r="E41" s="159"/>
    </row>
    <row r="42" spans="1:15" ht="18.75" thickBot="1">
      <c r="A42" s="2467"/>
      <c r="B42" s="160"/>
      <c r="C42" s="161"/>
      <c r="D42" s="161"/>
      <c r="E42" s="162"/>
    </row>
    <row r="43" spans="1:15" ht="18"/>
    <row r="44" spans="1:15" ht="18.75">
      <c r="A44" s="2221" t="s">
        <v>2182</v>
      </c>
      <c r="J44" s="2221" t="s">
        <v>2183</v>
      </c>
    </row>
    <row r="45" spans="1:15" ht="14.25" customHeight="1" thickBot="1">
      <c r="A45" s="3344" t="s">
        <v>2184</v>
      </c>
      <c r="B45" s="3345"/>
      <c r="C45" s="3346"/>
      <c r="D45" s="163" t="e">
        <f ca="1">ROUND(H101*F45,0)</f>
        <v>#N/A</v>
      </c>
      <c r="E45" s="164" t="s">
        <v>2185</v>
      </c>
      <c r="F45" s="165">
        <v>1</v>
      </c>
      <c r="G45" s="166" t="s">
        <v>2186</v>
      </c>
      <c r="J45" s="3404" t="s">
        <v>2187</v>
      </c>
      <c r="K45" s="3404"/>
      <c r="L45" s="3404"/>
      <c r="M45" s="3404"/>
      <c r="N45" s="3404"/>
      <c r="O45" s="3404"/>
    </row>
    <row r="46" spans="1:15" ht="14.25" customHeight="1">
      <c r="A46" s="3341" t="s">
        <v>2188</v>
      </c>
      <c r="B46" s="3342"/>
      <c r="C46" s="3342"/>
      <c r="D46" s="3342"/>
      <c r="E46" s="3342"/>
      <c r="F46" s="3342"/>
      <c r="G46" s="3343"/>
      <c r="J46" s="2955">
        <v>1</v>
      </c>
      <c r="K46" s="3404" t="s">
        <v>2189</v>
      </c>
      <c r="L46" s="3404"/>
      <c r="M46" s="3424"/>
      <c r="N46" s="3424"/>
      <c r="O46" s="3424"/>
    </row>
    <row r="47" spans="1:15" ht="12" customHeight="1">
      <c r="A47" s="168" t="s">
        <v>2190</v>
      </c>
      <c r="B47" s="169"/>
      <c r="C47" s="170"/>
      <c r="D47" s="171" t="s">
        <v>2191</v>
      </c>
      <c r="E47" s="23" t="s">
        <v>2192</v>
      </c>
      <c r="F47" s="172" t="s">
        <v>2193</v>
      </c>
      <c r="G47" s="173" t="s">
        <v>2194</v>
      </c>
      <c r="J47" s="2955">
        <v>2</v>
      </c>
      <c r="K47" s="3404" t="s">
        <v>2195</v>
      </c>
      <c r="L47" s="3404"/>
      <c r="M47" s="3425">
        <f>'数据-取费表'!B2</f>
        <v>43553</v>
      </c>
      <c r="N47" s="3425"/>
      <c r="O47" s="3425"/>
    </row>
    <row r="48" spans="1:15" ht="25.5">
      <c r="A48" s="3372" t="s">
        <v>2196</v>
      </c>
      <c r="B48" s="3355"/>
      <c r="C48" s="3355"/>
      <c r="D48" s="139">
        <f>IF(H48="情况1",0,IF(H48="情况2",D52,IF(H48="情况3",D53,IF(H48="情况4",D54))))</f>
        <v>0</v>
      </c>
      <c r="E48" s="2965" t="str">
        <f>IF(H48="情况4","(销售额-原购置价)×税（费）率","销售额×税（费）率")</f>
        <v>销售额×税（费）率</v>
      </c>
      <c r="F48" s="174" t="str">
        <f>IF(H48="情况1","免征",'数据-取费表'!B41)</f>
        <v>免征</v>
      </c>
      <c r="G48" s="2477" t="s">
        <v>2197</v>
      </c>
      <c r="H48" s="2478" t="s">
        <v>2198</v>
      </c>
      <c r="J48" s="2955">
        <v>3</v>
      </c>
      <c r="K48" s="3404" t="s">
        <v>2199</v>
      </c>
      <c r="L48" s="3404"/>
      <c r="M48" s="3426" t="e">
        <f ca="1">H101</f>
        <v>#N/A</v>
      </c>
      <c r="N48" s="3426"/>
      <c r="O48" s="3426"/>
    </row>
    <row r="49" spans="1:16" ht="25.5" customHeight="1">
      <c r="A49" s="175" t="s">
        <v>2200</v>
      </c>
      <c r="B49" s="3340" t="s">
        <v>2201</v>
      </c>
      <c r="C49" s="3340"/>
      <c r="D49" s="176">
        <v>0</v>
      </c>
      <c r="E49" s="22" t="s">
        <v>2202</v>
      </c>
      <c r="F49" s="27" t="s">
        <v>34</v>
      </c>
      <c r="G49" s="3410"/>
      <c r="J49" s="2955">
        <v>4</v>
      </c>
      <c r="K49" s="3404" t="str">
        <f>IF(项目基本情况!E8="房地产抵押价值","房地产抵押价值","抵押担保权已注销时的房地产抵押价值")</f>
        <v>抵押担保权已注销时的房地产抵押价值</v>
      </c>
      <c r="L49" s="3404"/>
      <c r="M49" s="3426" t="e">
        <f ca="1">IF(项目基本情况!E8="房地产抵押价值",H107,H109)</f>
        <v>#N/A</v>
      </c>
      <c r="N49" s="3426"/>
      <c r="O49" s="3426"/>
    </row>
    <row r="50" spans="1:16" ht="25.5" customHeight="1">
      <c r="A50" s="177"/>
      <c r="B50" s="3340" t="s">
        <v>2203</v>
      </c>
      <c r="C50" s="3340"/>
      <c r="D50" s="178"/>
      <c r="E50" s="30"/>
      <c r="F50" s="179"/>
      <c r="G50" s="3411"/>
      <c r="J50" s="3404" t="s">
        <v>2204</v>
      </c>
      <c r="K50" s="3404"/>
      <c r="L50" s="3404"/>
      <c r="M50" s="3404"/>
      <c r="N50" s="3404"/>
      <c r="O50" s="3404"/>
    </row>
    <row r="51" spans="1:16" ht="12" customHeight="1">
      <c r="A51" s="180"/>
      <c r="B51" s="3340" t="s">
        <v>2205</v>
      </c>
      <c r="C51" s="3340"/>
      <c r="D51" s="181"/>
      <c r="E51" s="29"/>
      <c r="F51" s="179"/>
      <c r="G51" s="3412"/>
      <c r="J51" s="2952" t="s">
        <v>2206</v>
      </c>
      <c r="K51" s="3404" t="s">
        <v>2207</v>
      </c>
      <c r="L51" s="3404"/>
      <c r="M51" s="2952" t="s">
        <v>2208</v>
      </c>
      <c r="N51" s="2952" t="s">
        <v>2209</v>
      </c>
      <c r="O51" s="2952" t="s">
        <v>2210</v>
      </c>
    </row>
    <row r="52" spans="1:16" ht="24" customHeight="1">
      <c r="A52" s="182" t="s">
        <v>2211</v>
      </c>
      <c r="B52" s="3340" t="s">
        <v>2212</v>
      </c>
      <c r="C52" s="3340"/>
      <c r="D52" s="181" t="e">
        <f ca="1">ROUND(D45*'数据-取费表'!B41/(1+'数据-取费表'!C42),0)</f>
        <v>#N/A</v>
      </c>
      <c r="E52" s="11" t="s">
        <v>2213</v>
      </c>
      <c r="F52" s="183">
        <f>'数据-取费表'!B41</f>
        <v>5.5000000000000007E-2</v>
      </c>
      <c r="G52" s="2481"/>
      <c r="J52" s="2955">
        <v>1</v>
      </c>
      <c r="K52" s="3405" t="s">
        <v>2214</v>
      </c>
      <c r="L52" s="3405"/>
      <c r="M52" s="1750">
        <f>D48</f>
        <v>0</v>
      </c>
      <c r="N52" s="2955" t="str">
        <f>E48</f>
        <v>销售额×税（费）率</v>
      </c>
      <c r="O52" s="1751" t="str">
        <f>F48</f>
        <v>免征</v>
      </c>
    </row>
    <row r="53" spans="1:16" ht="12" customHeight="1">
      <c r="A53" s="182" t="s">
        <v>2215</v>
      </c>
      <c r="B53" s="3363" t="s">
        <v>2216</v>
      </c>
      <c r="C53" s="3364"/>
      <c r="D53" s="181" t="e">
        <f ca="1">ROUND(D45*'数据-取费表'!B41/(1+'数据-取费表'!C42),0)</f>
        <v>#N/A</v>
      </c>
      <c r="E53" s="11" t="s">
        <v>2213</v>
      </c>
      <c r="F53" s="183">
        <f>'数据-取费表'!B41</f>
        <v>5.5000000000000007E-2</v>
      </c>
      <c r="G53" s="2481"/>
      <c r="J53" s="2955">
        <v>2</v>
      </c>
      <c r="K53" s="3405" t="s">
        <v>2217</v>
      </c>
      <c r="L53" s="3405"/>
      <c r="M53" s="1750" t="e">
        <f t="shared" ref="M53:O54" ca="1" si="0">D55</f>
        <v>#N/A</v>
      </c>
      <c r="N53" s="2955" t="str">
        <f t="shared" si="0"/>
        <v>销售额×税（费）率</v>
      </c>
      <c r="O53" s="1751">
        <f t="shared" si="0"/>
        <v>5.0000000000000001E-4</v>
      </c>
    </row>
    <row r="54" spans="1:16" ht="12" customHeight="1">
      <c r="A54" s="182" t="s">
        <v>2218</v>
      </c>
      <c r="B54" s="3363" t="s">
        <v>2219</v>
      </c>
      <c r="C54" s="3364"/>
      <c r="D54" s="181" t="e">
        <f ca="1">C68</f>
        <v>#N/A</v>
      </c>
      <c r="E54" s="29" t="s">
        <v>2220</v>
      </c>
      <c r="F54" s="183">
        <f>'数据-取费表'!B41</f>
        <v>5.5000000000000007E-2</v>
      </c>
      <c r="G54" s="2481"/>
      <c r="J54" s="2955">
        <v>3</v>
      </c>
      <c r="K54" s="3405" t="s">
        <v>2221</v>
      </c>
      <c r="L54" s="3405"/>
      <c r="M54" s="1750" t="e">
        <f t="shared" ca="1" si="0"/>
        <v>#N/A</v>
      </c>
      <c r="N54" s="2955" t="str">
        <f t="shared" si="0"/>
        <v>增值额×税（费）率</v>
      </c>
      <c r="O54" s="1752" t="str">
        <f t="shared" si="0"/>
        <v>——</v>
      </c>
    </row>
    <row r="55" spans="1:16" ht="24" customHeight="1">
      <c r="A55" s="3354" t="s">
        <v>2222</v>
      </c>
      <c r="B55" s="3355"/>
      <c r="C55" s="3355"/>
      <c r="D55" s="184" t="e">
        <f ca="1">IF(H55="个人住宅",0,ROUND(D45*I55,0))</f>
        <v>#N/A</v>
      </c>
      <c r="E55" s="11" t="s">
        <v>2223</v>
      </c>
      <c r="F55" s="183">
        <f>IF(H55="正常",I55,"免征")</f>
        <v>5.0000000000000001E-4</v>
      </c>
      <c r="G55" s="2481"/>
      <c r="H55" s="2478" t="s">
        <v>2224</v>
      </c>
      <c r="I55" s="185">
        <f>'数据-取费表'!B49</f>
        <v>5.0000000000000001E-4</v>
      </c>
      <c r="J55" s="2955" t="str">
        <f>IF(H59="非个人房产","",4)</f>
        <v/>
      </c>
      <c r="K55" s="3405" t="str">
        <f>IF(H59="非个人房产","——","个人所得税")</f>
        <v>——</v>
      </c>
      <c r="L55" s="3405"/>
      <c r="M55" s="1753" t="str">
        <f>D59</f>
        <v>——</v>
      </c>
      <c r="N55" s="2956" t="str">
        <f>E59</f>
        <v>——</v>
      </c>
      <c r="O55" s="1754" t="str">
        <f>F59</f>
        <v>——</v>
      </c>
    </row>
    <row r="56" spans="1:16" ht="24.75">
      <c r="A56" s="3354" t="s">
        <v>2225</v>
      </c>
      <c r="B56" s="3355"/>
      <c r="C56" s="3355"/>
      <c r="D56" s="184" t="e">
        <f ca="1">IF(H56="个人住宅",D57,D58)</f>
        <v>#N/A</v>
      </c>
      <c r="E56" s="11" t="s">
        <v>2226</v>
      </c>
      <c r="F56" s="183" t="str">
        <f>IF(H56="正常",F58,"免征")</f>
        <v>——</v>
      </c>
      <c r="G56" s="2483" t="s">
        <v>2227</v>
      </c>
      <c r="H56" s="2484" t="s">
        <v>2224</v>
      </c>
      <c r="J56" s="2955" t="str">
        <f>IF(项目基本情况!K6="上海银行",IF(J55="",4,J55+1),"")</f>
        <v/>
      </c>
      <c r="K56" s="3428" t="str">
        <f>IF(项目基本情况!K6="上海银行","其他处置费用","")</f>
        <v/>
      </c>
      <c r="L56" s="3429"/>
      <c r="M56" s="1750" t="str">
        <f>IF(项目基本情况!K6="上海银行",M69,"")</f>
        <v/>
      </c>
      <c r="N56" s="3431" t="str">
        <f>IF(项目基本情况!K6="上海银行","包含处置中涉及的律师、诉讼、拍卖、评估等费用","")</f>
        <v/>
      </c>
      <c r="O56" s="3432"/>
    </row>
    <row r="57" spans="1:16" ht="18">
      <c r="A57" s="182" t="s">
        <v>2200</v>
      </c>
      <c r="B57" s="3370" t="s">
        <v>2228</v>
      </c>
      <c r="C57" s="3379"/>
      <c r="D57" s="186">
        <v>0</v>
      </c>
      <c r="E57" s="22" t="s">
        <v>2202</v>
      </c>
      <c r="F57" s="154"/>
      <c r="G57" s="2481"/>
      <c r="J57" s="3405">
        <f>IF(AND(J55="",J56=""),4,IF(项目基本情况!K6="上海银行",'结果表-商业'!J56+1,'结果表-商业'!J55+1))</f>
        <v>4</v>
      </c>
      <c r="K57" s="3405" t="s">
        <v>2229</v>
      </c>
      <c r="L57" s="2486" t="s">
        <v>2230</v>
      </c>
      <c r="M57" s="1755"/>
      <c r="N57" s="1756">
        <f ca="1">SUMIF(M52:M56,"&lt;9e307")</f>
        <v>0</v>
      </c>
      <c r="O57" s="2487"/>
      <c r="P57" s="2221" t="e">
        <f ca="1">N57/M49</f>
        <v>#N/A</v>
      </c>
    </row>
    <row r="58" spans="1:16" ht="24.75">
      <c r="A58" s="182" t="s">
        <v>2211</v>
      </c>
      <c r="B58" s="3370" t="s">
        <v>2231</v>
      </c>
      <c r="C58" s="3371"/>
      <c r="D58" s="184" t="e">
        <f ca="1">IF(H58="转让取得",C81,C97)</f>
        <v>#N/A</v>
      </c>
      <c r="E58" s="11" t="s">
        <v>2226</v>
      </c>
      <c r="F58" s="23" t="s">
        <v>34</v>
      </c>
      <c r="G58" s="2481"/>
      <c r="H58" s="2484" t="s">
        <v>2232</v>
      </c>
      <c r="J58" s="3405"/>
      <c r="K58" s="3405"/>
      <c r="L58" s="2486" t="s">
        <v>2233</v>
      </c>
      <c r="M58" s="1757"/>
      <c r="N58" s="2488" t="str">
        <f ca="1">NUMBERSTRING(INT(N57*10000),2)&amp;"元整"</f>
        <v>零元整</v>
      </c>
      <c r="O58" s="2489"/>
    </row>
    <row r="59" spans="1:16" ht="24.75" thickBot="1">
      <c r="A59" s="3408" t="s">
        <v>2234</v>
      </c>
      <c r="B59" s="3409"/>
      <c r="C59" s="3409"/>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6">
        <f>J57+1</f>
        <v>5</v>
      </c>
      <c r="K59" s="3405" t="s">
        <v>2236</v>
      </c>
      <c r="L59" s="2955" t="s">
        <v>2230</v>
      </c>
      <c r="M59" s="1758"/>
      <c r="N59" s="2221" t="e">
        <f ca="1">M49-N57</f>
        <v>#N/A</v>
      </c>
      <c r="O59" s="2491"/>
    </row>
    <row r="60" spans="1:16" ht="12" customHeight="1">
      <c r="J60" s="3407"/>
      <c r="K60" s="3405"/>
      <c r="L60" s="2486" t="s">
        <v>2233</v>
      </c>
      <c r="M60" s="1757"/>
      <c r="N60" s="2488" t="e">
        <f ca="1">NUMBERSTRING(INT(N59*10000),2)&amp;"元整"</f>
        <v>#N/A</v>
      </c>
      <c r="O60" s="2489"/>
    </row>
    <row r="61" spans="1:16" ht="18.75" thickBot="1">
      <c r="A61" s="3352" t="s">
        <v>2237</v>
      </c>
      <c r="B61" s="3352"/>
      <c r="C61" s="3352"/>
      <c r="D61" s="3352"/>
      <c r="E61" s="3352"/>
      <c r="J61" s="2955">
        <f>J59+1</f>
        <v>6</v>
      </c>
      <c r="K61" s="3405" t="s">
        <v>2238</v>
      </c>
      <c r="L61" s="3405"/>
      <c r="M61" s="1760"/>
      <c r="N61" s="1761" t="e">
        <f ca="1">ROUND(N59*10000/'数据-汇总表'!E3,0)</f>
        <v>#N/A</v>
      </c>
      <c r="O61" s="2494"/>
    </row>
    <row r="62" spans="1:16" ht="18">
      <c r="A62" s="3368" t="s">
        <v>2239</v>
      </c>
      <c r="B62" s="3369"/>
      <c r="C62" s="2960"/>
      <c r="D62" s="2960" t="s">
        <v>2240</v>
      </c>
      <c r="E62" s="191" t="s">
        <v>2241</v>
      </c>
    </row>
    <row r="63" spans="1:16" ht="18">
      <c r="A63" s="202" t="s">
        <v>775</v>
      </c>
      <c r="B63" s="192" t="s">
        <v>2242</v>
      </c>
      <c r="C63" s="193" t="e">
        <f ca="1">ROUND((C64+C65)/(1+'数据-取费表'!C42),0)</f>
        <v>#N/A</v>
      </c>
      <c r="D63" s="194"/>
      <c r="E63" s="195"/>
      <c r="J63" s="3430" t="s">
        <v>2243</v>
      </c>
      <c r="K63" s="2953" t="s">
        <v>2244</v>
      </c>
      <c r="L63" s="1748" t="e">
        <f ca="1">IF(M49&gt;10000,M49*0.5%,IF(AND(M49&gt;1000,M49&lt;=10000),M49*1%,IF(AND(M49&gt;100,M49&lt;=1000),M49*3%,IF(AND(M49&gt;10,M49&lt;=100),M49*5%,M49*8%))))</f>
        <v>#N/A</v>
      </c>
      <c r="M63" s="23" t="e">
        <f ca="1">ROUND(L63,1)</f>
        <v>#N/A</v>
      </c>
    </row>
    <row r="64" spans="1:16" ht="14.25" customHeight="1">
      <c r="A64" s="196" t="s">
        <v>770</v>
      </c>
      <c r="B64" s="197" t="s">
        <v>2245</v>
      </c>
      <c r="C64" s="198" t="e">
        <f ca="1">D45</f>
        <v>#N/A</v>
      </c>
      <c r="D64" s="199" t="s">
        <v>32</v>
      </c>
      <c r="E64" s="200"/>
      <c r="J64" s="3430"/>
      <c r="K64" s="2953" t="s">
        <v>2246</v>
      </c>
      <c r="L64" s="1748"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2221" t="s">
        <v>2247</v>
      </c>
    </row>
    <row r="65" spans="1:14" ht="14.25" customHeight="1">
      <c r="A65" s="196" t="s">
        <v>771</v>
      </c>
      <c r="B65" s="197" t="s">
        <v>2248</v>
      </c>
      <c r="C65" s="201"/>
      <c r="D65" s="199"/>
      <c r="E65" s="200"/>
      <c r="J65" s="3430"/>
      <c r="K65" s="2953" t="s">
        <v>2249</v>
      </c>
      <c r="L65" s="1748" t="e">
        <f ca="1">IF(M49&gt;1000,M49*0.1%,IF(AND(M49&gt;500,M49&lt;=1000),M49*0.5%,IF(AND(M49&gt;50,M49&lt;=500),M49*1%,IF(AND(M49&gt;1,M49&lt;=50),M49*1.5%))))</f>
        <v>#N/A</v>
      </c>
      <c r="M65" s="23" t="e">
        <f t="shared" ca="1" si="1"/>
        <v>#N/A</v>
      </c>
      <c r="N65" s="2221" t="s">
        <v>2247</v>
      </c>
    </row>
    <row r="66" spans="1:14" ht="14.25" customHeight="1">
      <c r="A66" s="202" t="s">
        <v>772</v>
      </c>
      <c r="B66" s="203" t="s">
        <v>2250</v>
      </c>
      <c r="C66" s="204"/>
      <c r="D66" s="205" t="s">
        <v>32</v>
      </c>
      <c r="E66" s="1772" t="s">
        <v>1367</v>
      </c>
      <c r="J66" s="3430"/>
      <c r="K66" s="2953" t="s">
        <v>2251</v>
      </c>
      <c r="L66" s="1748" t="e">
        <f ca="1">M49*0.5%</f>
        <v>#N/A</v>
      </c>
      <c r="M66" s="23" t="e">
        <f ca="1">IF(L66&gt;0.5,0.5,ROUND(L66,0))</f>
        <v>#N/A</v>
      </c>
      <c r="N66" s="2221" t="s">
        <v>2252</v>
      </c>
    </row>
    <row r="67" spans="1:14" ht="14.25" customHeight="1">
      <c r="A67" s="202" t="s">
        <v>773</v>
      </c>
      <c r="B67" s="203" t="s">
        <v>2253</v>
      </c>
      <c r="C67" s="206" t="e">
        <f ca="1">C63-C66</f>
        <v>#N/A</v>
      </c>
      <c r="D67" s="199" t="s">
        <v>32</v>
      </c>
      <c r="E67" s="200"/>
      <c r="J67" s="3430"/>
      <c r="K67" s="2953" t="s">
        <v>2254</v>
      </c>
      <c r="L67" s="1748"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row>
    <row r="68" spans="1:14" ht="14.25" customHeight="1" thickBot="1">
      <c r="A68" s="207" t="s">
        <v>774</v>
      </c>
      <c r="B68" s="208" t="s">
        <v>2255</v>
      </c>
      <c r="C68" s="209" t="e">
        <f ca="1">IF(C67&lt;=0,0,ROUND(C67*D68,0))</f>
        <v>#N/A</v>
      </c>
      <c r="D68" s="210">
        <f>'数据-取费表'!B41</f>
        <v>5.5000000000000007E-2</v>
      </c>
      <c r="E68" s="211"/>
      <c r="J68" s="3430"/>
      <c r="K68" s="2953" t="s">
        <v>2256</v>
      </c>
      <c r="L68" s="1748" t="e">
        <f ca="1">IF(M49&gt;10000,M49*0.5%,IF(AND(M49&gt;5000,M49&lt;=10000),M49*1%,IF(AND(M49&gt;1000,M49&lt;=5000),M49*2%,IF(AND(M49&gt;200,M49&lt;=1000),M49*3%,M49*5%))))</f>
        <v>#N/A</v>
      </c>
      <c r="M68" s="23" t="e">
        <f ca="1">ROUND(L68,1)</f>
        <v>#N/A</v>
      </c>
    </row>
    <row r="69" spans="1:14" ht="16.5" customHeight="1">
      <c r="A69" s="2496"/>
      <c r="J69" s="3430"/>
      <c r="K69" s="2953" t="s">
        <v>2257</v>
      </c>
      <c r="L69" s="2501"/>
      <c r="M69" s="23" t="e">
        <f ca="1">ROUND(SUM(M63:M68),0)</f>
        <v>#N/A</v>
      </c>
      <c r="N69" s="2221" t="e">
        <f ca="1">M69/M49</f>
        <v>#N/A</v>
      </c>
    </row>
    <row r="70" spans="1:14" ht="18.75" thickBot="1">
      <c r="A70" s="3389" t="s">
        <v>2258</v>
      </c>
      <c r="B70" s="3529"/>
      <c r="C70" s="3529"/>
      <c r="D70" s="3529"/>
      <c r="E70" s="3529"/>
      <c r="F70" s="3529"/>
      <c r="G70" s="3529"/>
      <c r="H70" s="3529"/>
    </row>
    <row r="71" spans="1:14" ht="18">
      <c r="A71" s="3368" t="s">
        <v>2239</v>
      </c>
      <c r="B71" s="3369"/>
      <c r="C71" s="2960"/>
      <c r="D71" s="2960" t="s">
        <v>2240</v>
      </c>
      <c r="E71" s="212" t="s">
        <v>2241</v>
      </c>
      <c r="F71" s="213"/>
      <c r="G71" s="213"/>
      <c r="H71" s="3049"/>
    </row>
    <row r="72" spans="1:14" ht="18">
      <c r="A72" s="202" t="s">
        <v>775</v>
      </c>
      <c r="B72" s="203" t="s">
        <v>2259</v>
      </c>
      <c r="C72" s="206" t="e">
        <f ca="1">ROUND(D45/(1+'数据-取费表'!C42),0)</f>
        <v>#N/A</v>
      </c>
      <c r="D72" s="199" t="s">
        <v>32</v>
      </c>
      <c r="E72" s="2962"/>
      <c r="F72" s="2961"/>
      <c r="G72" s="2961"/>
      <c r="H72" s="3050"/>
    </row>
    <row r="73" spans="1:14" ht="18">
      <c r="A73" s="202" t="s">
        <v>772</v>
      </c>
      <c r="B73" s="172" t="s">
        <v>2260</v>
      </c>
      <c r="C73" s="206" t="e">
        <f ca="1">C74+C78</f>
        <v>#N/A</v>
      </c>
      <c r="D73" s="199" t="s">
        <v>32</v>
      </c>
      <c r="E73" s="2962"/>
      <c r="F73" s="2961"/>
      <c r="G73" s="2961"/>
      <c r="H73" s="3050"/>
    </row>
    <row r="74" spans="1:14" ht="24">
      <c r="A74" s="216" t="s">
        <v>770</v>
      </c>
      <c r="B74" s="197" t="s">
        <v>2261</v>
      </c>
      <c r="C74" s="199">
        <f>ROUND(IF(G77="2016年5月1日后购买",C75/(1+'数据-取费表'!C42)+C76+C77,C75+C76+C77),0)</f>
        <v>0</v>
      </c>
      <c r="D74" s="199" t="s">
        <v>32</v>
      </c>
      <c r="E74" s="2962"/>
      <c r="F74" s="2961"/>
      <c r="G74" s="2961"/>
      <c r="H74" s="3050"/>
    </row>
    <row r="75" spans="1:14" ht="18">
      <c r="A75" s="216" t="s">
        <v>776</v>
      </c>
      <c r="B75" s="197" t="s">
        <v>2262</v>
      </c>
      <c r="C75" s="217"/>
      <c r="D75" s="199" t="s">
        <v>32</v>
      </c>
      <c r="E75" s="3051" t="s">
        <v>2263</v>
      </c>
      <c r="F75" s="3057" t="s">
        <v>2264</v>
      </c>
      <c r="G75" s="3051" t="s">
        <v>2265</v>
      </c>
      <c r="H75" s="219"/>
    </row>
    <row r="76" spans="1:14" ht="24.75" customHeight="1">
      <c r="A76" s="216" t="s">
        <v>777</v>
      </c>
      <c r="B76" s="220" t="s">
        <v>2266</v>
      </c>
      <c r="C76" s="199">
        <f>IF(F75="购房发票",ROUND(C75*H75*D76,0),0)</f>
        <v>0</v>
      </c>
      <c r="D76" s="2221">
        <v>0.05</v>
      </c>
      <c r="E76" s="3363" t="s">
        <v>2267</v>
      </c>
      <c r="F76" s="3340"/>
      <c r="G76" s="3340"/>
      <c r="H76" s="3388"/>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54" t="s">
        <v>2269</v>
      </c>
      <c r="F77" s="223"/>
      <c r="G77" s="2509" t="s">
        <v>2270</v>
      </c>
      <c r="H77" s="2963" t="str">
        <f>IF(G77="个人买卖住房","免征印花税"," ")</f>
        <v xml:space="preserve"> </v>
      </c>
    </row>
    <row r="78" spans="1:14" ht="24.75" customHeight="1">
      <c r="A78" s="216" t="s">
        <v>771</v>
      </c>
      <c r="B78" s="197" t="s">
        <v>2271</v>
      </c>
      <c r="C78" s="224" t="e">
        <f ca="1">ROUND(D45*D78/(1+'数据-取费表'!C42),0)</f>
        <v>#N/A</v>
      </c>
      <c r="D78" s="225">
        <f>'数据-取费表'!B43</f>
        <v>5.000000000000001E-3</v>
      </c>
      <c r="E78" s="3349" t="s">
        <v>2272</v>
      </c>
      <c r="F78" s="3350"/>
      <c r="G78" s="3350"/>
      <c r="H78" s="3359"/>
    </row>
    <row r="79" spans="1:14" ht="18">
      <c r="A79" s="2511" t="s">
        <v>773</v>
      </c>
      <c r="B79" s="203" t="s">
        <v>2273</v>
      </c>
      <c r="C79" s="206" t="e">
        <f ca="1">C72-C73</f>
        <v>#N/A</v>
      </c>
      <c r="D79" s="199" t="s">
        <v>32</v>
      </c>
      <c r="E79" s="2962"/>
      <c r="F79" s="2961"/>
      <c r="G79" s="2961"/>
      <c r="H79" s="3050"/>
    </row>
    <row r="80" spans="1:14" ht="24">
      <c r="A80" s="2511" t="s">
        <v>780</v>
      </c>
      <c r="B80" s="203" t="s">
        <v>2274</v>
      </c>
      <c r="C80" s="226" t="e">
        <f ca="1">IF(C79&lt;=0,0,C79/C73)</f>
        <v>#N/A</v>
      </c>
      <c r="D80" s="199" t="s">
        <v>32</v>
      </c>
      <c r="E80" s="2954" t="e">
        <f ca="1">IF(C80&gt;=200%,"增值额超过扣除项目金额200%",IF(C80&gt;=100%,"增值额超过扣除项目金额100%，未超过200%",IF(C80&gt;=50%,"增值额超过扣除项目金额50%，未超过100%",IF(C80&lt;50%,"增值额未超过扣除项目金额50%"))))</f>
        <v>#N/A</v>
      </c>
      <c r="F80" s="2961"/>
      <c r="G80" s="2961"/>
      <c r="H80" s="3050"/>
    </row>
    <row r="81" spans="1:9" ht="24.75" thickBot="1">
      <c r="A81" s="2512" t="s">
        <v>781</v>
      </c>
      <c r="B81" s="208" t="s">
        <v>2275</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3052"/>
    </row>
    <row r="82" spans="1:9" ht="7.5" customHeight="1"/>
    <row r="83" spans="1:9" ht="18.75" thickBot="1">
      <c r="A83" s="3389" t="s">
        <v>2276</v>
      </c>
      <c r="B83" s="3529"/>
      <c r="C83" s="3529"/>
      <c r="D83" s="3529"/>
      <c r="E83" s="3529"/>
      <c r="F83" s="3529"/>
      <c r="G83" s="3529"/>
      <c r="H83" s="3529"/>
    </row>
    <row r="84" spans="1:9" ht="18">
      <c r="A84" s="3368" t="s">
        <v>2239</v>
      </c>
      <c r="B84" s="3369"/>
      <c r="C84" s="2960"/>
      <c r="D84" s="2960" t="s">
        <v>2240</v>
      </c>
      <c r="E84" s="212" t="s">
        <v>2241</v>
      </c>
      <c r="F84" s="213"/>
      <c r="G84" s="213"/>
      <c r="H84" s="3053"/>
    </row>
    <row r="85" spans="1:9" ht="18">
      <c r="A85" s="202" t="s">
        <v>775</v>
      </c>
      <c r="B85" s="203" t="s">
        <v>2259</v>
      </c>
      <c r="C85" s="206" t="e">
        <f ca="1">ROUND(D45/(1+'数据-取费表'!C42),0)</f>
        <v>#N/A</v>
      </c>
      <c r="D85" s="199" t="s">
        <v>32</v>
      </c>
      <c r="E85" s="2962"/>
      <c r="F85" s="2961"/>
      <c r="G85" s="2961"/>
      <c r="H85" s="3054"/>
    </row>
    <row r="86" spans="1:9" ht="18">
      <c r="A86" s="202" t="s">
        <v>772</v>
      </c>
      <c r="B86" s="172" t="s">
        <v>2260</v>
      </c>
      <c r="C86" s="206" t="e">
        <f ca="1">IF(H88="仅含出让金",C87+C90+C91+C92+C93+C94,C87+C91+C92+C93+C94)</f>
        <v>#N/A</v>
      </c>
      <c r="D86" s="234"/>
      <c r="E86" s="2962"/>
      <c r="F86" s="2961"/>
      <c r="G86" s="2961"/>
      <c r="H86" s="3054"/>
    </row>
    <row r="87" spans="1:9" ht="18">
      <c r="A87" s="216" t="s">
        <v>770</v>
      </c>
      <c r="B87" s="197" t="s">
        <v>2277</v>
      </c>
      <c r="C87" s="224">
        <f>C88+C89</f>
        <v>0</v>
      </c>
      <c r="D87" s="225"/>
      <c r="E87" s="2957"/>
      <c r="F87" s="2958"/>
      <c r="G87" s="2958"/>
      <c r="H87" s="2959"/>
    </row>
    <row r="88" spans="1:9" ht="18">
      <c r="A88" s="216" t="s">
        <v>776</v>
      </c>
      <c r="B88" s="197" t="s">
        <v>2278</v>
      </c>
      <c r="C88" s="235"/>
      <c r="D88" s="225"/>
      <c r="E88" s="236" t="s">
        <v>2279</v>
      </c>
      <c r="F88" s="2958"/>
      <c r="G88" s="2221" t="s">
        <v>2280</v>
      </c>
      <c r="H88" s="2513"/>
    </row>
    <row r="89" spans="1:9" ht="18">
      <c r="A89" s="216" t="s">
        <v>777</v>
      </c>
      <c r="B89" s="197" t="s">
        <v>2268</v>
      </c>
      <c r="C89" s="224">
        <f>ROUND(C88*D89,0)</f>
        <v>0</v>
      </c>
      <c r="D89" s="225">
        <f>'数据-取费表'!B48+'数据-取费表'!B49</f>
        <v>3.0499999999999999E-2</v>
      </c>
      <c r="E89" s="236" t="s">
        <v>2281</v>
      </c>
      <c r="F89" s="2958"/>
      <c r="G89" s="2958"/>
      <c r="H89" s="2959"/>
    </row>
    <row r="90" spans="1:9" ht="18">
      <c r="A90" s="216" t="s">
        <v>771</v>
      </c>
      <c r="B90" s="197" t="s">
        <v>2282</v>
      </c>
      <c r="C90" s="235"/>
      <c r="D90" s="225"/>
      <c r="E90" s="236" t="str">
        <f>IF(H88="-","土地取得成本中已包含该笔费用"," ")</f>
        <v xml:space="preserve"> </v>
      </c>
      <c r="F90" s="2958"/>
      <c r="G90" s="2958"/>
      <c r="H90" s="2959"/>
    </row>
    <row r="91" spans="1:9" ht="27.75" customHeight="1">
      <c r="A91" s="216" t="s">
        <v>2283</v>
      </c>
      <c r="B91" s="197" t="s">
        <v>2284</v>
      </c>
      <c r="C91" s="224">
        <f>IF(H91="——",成本法!C33,I91)</f>
        <v>0</v>
      </c>
      <c r="D91" s="225"/>
      <c r="E91" s="3349" t="s">
        <v>2285</v>
      </c>
      <c r="F91" s="3350"/>
      <c r="G91" s="3350"/>
      <c r="H91" s="2514" t="s">
        <v>2286</v>
      </c>
      <c r="I91" s="2515"/>
    </row>
    <row r="92" spans="1:9" ht="25.5" customHeight="1">
      <c r="A92" s="216" t="s">
        <v>2287</v>
      </c>
      <c r="B92" s="197" t="s">
        <v>2288</v>
      </c>
      <c r="C92" s="224">
        <f>ROUND((C87+C90+C91)*D92,0)</f>
        <v>0</v>
      </c>
      <c r="D92" s="225">
        <v>0.1</v>
      </c>
      <c r="E92" s="3349" t="s">
        <v>2289</v>
      </c>
      <c r="F92" s="3350"/>
      <c r="G92" s="3350"/>
      <c r="H92" s="3359"/>
    </row>
    <row r="93" spans="1:9" ht="25.5" customHeight="1">
      <c r="A93" s="216" t="s">
        <v>2290</v>
      </c>
      <c r="B93" s="197" t="s">
        <v>2271</v>
      </c>
      <c r="C93" s="224" t="e">
        <f ca="1">ROUND(D45*D93/(1+'数据-取费表'!C42),0)</f>
        <v>#N/A</v>
      </c>
      <c r="D93" s="225">
        <f>'数据-取费表'!B43</f>
        <v>5.000000000000001E-3</v>
      </c>
      <c r="E93" s="3349" t="s">
        <v>2272</v>
      </c>
      <c r="F93" s="3350"/>
      <c r="G93" s="3350"/>
      <c r="H93" s="3359"/>
    </row>
    <row r="94" spans="1:9" ht="36.75" customHeight="1">
      <c r="A94" s="216" t="s">
        <v>2291</v>
      </c>
      <c r="B94" s="197" t="s">
        <v>2292</v>
      </c>
      <c r="C94" s="235">
        <f>ROUND((C87+C90+C91)*D94,0)</f>
        <v>0</v>
      </c>
      <c r="D94" s="225">
        <v>0.2</v>
      </c>
      <c r="E94" s="3360" t="s">
        <v>2293</v>
      </c>
      <c r="F94" s="3361"/>
      <c r="G94" s="3361"/>
      <c r="H94" s="3362"/>
    </row>
    <row r="95" spans="1:9" ht="18">
      <c r="A95" s="2511" t="s">
        <v>773</v>
      </c>
      <c r="B95" s="203" t="s">
        <v>2273</v>
      </c>
      <c r="C95" s="206" t="e">
        <f ca="1">ROUND(C85-C86,0)</f>
        <v>#N/A</v>
      </c>
      <c r="D95" s="199" t="s">
        <v>32</v>
      </c>
      <c r="E95" s="2962"/>
      <c r="F95" s="2961"/>
      <c r="G95" s="2961"/>
      <c r="H95" s="3054"/>
    </row>
    <row r="96" spans="1:9" ht="24">
      <c r="A96" s="2511" t="s">
        <v>780</v>
      </c>
      <c r="B96" s="203" t="s">
        <v>2274</v>
      </c>
      <c r="C96" s="226" t="e">
        <f ca="1">IF(C95&lt;=0,0,C95/C86)</f>
        <v>#N/A</v>
      </c>
      <c r="D96" s="199" t="s">
        <v>32</v>
      </c>
      <c r="E96" s="2954" t="e">
        <f ca="1">IF(C96&gt;=200%,"增值额超过扣除项目金额200%",IF(C96&gt;=100%,"增值额超过扣除项目金额100%，未超过200%",IF(C96&gt;=50%,"增值额超过扣除项目金额50%，未超过100%",IF(C96&lt;50%,"增值额未超过扣除项目金额50%"))))</f>
        <v>#N/A</v>
      </c>
      <c r="F96" s="2961"/>
      <c r="G96" s="2961"/>
      <c r="H96" s="3054"/>
    </row>
    <row r="97" spans="1:8" ht="24.75" thickBot="1">
      <c r="A97" s="2512" t="s">
        <v>781</v>
      </c>
      <c r="B97" s="208" t="s">
        <v>2275</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3055"/>
    </row>
    <row r="99" spans="1:8" ht="21.75" customHeight="1" thickBot="1">
      <c r="A99" s="2221" t="s">
        <v>2294</v>
      </c>
    </row>
    <row r="100" spans="1:8" ht="18.75" customHeight="1">
      <c r="A100" s="3323" t="s">
        <v>2295</v>
      </c>
      <c r="B100" s="3324"/>
      <c r="C100" s="3324"/>
      <c r="D100" s="3351"/>
      <c r="E100" s="3324" t="s">
        <v>2296</v>
      </c>
      <c r="F100" s="3324"/>
      <c r="G100" s="3324"/>
      <c r="H100" s="3351"/>
    </row>
    <row r="101" spans="1:8" ht="18.75" customHeight="1">
      <c r="A101" s="3413" t="s">
        <v>2297</v>
      </c>
      <c r="B101" s="3414"/>
      <c r="C101" s="733" t="str">
        <f>C4</f>
        <v>典型户型修正</v>
      </c>
      <c r="D101" s="734" t="str">
        <f>D4</f>
        <v>收益法-商业</v>
      </c>
      <c r="E101" s="3427" t="s">
        <v>2298</v>
      </c>
      <c r="F101" s="3381"/>
      <c r="G101" s="2516" t="s">
        <v>2299</v>
      </c>
      <c r="H101" s="1045" t="e">
        <f ca="1">H118</f>
        <v>#N/A</v>
      </c>
    </row>
    <row r="102" spans="1:8" ht="18.75" customHeight="1">
      <c r="A102" s="3383" t="s">
        <v>2300</v>
      </c>
      <c r="B102" s="2516" t="s">
        <v>2299</v>
      </c>
      <c r="C102" s="733">
        <f ca="1">C19</f>
        <v>70196</v>
      </c>
      <c r="D102" s="734" t="e">
        <f ca="1">D19</f>
        <v>#N/A</v>
      </c>
      <c r="E102" s="3427"/>
      <c r="F102" s="3381"/>
      <c r="G102" s="2516" t="s">
        <v>2301</v>
      </c>
      <c r="H102" s="370" t="e">
        <f ca="1">I118</f>
        <v>#N/A</v>
      </c>
    </row>
    <row r="103" spans="1:8" ht="42.75" customHeight="1">
      <c r="A103" s="3383"/>
      <c r="B103" s="2516" t="s">
        <v>2301</v>
      </c>
      <c r="C103" s="735">
        <f ca="1">C20</f>
        <v>41471</v>
      </c>
      <c r="D103" s="736">
        <f ca="1">D20</f>
        <v>0</v>
      </c>
      <c r="E103" s="3422" t="s">
        <v>2302</v>
      </c>
      <c r="F103" s="3423"/>
      <c r="G103" s="2517" t="s">
        <v>2303</v>
      </c>
      <c r="H103" s="1045">
        <f>IF(D36="正常操作",H104+H105+H106,H105+H106)</f>
        <v>0</v>
      </c>
    </row>
    <row r="104" spans="1:8" ht="18.75" customHeight="1">
      <c r="A104" s="3383" t="s">
        <v>2304</v>
      </c>
      <c r="B104" s="2518" t="s">
        <v>2299</v>
      </c>
      <c r="C104" s="737" t="e">
        <f ca="1">H118</f>
        <v>#N/A</v>
      </c>
      <c r="D104" s="738"/>
      <c r="E104" s="2262" t="s">
        <v>2305</v>
      </c>
      <c r="F104" s="2254"/>
      <c r="G104" s="2517" t="s">
        <v>2303</v>
      </c>
      <c r="H104" s="1046">
        <f>IF(D36="同一抵押权人同一抵押物续贷",C36&amp;"（未扣减，详见特别提示）",C36)</f>
        <v>0</v>
      </c>
    </row>
    <row r="105" spans="1:8" ht="18.75" customHeight="1" thickBot="1">
      <c r="A105" s="3384"/>
      <c r="B105" s="2519" t="s">
        <v>2301</v>
      </c>
      <c r="C105" s="739" t="e">
        <f ca="1">I118</f>
        <v>#N/A</v>
      </c>
      <c r="D105" s="740"/>
      <c r="E105" s="2262" t="s">
        <v>2306</v>
      </c>
      <c r="F105" s="2254"/>
      <c r="G105" s="2517" t="s">
        <v>2303</v>
      </c>
      <c r="H105" s="1046">
        <f>C37</f>
        <v>0</v>
      </c>
    </row>
    <row r="106" spans="1:8" ht="18.75" customHeight="1">
      <c r="A106" s="2221" t="s">
        <v>2307</v>
      </c>
      <c r="E106" s="2520" t="s">
        <v>2308</v>
      </c>
      <c r="F106" s="2254"/>
      <c r="G106" s="2517" t="s">
        <v>2303</v>
      </c>
      <c r="H106" s="1046">
        <f>C38</f>
        <v>0</v>
      </c>
    </row>
    <row r="107" spans="1:8" ht="18.75" customHeight="1">
      <c r="E107" s="3380" t="str">
        <f>IF(项目基本情况!E8="已注销","——","3.房地产抵押价值")</f>
        <v>3.房地产抵押价值</v>
      </c>
      <c r="F107" s="3381"/>
      <c r="G107" s="2516" t="s">
        <v>2299</v>
      </c>
      <c r="H107" s="1045" t="e">
        <f ca="1">IF(E107="——","——",H101-H103)</f>
        <v>#N/A</v>
      </c>
    </row>
    <row r="108" spans="1:8" ht="18.75" customHeight="1">
      <c r="E108" s="3380"/>
      <c r="F108" s="3381"/>
      <c r="G108" s="2516" t="s">
        <v>2301</v>
      </c>
      <c r="H108" s="370" t="e">
        <f ca="1">ROUND(H107*10000/'数据-汇总表'!E3,0)</f>
        <v>#N/A</v>
      </c>
    </row>
    <row r="109" spans="1:8" ht="18.75" customHeight="1">
      <c r="E109" s="3380" t="str">
        <f>IF(项目基本情况!E8="已注销及未注销","4.抵押担保权已注销时的房地产抵押价值",IF(项目基本情况!E8="已注销","3.抵押担保权已注销时的房地产抵押价值","——"))</f>
        <v>4.抵押担保权已注销时的房地产抵押价值</v>
      </c>
      <c r="F109" s="3381"/>
      <c r="G109" s="2516" t="s">
        <v>2299</v>
      </c>
      <c r="H109" s="347" t="e">
        <f ca="1">IF(E109="——","——",H101-H105-H106)</f>
        <v>#N/A</v>
      </c>
    </row>
    <row r="110" spans="1:8" ht="18.75" customHeight="1">
      <c r="E110" s="3380"/>
      <c r="F110" s="3381"/>
      <c r="G110" s="2516" t="s">
        <v>2301</v>
      </c>
      <c r="H110" s="370" t="e">
        <f ca="1">IF(H109="——","——",ROUND(H109*10000/'数据-汇总表'!E3,0))</f>
        <v>#N/A</v>
      </c>
    </row>
    <row r="111" spans="1:8" ht="18.75" customHeight="1">
      <c r="E111" s="3415" t="str">
        <f>IF(项目基本情况!E9="抵押净值",IF(OR(项目基本情况!E8="已注销",项目基本情况!E8="房地产抵押价值"),"4.抵押净值","5.抵押净值"),"——")</f>
        <v>——</v>
      </c>
      <c r="F111" s="3416"/>
      <c r="G111" s="2516" t="s">
        <v>2299</v>
      </c>
      <c r="H111" s="1045" t="str">
        <f>IF(E111="——","——",N59)</f>
        <v>——</v>
      </c>
    </row>
    <row r="112" spans="1:8" ht="18.75" customHeight="1" thickBot="1">
      <c r="E112" s="3417"/>
      <c r="F112" s="3418"/>
      <c r="G112" s="2521" t="s">
        <v>2301</v>
      </c>
      <c r="H112" s="787" t="str">
        <f>IF(E111="——","——",N61)</f>
        <v>——</v>
      </c>
    </row>
    <row r="113" spans="1:11" ht="18.75" customHeight="1">
      <c r="E113" s="3385" t="s">
        <v>2307</v>
      </c>
      <c r="F113" s="3385"/>
      <c r="G113" s="3385"/>
      <c r="H113" s="3385"/>
    </row>
    <row r="114" spans="1:11" ht="3.75" customHeight="1"/>
    <row r="115" spans="1:11" ht="18.75" customHeight="1">
      <c r="A115" s="3398" t="s">
        <v>2309</v>
      </c>
      <c r="B115" s="3399"/>
      <c r="C115" s="3399"/>
      <c r="D115" s="3399"/>
      <c r="E115" s="3399"/>
      <c r="F115" s="3399"/>
      <c r="G115" s="3399"/>
      <c r="H115" s="3399"/>
      <c r="I115" s="3400"/>
    </row>
    <row r="116" spans="1:11" ht="27" customHeight="1">
      <c r="A116" s="3280" t="s">
        <v>2310</v>
      </c>
      <c r="B116" s="3386" t="s">
        <v>2311</v>
      </c>
      <c r="C116" s="3386" t="s">
        <v>2312</v>
      </c>
      <c r="D116" s="3402" t="s">
        <v>2313</v>
      </c>
      <c r="E116" s="3403"/>
      <c r="F116" s="3394" t="s">
        <v>2314</v>
      </c>
      <c r="G116" s="3394"/>
      <c r="H116" s="3280" t="s">
        <v>2315</v>
      </c>
      <c r="I116" s="3280"/>
    </row>
    <row r="117" spans="1:11" ht="18.75" customHeight="1">
      <c r="A117" s="3280"/>
      <c r="B117" s="3387"/>
      <c r="C117" s="3387"/>
      <c r="D117" s="2950" t="s">
        <v>2316</v>
      </c>
      <c r="E117" s="2950" t="s">
        <v>2317</v>
      </c>
      <c r="F117" s="2950" t="s">
        <v>2316</v>
      </c>
      <c r="G117" s="2950" t="s">
        <v>2318</v>
      </c>
      <c r="H117" s="2950" t="s">
        <v>2316</v>
      </c>
      <c r="I117" s="2950" t="s">
        <v>2318</v>
      </c>
    </row>
    <row r="118" spans="1:11" ht="24.75" customHeight="1">
      <c r="A118" s="2522" t="str">
        <f>项目基本情况!S2</f>
        <v>北京市经济技术开发区荣华南路1号院1号楼房地产</v>
      </c>
      <c r="B118" s="2950">
        <f>M18</f>
        <v>0</v>
      </c>
      <c r="C118" s="2950">
        <f>M19</f>
        <v>0</v>
      </c>
      <c r="D118" s="2950" t="e">
        <f ca="1">ROUND(IF(D32="总价",C34,E118*B118/10000),0)</f>
        <v>#N/A</v>
      </c>
      <c r="E118" s="2950" t="e">
        <f ca="1">ROUND(IF(C33="自定义",IF(D32="楼面单价",C34,D118*10000/B118),I118-G118),0)</f>
        <v>#N/A</v>
      </c>
      <c r="F118" s="2950" t="e">
        <f ca="1">ROUND(IF(D32="总价",C35,G118*B118/10000),0)</f>
        <v>#N/A</v>
      </c>
      <c r="G118" s="2950" t="e">
        <f ca="1">ROUND(IF(D32="楼面单价",C35,F118*10000/B118),0)</f>
        <v>#N/A</v>
      </c>
      <c r="H118" s="2950" t="e">
        <f ca="1">ROUND(IF(D32="总价",C32,I118*B118/10000),0)</f>
        <v>#N/A</v>
      </c>
      <c r="I118" s="2950" t="e">
        <f ca="1">ROUND(IF(D32="楼面单价",C32,H118*10000/B118),0)</f>
        <v>#N/A</v>
      </c>
    </row>
    <row r="119" spans="1:11" ht="18.75" customHeight="1">
      <c r="A119" s="3280" t="s">
        <v>2319</v>
      </c>
      <c r="B119" s="3280"/>
      <c r="C119" s="3280"/>
      <c r="D119" s="3391" t="e">
        <f ca="1">NUMBERSTRING(INT(D118*10000),2)&amp;"元整"</f>
        <v>#N/A</v>
      </c>
      <c r="E119" s="3393"/>
      <c r="F119" s="3391" t="e">
        <f ca="1">NUMBERSTRING(INT(F118*10000),2)&amp;"元整"</f>
        <v>#N/A</v>
      </c>
      <c r="G119" s="3393"/>
      <c r="H119" s="3391" t="e">
        <f ca="1">NUMBERSTRING(INT(H118*10000),2)&amp;"元整"</f>
        <v>#N/A</v>
      </c>
      <c r="I119" s="3393"/>
    </row>
    <row r="120" spans="1:11" ht="18.75" customHeight="1">
      <c r="A120" s="3419" t="str">
        <f>IF(项目基本情况!B9="房地产市场价值","",MID(E103,3,LEN(E103)-2))</f>
        <v>估价师知悉的法定优先受偿款</v>
      </c>
      <c r="B120" s="3420"/>
      <c r="C120" s="3421"/>
      <c r="D120" s="3419">
        <f>H103</f>
        <v>0</v>
      </c>
      <c r="E120" s="3420"/>
      <c r="F120" s="3420"/>
      <c r="G120" s="3420"/>
      <c r="H120" s="3420"/>
      <c r="I120" s="3421"/>
      <c r="K120" s="2221" t="str">
        <f>IF(D120=0,"故，本次评估不存在"&amp;A120,"故，本次评估"&amp;A120&amp;"为人民币"&amp;D120&amp;"万元整。")</f>
        <v>故，本次评估不存在估价师知悉的法定优先受偿款</v>
      </c>
    </row>
    <row r="121" spans="1:11" ht="18.75" customHeight="1">
      <c r="A121" s="3395" t="s">
        <v>2319</v>
      </c>
      <c r="B121" s="3396"/>
      <c r="C121" s="3397"/>
      <c r="D121" s="3391" t="str">
        <f>IF(D120=0,"零元整",NUMBERSTRING(INT(D120*10000),2)&amp;"元整")</f>
        <v>零元整</v>
      </c>
      <c r="E121" s="3392"/>
      <c r="F121" s="3392"/>
      <c r="G121" s="3392"/>
      <c r="H121" s="3392"/>
      <c r="I121" s="3393"/>
    </row>
    <row r="122" spans="1:11" ht="18.75" customHeight="1">
      <c r="A122" s="3382" t="str">
        <f>IF(项目基本情况!B9="房地产市场价值","",MID(E107,3,LEN(E107)-2))</f>
        <v>房地产抵押价值</v>
      </c>
      <c r="B122" s="3382"/>
      <c r="C122" s="3382"/>
      <c r="D122" s="3419" t="e">
        <f ca="1">H107</f>
        <v>#N/A</v>
      </c>
      <c r="E122" s="3420"/>
      <c r="F122" s="3420"/>
      <c r="G122" s="3420"/>
      <c r="H122" s="3420"/>
      <c r="I122" s="3421"/>
    </row>
    <row r="123" spans="1:11" ht="18.75" customHeight="1">
      <c r="A123" s="3280" t="s">
        <v>2319</v>
      </c>
      <c r="B123" s="3280"/>
      <c r="C123" s="3280"/>
      <c r="D123" s="3391" t="e">
        <f ca="1">NUMBERSTRING(INT(D122*10000),2)&amp;"元整"</f>
        <v>#N/A</v>
      </c>
      <c r="E123" s="3392"/>
      <c r="F123" s="3392"/>
      <c r="G123" s="3392"/>
      <c r="H123" s="3392"/>
      <c r="I123" s="3393"/>
    </row>
    <row r="124" spans="1:11" ht="18.75" customHeight="1">
      <c r="A124" s="3382" t="str">
        <f>IF(项目基本情况!B9="房地产市场价值","",MID(E109,3,LEN(E109)-2))</f>
        <v>抵押担保权已注销时的房地产抵押价值</v>
      </c>
      <c r="B124" s="3382"/>
      <c r="C124" s="3382"/>
      <c r="D124" s="3419" t="e">
        <f ca="1">H109</f>
        <v>#N/A</v>
      </c>
      <c r="E124" s="3420"/>
      <c r="F124" s="3420"/>
      <c r="G124" s="3420"/>
      <c r="H124" s="3420"/>
      <c r="I124" s="3421"/>
    </row>
    <row r="125" spans="1:11" ht="18.75" customHeight="1">
      <c r="A125" s="3280" t="s">
        <v>2319</v>
      </c>
      <c r="B125" s="3280"/>
      <c r="C125" s="3280"/>
      <c r="D125" s="3391" t="e">
        <f ca="1">NUMBERSTRING(INT(D124*10000),2)&amp;"元整"</f>
        <v>#N/A</v>
      </c>
      <c r="E125" s="3392"/>
      <c r="F125" s="3392"/>
      <c r="G125" s="3392"/>
      <c r="H125" s="3392"/>
      <c r="I125" s="3393"/>
    </row>
    <row r="126" spans="1:11" ht="18.75" customHeight="1">
      <c r="A126" s="3382" t="str">
        <f>IF(项目基本情况!B9="房地产市场价值","",MID(E111,3,LEN(E111)-2))</f>
        <v/>
      </c>
      <c r="B126" s="3382"/>
      <c r="C126" s="3382"/>
      <c r="D126" s="3419" t="str">
        <f>H111</f>
        <v>——</v>
      </c>
      <c r="E126" s="3420"/>
      <c r="F126" s="3420"/>
      <c r="G126" s="3420"/>
      <c r="H126" s="3420"/>
      <c r="I126" s="3421"/>
    </row>
    <row r="127" spans="1:11" ht="18.75" customHeight="1">
      <c r="A127" s="3280" t="s">
        <v>2319</v>
      </c>
      <c r="B127" s="3280"/>
      <c r="C127" s="3280"/>
      <c r="D127" s="3391" t="e">
        <f>NUMBERSTRING(INT(D126*10000),2)&amp;"元整"</f>
        <v>#VALUE!</v>
      </c>
      <c r="E127" s="3392"/>
      <c r="F127" s="3392"/>
      <c r="G127" s="3392"/>
      <c r="H127" s="3392"/>
      <c r="I127" s="3393"/>
    </row>
    <row r="128" spans="1:11" ht="21.75" customHeight="1">
      <c r="A128" s="3401" t="s">
        <v>2320</v>
      </c>
      <c r="B128" s="3401"/>
      <c r="C128" s="3401"/>
      <c r="D128" s="3401"/>
      <c r="E128" s="3401"/>
      <c r="F128" s="3401"/>
      <c r="G128" s="3401"/>
      <c r="H128" s="3401"/>
      <c r="I128" s="3401"/>
    </row>
    <row r="129" spans="1:9" ht="21.75" customHeight="1">
      <c r="A129" s="2523" t="s">
        <v>2321</v>
      </c>
      <c r="B129" s="2524"/>
      <c r="C129" s="2525" t="s">
        <v>2322</v>
      </c>
      <c r="D129" s="2526"/>
      <c r="E129" s="2526"/>
      <c r="F129" s="2526"/>
      <c r="G129" s="2526"/>
      <c r="H129" s="2527"/>
      <c r="I129" s="2528"/>
    </row>
    <row r="130" spans="1:9" ht="21.75" customHeight="1">
      <c r="A130" s="2529">
        <v>1</v>
      </c>
      <c r="I130" s="2533"/>
    </row>
    <row r="131" spans="1:9" ht="21.75" customHeight="1">
      <c r="A131" s="2529">
        <v>2</v>
      </c>
      <c r="I131" s="2533"/>
    </row>
    <row r="132" spans="1:9" ht="21.75" customHeight="1">
      <c r="A132" s="2529">
        <v>3</v>
      </c>
      <c r="I132" s="2533"/>
    </row>
    <row r="133" spans="1:9" ht="21.75" customHeight="1">
      <c r="A133" s="2534"/>
      <c r="B133" s="2535"/>
      <c r="C133" s="2535"/>
      <c r="D133" s="2536"/>
      <c r="E133" s="2536"/>
      <c r="F133" s="2536"/>
      <c r="G133" s="2536"/>
      <c r="H133" s="2537"/>
      <c r="I133" s="2538"/>
    </row>
    <row r="135" spans="1:9" ht="21.75" customHeight="1">
      <c r="F135" s="2539" t="s">
        <v>2323</v>
      </c>
      <c r="G135" s="2540"/>
      <c r="H135" s="2540"/>
      <c r="I135" s="2541" t="s">
        <v>2324</v>
      </c>
    </row>
    <row r="136" spans="1:9" ht="21.75" customHeight="1">
      <c r="B136" s="2221" t="s">
        <v>2325</v>
      </c>
    </row>
    <row r="138" spans="1:9" ht="21.75" customHeight="1">
      <c r="B138" s="2540"/>
      <c r="C138" s="2540"/>
      <c r="D138" s="2540"/>
      <c r="E138" s="2540"/>
      <c r="F138" s="2540"/>
      <c r="G138" s="2540"/>
      <c r="H138" s="2540"/>
      <c r="I138" s="2541" t="s">
        <v>2326</v>
      </c>
    </row>
    <row r="139" spans="1:9" ht="21.75" customHeight="1">
      <c r="B139" s="2221" t="s">
        <v>2327</v>
      </c>
    </row>
    <row r="141" spans="1:9" ht="21.75" customHeight="1">
      <c r="B141" s="2540"/>
      <c r="C141" s="2540"/>
      <c r="D141" s="2540"/>
      <c r="E141" s="2540"/>
      <c r="F141" s="2540"/>
      <c r="G141" s="2540"/>
      <c r="H141" s="2540"/>
      <c r="I141" s="2541" t="s">
        <v>2326</v>
      </c>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62" priority="10" stopIfTrue="1" operator="equal">
      <formula>25</formula>
    </cfRule>
  </conditionalFormatting>
  <conditionalFormatting sqref="C8:C9">
    <cfRule type="cellIs" dxfId="61" priority="9" stopIfTrue="1" operator="equal">
      <formula>15</formula>
    </cfRule>
  </conditionalFormatting>
  <conditionalFormatting sqref="C14:C16">
    <cfRule type="cellIs" dxfId="60" priority="8" stopIfTrue="1" operator="equal">
      <formula>30</formula>
    </cfRule>
  </conditionalFormatting>
  <conditionalFormatting sqref="D5:D7">
    <cfRule type="cellIs" dxfId="59" priority="7" stopIfTrue="1" operator="equal">
      <formula>25</formula>
    </cfRule>
  </conditionalFormatting>
  <conditionalFormatting sqref="D8:D9">
    <cfRule type="cellIs" dxfId="58" priority="6" stopIfTrue="1" operator="equal">
      <formula>15</formula>
    </cfRule>
  </conditionalFormatting>
  <conditionalFormatting sqref="C10:D13">
    <cfRule type="cellIs" dxfId="57" priority="5" stopIfTrue="1" operator="equal">
      <formula>15</formula>
    </cfRule>
  </conditionalFormatting>
  <conditionalFormatting sqref="D14:D16">
    <cfRule type="cellIs" dxfId="56" priority="4" stopIfTrue="1" operator="equal">
      <formula>30</formula>
    </cfRule>
  </conditionalFormatting>
  <conditionalFormatting sqref="C90">
    <cfRule type="expression" dxfId="55" priority="3" stopIfTrue="1">
      <formula>$H$88&lt;&gt;"仅含出让金"</formula>
    </cfRule>
  </conditionalFormatting>
  <conditionalFormatting sqref="C91">
    <cfRule type="expression" dxfId="54" priority="2" stopIfTrue="1">
      <formula>$H$91="由企业提供"</formula>
    </cfRule>
  </conditionalFormatting>
  <conditionalFormatting sqref="E36">
    <cfRule type="expression" dxfId="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5" sqref="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6" t="s">
        <v>3067</v>
      </c>
      <c r="C1" s="241"/>
      <c r="D1" s="241"/>
      <c r="E1" s="241"/>
      <c r="F1" s="241"/>
      <c r="G1" s="1378" t="e">
        <f>MATCH(B1,'数据-取费表'!A6:A16,0)+5</f>
        <v>#N/A</v>
      </c>
    </row>
    <row r="2" spans="1:9" s="243" customFormat="1" ht="18" customHeight="1">
      <c r="A2" s="244" t="s">
        <v>2329</v>
      </c>
      <c r="B2" s="245" t="e">
        <f ca="1">IF(D2="——",C52,C52-E2)</f>
        <v>#DIV/0!</v>
      </c>
      <c r="C2" s="242" t="s">
        <v>2330</v>
      </c>
      <c r="D2" s="2545" t="s">
        <v>70</v>
      </c>
      <c r="E2" s="1439" t="e">
        <f ca="1">SUMIF(INDIRECT("'"&amp;G2&amp;"'"&amp;"!A:A"),"承租人权益价值",INDIRECT("'"&amp;G2&amp;"'"&amp;"!c:c"))</f>
        <v>#REF!</v>
      </c>
      <c r="F2" s="2546" t="s">
        <v>2330</v>
      </c>
      <c r="G2" s="2547"/>
    </row>
    <row r="3" spans="1:9" s="243" customFormat="1" ht="18" customHeight="1" thickBot="1">
      <c r="A3" s="246" t="s">
        <v>2331</v>
      </c>
      <c r="B3" s="247" t="e">
        <f ca="1">ROUND(B2*10000/(IF(B1="",'数据-汇总表'!E3,INDIRECT("'数据-取费表'!k"&amp;$G$1))),0)</f>
        <v>#DIV/0!</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t="e">
        <f ca="1">C6+C7+C8</f>
        <v>#DIV/0!</v>
      </c>
      <c r="D5" s="254" t="s">
        <v>2336</v>
      </c>
      <c r="E5" s="255" t="s">
        <v>2337</v>
      </c>
      <c r="F5" s="255" t="s">
        <v>2338</v>
      </c>
      <c r="G5" s="256"/>
    </row>
    <row r="6" spans="1:9" s="257" customFormat="1" ht="13.5" customHeight="1">
      <c r="A6" s="949" t="s">
        <v>2339</v>
      </c>
      <c r="B6" s="258" t="s">
        <v>2340</v>
      </c>
      <c r="C6" s="259" t="e">
        <f ca="1">基准地价修正!B2</f>
        <v>#DIV/0!</v>
      </c>
      <c r="D6" s="260"/>
      <c r="E6" s="261"/>
      <c r="F6" s="261"/>
      <c r="G6" s="262"/>
    </row>
    <row r="7" spans="1:9" s="257" customFormat="1" ht="13.5" customHeight="1">
      <c r="A7" s="949" t="s">
        <v>2341</v>
      </c>
      <c r="B7" s="258" t="s">
        <v>2342</v>
      </c>
      <c r="C7" s="263" t="e">
        <f ca="1">ROUND(C6*F7,0)</f>
        <v>#DIV/0!</v>
      </c>
      <c r="D7" s="263"/>
      <c r="E7" s="261"/>
      <c r="F7" s="264">
        <f>'数据-取费表'!B48+'数据-取费表'!B49</f>
        <v>3.0499999999999999E-2</v>
      </c>
      <c r="G7" s="262"/>
    </row>
    <row r="8" spans="1:9" s="266" customFormat="1">
      <c r="A8" s="949" t="s">
        <v>2343</v>
      </c>
      <c r="B8" s="258" t="s">
        <v>2344</v>
      </c>
      <c r="C8" s="263">
        <f>IF(G8="已包含在土地购买价格中","0",IF(B1="",'数据-取费表'!B29,IF(G9="全部缴纳",C9+C10,H9)))</f>
        <v>0</v>
      </c>
      <c r="D8" s="265"/>
      <c r="E8" s="263"/>
      <c r="F8" s="264"/>
      <c r="G8" s="2548" t="s">
        <v>3197</v>
      </c>
    </row>
    <row r="9" spans="1:9" s="257" customFormat="1" ht="13.5" customHeight="1">
      <c r="A9" s="950" t="s">
        <v>800</v>
      </c>
      <c r="B9" s="267" t="s">
        <v>2345</v>
      </c>
      <c r="C9" s="268" t="e">
        <f ca="1">ROUND(D9*E9/10000,0)</f>
        <v>#N/A</v>
      </c>
      <c r="D9" s="1032" t="e">
        <f ca="1">IF(B1="",'数据-汇总表'!E5,IF(INDIRECT("'数据-取费表'!c"&amp;$G$1)="住宅",INDIRECT("'数据-取费表'!k"&amp;$G$1),0))</f>
        <v>#N/A</v>
      </c>
      <c r="E9" s="268">
        <f>'数据-取费表'!B27</f>
        <v>160</v>
      </c>
      <c r="F9" s="264"/>
      <c r="G9" s="2549"/>
      <c r="H9" s="1389"/>
      <c r="I9" s="2550" t="s">
        <v>2346</v>
      </c>
    </row>
    <row r="10" spans="1:9" s="257" customFormat="1" ht="13.5" customHeight="1">
      <c r="A10" s="950" t="s">
        <v>801</v>
      </c>
      <c r="B10" s="267" t="s">
        <v>2347</v>
      </c>
      <c r="C10" s="268" t="e">
        <f ca="1">ROUND(D10*E10/10000,0)</f>
        <v>#N/A</v>
      </c>
      <c r="D10" s="1032"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2348</v>
      </c>
      <c r="C11" s="254"/>
      <c r="D11" s="1034"/>
      <c r="E11" s="261"/>
      <c r="F11" s="261"/>
      <c r="G11" s="262"/>
    </row>
    <row r="12" spans="1:9" s="257" customFormat="1" ht="13.5" hidden="1" customHeight="1">
      <c r="A12" s="270" t="s">
        <v>8</v>
      </c>
      <c r="B12" s="258" t="s">
        <v>2349</v>
      </c>
      <c r="C12" s="254">
        <v>0</v>
      </c>
      <c r="D12" s="1034"/>
      <c r="E12" s="271"/>
      <c r="F12" s="264">
        <v>3.0499999999999999E-2</v>
      </c>
      <c r="G12" s="262"/>
    </row>
    <row r="13" spans="1:9" s="257" customFormat="1" ht="13.5" hidden="1" customHeight="1">
      <c r="A13" s="270" t="s">
        <v>9</v>
      </c>
      <c r="B13" s="258" t="s">
        <v>2350</v>
      </c>
      <c r="C13" s="254"/>
      <c r="D13" s="1034"/>
      <c r="E13" s="261"/>
      <c r="F13" s="261"/>
      <c r="G13" s="262"/>
    </row>
    <row r="14" spans="1:9" s="257" customFormat="1" ht="13.5" hidden="1" customHeight="1">
      <c r="A14" s="270" t="s">
        <v>10</v>
      </c>
      <c r="B14" s="258" t="s">
        <v>2351</v>
      </c>
      <c r="C14" s="254"/>
      <c r="D14" s="1034"/>
      <c r="E14" s="261"/>
      <c r="F14" s="261"/>
      <c r="G14" s="262" t="s">
        <v>2352</v>
      </c>
    </row>
    <row r="15" spans="1:9" s="257" customFormat="1" ht="13.5" hidden="1" customHeight="1">
      <c r="A15" s="270" t="s">
        <v>11</v>
      </c>
      <c r="B15" s="258" t="s">
        <v>2353</v>
      </c>
      <c r="C15" s="263"/>
      <c r="D15" s="1034"/>
      <c r="E15" s="261"/>
      <c r="F15" s="261"/>
      <c r="G15" s="262" t="s">
        <v>2354</v>
      </c>
    </row>
    <row r="16" spans="1:9" s="257" customFormat="1" ht="13.5" hidden="1" customHeight="1">
      <c r="A16" s="270" t="s">
        <v>12</v>
      </c>
      <c r="B16" s="258" t="s">
        <v>2351</v>
      </c>
      <c r="C16" s="263"/>
      <c r="D16" s="1034"/>
      <c r="E16" s="261"/>
      <c r="F16" s="261"/>
      <c r="G16" s="262"/>
    </row>
    <row r="17" spans="1:7" s="257" customFormat="1" ht="13.5" hidden="1" customHeight="1">
      <c r="A17" s="270" t="s">
        <v>13</v>
      </c>
      <c r="B17" s="258" t="s">
        <v>2355</v>
      </c>
      <c r="C17" s="272"/>
      <c r="D17" s="1035"/>
      <c r="E17" s="272"/>
      <c r="F17" s="272"/>
      <c r="G17" s="262" t="s">
        <v>2354</v>
      </c>
    </row>
    <row r="18" spans="1:7" s="257" customFormat="1" ht="13.5" hidden="1" customHeight="1">
      <c r="A18" s="270" t="s">
        <v>14</v>
      </c>
      <c r="B18" s="258" t="s">
        <v>2356</v>
      </c>
      <c r="C18" s="263">
        <v>0</v>
      </c>
      <c r="D18" s="1034"/>
      <c r="E18" s="261"/>
      <c r="F18" s="264">
        <v>3.0499999999999999E-2</v>
      </c>
      <c r="G18" s="262" t="s">
        <v>2357</v>
      </c>
    </row>
    <row r="19" spans="1:7" s="266" customFormat="1" ht="13.5" customHeight="1">
      <c r="A19" s="298" t="s">
        <v>2358</v>
      </c>
      <c r="B19" s="253" t="s">
        <v>2359</v>
      </c>
      <c r="C19" s="254" t="str">
        <f>IF(G19="已包含在土地取得成本中","0",ROUND(D19*E19/10000,0))</f>
        <v>0</v>
      </c>
      <c r="D19" s="1036" t="e">
        <f ca="1">D9+D10</f>
        <v>#N/A</v>
      </c>
      <c r="E19" s="254">
        <f>'数据-取费表'!B31</f>
        <v>200</v>
      </c>
      <c r="F19" s="274"/>
      <c r="G19" s="2548" t="s">
        <v>3198</v>
      </c>
    </row>
    <row r="20" spans="1:7" s="257" customFormat="1" ht="13.5" customHeight="1">
      <c r="A20" s="298" t="s">
        <v>2360</v>
      </c>
      <c r="B20" s="253" t="s">
        <v>2361</v>
      </c>
      <c r="C20" s="275" t="e">
        <f ca="1">ROUND((C5+C19)*F20,0)</f>
        <v>#DIV/0!</v>
      </c>
      <c r="D20" s="275"/>
      <c r="E20" s="275"/>
      <c r="F20" s="276">
        <f>'数据-取费表'!B37</f>
        <v>0.03</v>
      </c>
      <c r="G20" s="277" t="s">
        <v>2362</v>
      </c>
    </row>
    <row r="21" spans="1:7" s="257" customFormat="1" ht="13.5" customHeight="1">
      <c r="A21" s="298" t="s">
        <v>2363</v>
      </c>
      <c r="B21" s="253" t="s">
        <v>2364</v>
      </c>
      <c r="C21" s="278">
        <f>F21</f>
        <v>0.03</v>
      </c>
      <c r="D21" s="279" t="s">
        <v>2365</v>
      </c>
      <c r="E21" s="275"/>
      <c r="F21" s="276">
        <f>'数据-取费表'!B38</f>
        <v>0.03</v>
      </c>
      <c r="G21" s="277" t="s">
        <v>2366</v>
      </c>
    </row>
    <row r="22" spans="1:7" s="257" customFormat="1" ht="13.5" customHeight="1">
      <c r="A22" s="298" t="s">
        <v>2367</v>
      </c>
      <c r="B22" s="253" t="s">
        <v>2368</v>
      </c>
      <c r="C22" s="1353" t="e">
        <f ca="1">ROUND(SUM(C23:C25),0)</f>
        <v>#DIV/0!</v>
      </c>
      <c r="D22" s="278">
        <f ca="1">C26</f>
        <v>2.9999999999999997E-4</v>
      </c>
      <c r="E22" s="279" t="s">
        <v>2365</v>
      </c>
      <c r="F22" s="280">
        <f ca="1">'数据-取费表'!B40</f>
        <v>4.3499999999999997E-2</v>
      </c>
      <c r="G22" s="277" t="str">
        <f>IF('数据-取费表'!B22&lt;=1,"单利计息","复利计息")</f>
        <v>单利计息</v>
      </c>
    </row>
    <row r="23" spans="1:7" s="257" customFormat="1" ht="13.5" customHeight="1">
      <c r="A23" s="951" t="s">
        <v>2369</v>
      </c>
      <c r="B23" s="258" t="s">
        <v>2370</v>
      </c>
      <c r="C23" s="1354" t="e">
        <f ca="1">ROUND(IF('数据-取费表'!B22&lt;=1,C5*F22*'数据-取费表'!B23,C5*(POWER((1+F22),'数据-取费表'!B23)-1)),0)</f>
        <v>#DIV/0!</v>
      </c>
      <c r="D23" s="281"/>
      <c r="E23" s="281"/>
      <c r="F23" s="282"/>
      <c r="G23" s="283" t="s">
        <v>2371</v>
      </c>
    </row>
    <row r="24" spans="1:7" s="257" customFormat="1" ht="13.5" customHeight="1">
      <c r="A24" s="951" t="s">
        <v>2372</v>
      </c>
      <c r="B24" s="258" t="s">
        <v>2373</v>
      </c>
      <c r="C24" s="1354">
        <f ca="1">ROUND(IF('数据-取费表'!B22&lt;=1,C19*F22*('数据-取费表'!B19/2+'数据-取费表'!B21),C19*(POWER((1+F22),('数据-取费表'!B19/2+'数据-取费表'!B21))-1)),0)</f>
        <v>0</v>
      </c>
      <c r="D24" s="281"/>
      <c r="E24" s="281"/>
      <c r="F24" s="282"/>
      <c r="G24" s="283" t="s">
        <v>2374</v>
      </c>
    </row>
    <row r="25" spans="1:7" s="257" customFormat="1" ht="24">
      <c r="A25" s="951" t="s">
        <v>2375</v>
      </c>
      <c r="B25" s="258" t="s">
        <v>2376</v>
      </c>
      <c r="C25" s="1354" t="e">
        <f ca="1">ROUND(IF('数据-取费表'!B22&lt;=1,C20*F22*'数据-取费表'!B23/2,C20*(POWER((1+F22),'数据-取费表'!B23/2)-1)),0)</f>
        <v>#DIV/0!</v>
      </c>
      <c r="D25" s="281"/>
      <c r="E25" s="284"/>
      <c r="F25" s="282"/>
      <c r="G25" s="285" t="s">
        <v>2377</v>
      </c>
    </row>
    <row r="26" spans="1:7" s="257" customFormat="1">
      <c r="A26" s="951" t="s">
        <v>795</v>
      </c>
      <c r="B26" s="258" t="s">
        <v>2378</v>
      </c>
      <c r="C26" s="281">
        <f ca="1">ROUND(IF('数据-取费表'!B22&lt;=1,F21*F22*'数据-取费表'!B23/2,F21*(POWER((1+F22),'数据-取费表'!B23/2)-1)),4)</f>
        <v>2.9999999999999997E-4</v>
      </c>
      <c r="D26" s="281"/>
      <c r="E26" s="284"/>
      <c r="F26" s="282"/>
      <c r="G26" s="286"/>
    </row>
    <row r="27" spans="1:7" s="257" customFormat="1" ht="24.75">
      <c r="A27" s="298" t="s">
        <v>2379</v>
      </c>
      <c r="B27" s="287" t="s">
        <v>2380</v>
      </c>
      <c r="C27" s="288" t="e">
        <f ca="1">C28</f>
        <v>#DIV/0!</v>
      </c>
      <c r="D27" s="278" t="e">
        <f ca="1">C29</f>
        <v>#N/A</v>
      </c>
      <c r="E27" s="279" t="s">
        <v>2381</v>
      </c>
      <c r="F27" s="289" t="e">
        <f ca="1">IF(B1="",'数据-取费表'!Q16,INDIRECT("'数据-取费表'!q"&amp;$G$1))</f>
        <v>#N/A</v>
      </c>
      <c r="G27" s="290" t="s">
        <v>2382</v>
      </c>
    </row>
    <row r="28" spans="1:7" s="257" customFormat="1" ht="13.5" customHeight="1">
      <c r="A28" s="951" t="s">
        <v>791</v>
      </c>
      <c r="B28" s="291" t="s">
        <v>2383</v>
      </c>
      <c r="C28" s="292" t="e">
        <f ca="1">ROUND((C5+C19+C20)*F27*'数据-取费表'!B21/'数据-取费表'!B20,0)</f>
        <v>#DIV/0!</v>
      </c>
      <c r="D28" s="278"/>
      <c r="E28" s="279"/>
      <c r="F28" s="289"/>
      <c r="G28" s="290"/>
    </row>
    <row r="29" spans="1:7" s="257" customFormat="1" ht="13.5" customHeight="1">
      <c r="A29" s="951" t="s">
        <v>792</v>
      </c>
      <c r="B29" s="291" t="s">
        <v>2384</v>
      </c>
      <c r="C29" s="281" t="e">
        <f ca="1">ROUND(C21*F27*'数据-取费表'!B21/'数据-取费表'!B20,4)</f>
        <v>#N/A</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t="e">
        <f ca="1">ROUND((C5+C19+C20+C22+C27)/(1-C21-D22-D27-C30),0)</f>
        <v>#DIV/0!</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t="e">
        <f ca="1">SUM(C34:C38)</f>
        <v>#N/A</v>
      </c>
      <c r="D33" s="275"/>
      <c r="E33" s="255"/>
      <c r="F33" s="284"/>
      <c r="G33" s="277"/>
    </row>
    <row r="34" spans="1:7" s="301" customFormat="1" ht="13.5" customHeight="1">
      <c r="A34" s="951" t="s">
        <v>791</v>
      </c>
      <c r="B34" s="258" t="s">
        <v>2392</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2393</v>
      </c>
    </row>
    <row r="35" spans="1:7" ht="13.5" customHeight="1">
      <c r="A35" s="951" t="s">
        <v>796</v>
      </c>
      <c r="B35" s="258" t="s">
        <v>2394</v>
      </c>
      <c r="C35" s="263" t="e">
        <f ca="1">ROUND(C34*F35,0)</f>
        <v>#N/A</v>
      </c>
      <c r="D35" s="263"/>
      <c r="E35" s="263"/>
      <c r="F35" s="302">
        <f>'数据-取费表'!B33</f>
        <v>0.05</v>
      </c>
      <c r="G35" s="262" t="s">
        <v>2395</v>
      </c>
    </row>
    <row r="36" spans="1:7" ht="24">
      <c r="A36" s="951" t="s">
        <v>797</v>
      </c>
      <c r="B36" s="258" t="s">
        <v>2396</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0.03</v>
      </c>
      <c r="G36" s="303" t="s">
        <v>2397</v>
      </c>
    </row>
    <row r="37" spans="1:7" s="301" customFormat="1" ht="13.5" customHeight="1">
      <c r="A37" s="951" t="s">
        <v>798</v>
      </c>
      <c r="B37" s="258" t="s">
        <v>2398</v>
      </c>
      <c r="C37" s="292" t="e">
        <f ca="1">ROUND(E37*D37*F34/10000,0)</f>
        <v>#N/A</v>
      </c>
      <c r="D37" s="260" t="e">
        <f ca="1">D19</f>
        <v>#N/A</v>
      </c>
      <c r="E37" s="292">
        <f>'数据-取费表'!B35</f>
        <v>200</v>
      </c>
      <c r="F37" s="302"/>
      <c r="G37" s="304" t="s">
        <v>2399</v>
      </c>
    </row>
    <row r="38" spans="1:7" ht="13.5" customHeight="1">
      <c r="A38" s="951" t="s">
        <v>799</v>
      </c>
      <c r="B38" s="258" t="s">
        <v>2400</v>
      </c>
      <c r="C38" s="263" t="e">
        <f ca="1">ROUND(C34*F38,0)</f>
        <v>#N/A</v>
      </c>
      <c r="D38" s="263"/>
      <c r="E38" s="263"/>
      <c r="F38" s="302">
        <f>'数据-取费表'!B36</f>
        <v>1.4999999999999999E-2</v>
      </c>
      <c r="G38" s="262" t="s">
        <v>2395</v>
      </c>
    </row>
    <row r="39" spans="1:7" s="257" customFormat="1" ht="13.5" customHeight="1">
      <c r="A39" s="298" t="s">
        <v>2401</v>
      </c>
      <c r="B39" s="253" t="s">
        <v>2402</v>
      </c>
      <c r="C39" s="275" t="e">
        <f ca="1">ROUND(C33*F20,0)</f>
        <v>#N/A</v>
      </c>
      <c r="D39" s="275"/>
      <c r="E39" s="275"/>
      <c r="F39" s="276"/>
      <c r="G39" s="277" t="s">
        <v>2403</v>
      </c>
    </row>
    <row r="40" spans="1:7" s="257" customFormat="1" ht="13.5" customHeight="1">
      <c r="A40" s="298" t="s">
        <v>2404</v>
      </c>
      <c r="B40" s="253" t="s">
        <v>2405</v>
      </c>
      <c r="C40" s="1727">
        <f>F21</f>
        <v>0.03</v>
      </c>
      <c r="D40" s="279" t="s">
        <v>2406</v>
      </c>
      <c r="E40" s="275"/>
      <c r="F40" s="276"/>
      <c r="G40" s="277" t="s">
        <v>2407</v>
      </c>
    </row>
    <row r="41" spans="1:7" s="257" customFormat="1" ht="13.5" customHeight="1">
      <c r="A41" s="298" t="s">
        <v>2408</v>
      </c>
      <c r="B41" s="253" t="s">
        <v>2409</v>
      </c>
      <c r="C41" s="275" t="e">
        <f ca="1">ROUND(SUM(C42:C43),0)</f>
        <v>#N/A</v>
      </c>
      <c r="D41" s="278">
        <f ca="1">C44</f>
        <v>2.9999999999999997E-4</v>
      </c>
      <c r="E41" s="279" t="s">
        <v>2406</v>
      </c>
      <c r="F41" s="280"/>
      <c r="G41" s="277" t="str">
        <f>IF('数据-取费表'!B22&lt;=1,"单利计息","复利计息")</f>
        <v>单利计息</v>
      </c>
    </row>
    <row r="42" spans="1:7" ht="13.5" customHeight="1">
      <c r="A42" s="951" t="s">
        <v>791</v>
      </c>
      <c r="B42" s="258" t="s">
        <v>2410</v>
      </c>
      <c r="C42" s="281" t="e">
        <f ca="1">ROUND(IF('数据-取费表'!B22&lt;=1,C33*F22*'数据-取费表'!B21/2,C33*(POWER((1+F22),'数据-取费表'!B21/2)-1)),0)</f>
        <v>#N/A</v>
      </c>
      <c r="D42" s="281"/>
      <c r="E42" s="281"/>
      <c r="F42" s="282"/>
      <c r="G42" s="3337" t="s">
        <v>2411</v>
      </c>
    </row>
    <row r="43" spans="1:7" ht="13.5" customHeight="1">
      <c r="A43" s="951" t="s">
        <v>792</v>
      </c>
      <c r="B43" s="258" t="s">
        <v>2412</v>
      </c>
      <c r="C43" s="281" t="e">
        <f ca="1">ROUND(IF('数据-取费表'!B22&lt;=1,C39*F22*'数据-取费表'!B21/2,C39*(POWER((1+F22),'数据-取费表'!B21/2)-1)),0)</f>
        <v>#N/A</v>
      </c>
      <c r="D43" s="281"/>
      <c r="E43" s="281"/>
      <c r="F43" s="282"/>
      <c r="G43" s="3338"/>
    </row>
    <row r="44" spans="1:7" ht="13.5" customHeight="1">
      <c r="A44" s="951" t="s">
        <v>793</v>
      </c>
      <c r="B44" s="258" t="s">
        <v>2413</v>
      </c>
      <c r="C44" s="281">
        <f ca="1">ROUND(IF('数据-取费表'!B22&lt;=1,C40*F22*'数据-取费表'!B21/2,C40*(POWER((1+F22),'数据-取费表'!B21/2)-1)),4)</f>
        <v>2.9999999999999997E-4</v>
      </c>
      <c r="D44" s="281"/>
      <c r="E44" s="281"/>
      <c r="F44" s="282"/>
      <c r="G44" s="3339"/>
    </row>
    <row r="45" spans="1:7" s="257" customFormat="1" ht="13.5" customHeight="1">
      <c r="A45" s="298" t="s">
        <v>2414</v>
      </c>
      <c r="B45" s="287" t="s">
        <v>2380</v>
      </c>
      <c r="C45" s="288" t="e">
        <f ca="1">C46</f>
        <v>#N/A</v>
      </c>
      <c r="D45" s="278" t="e">
        <f ca="1">C47</f>
        <v>#N/A</v>
      </c>
      <c r="E45" s="279" t="s">
        <v>2406</v>
      </c>
      <c r="F45" s="289"/>
      <c r="G45" s="290" t="s">
        <v>2415</v>
      </c>
    </row>
    <row r="46" spans="1:7" s="257" customFormat="1" ht="13.5" customHeight="1">
      <c r="A46" s="951" t="s">
        <v>791</v>
      </c>
      <c r="B46" s="291" t="s">
        <v>2416</v>
      </c>
      <c r="C46" s="292" t="e">
        <f ca="1">ROUND((C33+C39)*F27,0)</f>
        <v>#N/A</v>
      </c>
      <c r="D46" s="306"/>
      <c r="E46" s="279"/>
      <c r="F46" s="289"/>
      <c r="G46" s="290"/>
    </row>
    <row r="47" spans="1:7" s="257" customFormat="1" ht="13.5" customHeight="1">
      <c r="A47" s="951" t="s">
        <v>792</v>
      </c>
      <c r="B47" s="291" t="s">
        <v>2417</v>
      </c>
      <c r="C47" s="281" t="e">
        <f ca="1">ROUND(C40*F27,4)</f>
        <v>#N/A</v>
      </c>
      <c r="D47" s="306"/>
      <c r="E47" s="279"/>
      <c r="F47" s="289"/>
      <c r="G47" s="290"/>
    </row>
    <row r="48" spans="1:7" s="257" customFormat="1" ht="13.5" customHeight="1">
      <c r="A48" s="298" t="s">
        <v>2379</v>
      </c>
      <c r="B48" s="253" t="s">
        <v>2418</v>
      </c>
      <c r="C48" s="1727">
        <f>ROUND(F30/(1+'数据-取费表'!C42),4)</f>
        <v>5.2400000000000002E-2</v>
      </c>
      <c r="D48" s="279" t="s">
        <v>2406</v>
      </c>
      <c r="E48" s="275"/>
      <c r="F48" s="280"/>
      <c r="G48" s="277" t="s">
        <v>2419</v>
      </c>
    </row>
    <row r="49" spans="1:7" ht="16.5" customHeight="1">
      <c r="A49" s="298" t="s">
        <v>2385</v>
      </c>
      <c r="B49" s="253" t="s">
        <v>2420</v>
      </c>
      <c r="C49" s="275" t="e">
        <f ca="1">ROUND((C33+C39+C41+C45)/(1-C40-D41-D45-C48),0)</f>
        <v>#N/A</v>
      </c>
      <c r="D49" s="275"/>
      <c r="E49" s="275"/>
      <c r="F49" s="307"/>
      <c r="G49" s="277" t="s">
        <v>2421</v>
      </c>
    </row>
    <row r="50" spans="1:7" s="301" customFormat="1" ht="24">
      <c r="A50" s="298" t="s">
        <v>2422</v>
      </c>
      <c r="B50" s="253" t="s">
        <v>2423</v>
      </c>
      <c r="C50" s="275"/>
      <c r="D50" s="275"/>
      <c r="E50" s="275"/>
      <c r="F50" s="307">
        <f>IF('数据-取费表'!B24=0,'数据-取费表'!N16,1)</f>
        <v>0.98</v>
      </c>
      <c r="G50" s="290" t="s">
        <v>2424</v>
      </c>
    </row>
    <row r="51" spans="1:7" ht="16.5" customHeight="1">
      <c r="A51" s="298" t="s">
        <v>2425</v>
      </c>
      <c r="B51" s="253" t="s">
        <v>2426</v>
      </c>
      <c r="C51" s="275" t="e">
        <f ca="1">ROUND(C49*F50,0)</f>
        <v>#N/A</v>
      </c>
      <c r="D51" s="275"/>
      <c r="E51" s="275"/>
      <c r="F51" s="307"/>
      <c r="G51" s="277" t="s">
        <v>2427</v>
      </c>
    </row>
    <row r="52" spans="1:7" s="251" customFormat="1" ht="16.5" thickBot="1">
      <c r="A52" s="308" t="s">
        <v>2428</v>
      </c>
      <c r="B52" s="309"/>
      <c r="C52" s="310" t="e">
        <f ca="1">C31+C51</f>
        <v>#DIV/0!</v>
      </c>
      <c r="D52" s="309"/>
      <c r="E52" s="309"/>
      <c r="F52" s="309"/>
      <c r="G52" s="311"/>
    </row>
    <row r="55" spans="1:7" ht="15">
      <c r="B55" s="313" t="s">
        <v>2429</v>
      </c>
      <c r="C55" s="314"/>
    </row>
    <row r="56" spans="1:7">
      <c r="B56" s="316" t="s">
        <v>1509</v>
      </c>
      <c r="C56" s="318" t="e">
        <f ca="1">1-C57</f>
        <v>#N/A</v>
      </c>
    </row>
    <row r="57" spans="1:7">
      <c r="B57" s="316" t="s">
        <v>1510</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22" sqref="L22"/>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2746</v>
      </c>
      <c r="B1" s="394"/>
      <c r="C1" s="395" t="s">
        <v>2747</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2329</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2331</v>
      </c>
      <c r="B3" s="608" t="e">
        <f>ROUND(IF(D3="",B2*10000/'数据-汇总表'!E3,B2*10000/D3),0)</f>
        <v>#DIV/0!</v>
      </c>
      <c r="C3" s="246" t="s">
        <v>2748</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2647</v>
      </c>
      <c r="B4" s="401"/>
      <c r="C4" s="3451" t="s">
        <v>2648</v>
      </c>
      <c r="D4" s="3452"/>
      <c r="E4" s="3453" t="s">
        <v>2649</v>
      </c>
      <c r="F4" s="3454"/>
      <c r="G4" s="3451" t="s">
        <v>2650</v>
      </c>
      <c r="H4" s="3452"/>
      <c r="I4" s="3451" t="s">
        <v>2651</v>
      </c>
      <c r="J4" s="3452"/>
      <c r="K4" s="609" t="s">
        <v>2652</v>
      </c>
      <c r="L4" s="1130"/>
      <c r="M4" s="1131"/>
      <c r="N4" s="1131"/>
      <c r="O4" s="1131"/>
      <c r="P4" s="3499" t="s">
        <v>2653</v>
      </c>
      <c r="Q4" s="3500"/>
      <c r="R4" s="3503" t="s">
        <v>2649</v>
      </c>
      <c r="S4" s="3504"/>
      <c r="T4" s="3503" t="s">
        <v>2650</v>
      </c>
      <c r="U4" s="3504"/>
      <c r="V4" s="3468" t="s">
        <v>2651</v>
      </c>
      <c r="W4" s="3468"/>
      <c r="X4" s="1812"/>
      <c r="Y4" s="3503" t="s">
        <v>2653</v>
      </c>
      <c r="Z4" s="3504"/>
      <c r="AA4" s="3498" t="s">
        <v>2649</v>
      </c>
      <c r="AB4" s="3481" t="s">
        <v>2650</v>
      </c>
      <c r="AC4" s="3498" t="s">
        <v>2651</v>
      </c>
    </row>
    <row r="5" spans="1:30" ht="15">
      <c r="A5" s="403"/>
      <c r="B5" s="404"/>
      <c r="C5" s="3477" t="s">
        <v>2544</v>
      </c>
      <c r="D5" s="3472"/>
      <c r="E5" s="3526" t="s">
        <v>2545</v>
      </c>
      <c r="F5" s="3527"/>
      <c r="G5" s="3477" t="s">
        <v>2546</v>
      </c>
      <c r="H5" s="3472"/>
      <c r="I5" s="3477" t="s">
        <v>2547</v>
      </c>
      <c r="J5" s="3472"/>
      <c r="K5" s="609"/>
      <c r="L5" s="1130"/>
      <c r="M5" s="1131"/>
      <c r="N5" s="1131"/>
      <c r="O5" s="1131"/>
      <c r="P5" s="3501"/>
      <c r="Q5" s="3458"/>
      <c r="R5" s="3463"/>
      <c r="S5" s="3464"/>
      <c r="T5" s="3463"/>
      <c r="U5" s="3464"/>
      <c r="V5" s="3468"/>
      <c r="W5" s="3468"/>
      <c r="X5" s="1812"/>
      <c r="Y5" s="3463"/>
      <c r="Z5" s="3464"/>
      <c r="AA5" s="3481"/>
      <c r="AB5" s="3481"/>
      <c r="AC5" s="3481"/>
    </row>
    <row r="6" spans="1:30" ht="15.75" thickBot="1">
      <c r="A6" s="405"/>
      <c r="B6" s="406"/>
      <c r="C6" s="3469" t="s">
        <v>2548</v>
      </c>
      <c r="D6" s="3470"/>
      <c r="E6" s="3478" t="s">
        <v>2548</v>
      </c>
      <c r="F6" s="3479"/>
      <c r="G6" s="3469" t="s">
        <v>2548</v>
      </c>
      <c r="H6" s="3470"/>
      <c r="I6" s="3469" t="s">
        <v>2548</v>
      </c>
      <c r="J6" s="3470"/>
      <c r="K6" s="609" t="s">
        <v>2549</v>
      </c>
      <c r="L6" s="1130"/>
      <c r="M6" s="1131"/>
      <c r="N6" s="1131"/>
      <c r="O6" s="1131"/>
      <c r="P6" s="3502"/>
      <c r="Q6" s="3460"/>
      <c r="R6" s="3463"/>
      <c r="S6" s="3464"/>
      <c r="T6" s="3465"/>
      <c r="U6" s="3466"/>
      <c r="V6" s="3468"/>
      <c r="W6" s="3468"/>
      <c r="X6" s="1812"/>
      <c r="Y6" s="3465"/>
      <c r="Z6" s="3466"/>
      <c r="AA6" s="3482"/>
      <c r="AB6" s="3482"/>
      <c r="AC6" s="3482"/>
    </row>
    <row r="7" spans="1:30" s="116" customFormat="1" ht="15.75" thickBot="1">
      <c r="A7" s="407" t="s">
        <v>2550</v>
      </c>
      <c r="B7" s="408"/>
      <c r="C7" s="409">
        <f>'数据-取费表'!B2</f>
        <v>43553</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2"/>
      <c r="M7" s="1133"/>
      <c r="N7" s="1133"/>
      <c r="O7" s="1133"/>
      <c r="P7" s="3475" t="s">
        <v>2551</v>
      </c>
      <c r="Q7" s="3476"/>
      <c r="R7" s="767" t="s">
        <v>17</v>
      </c>
      <c r="S7" s="768">
        <f t="shared" ref="S7:S15" si="0">F7</f>
        <v>0</v>
      </c>
      <c r="T7" s="767" t="s">
        <v>17</v>
      </c>
      <c r="U7" s="768">
        <f t="shared" ref="U7:U15" si="1">H7</f>
        <v>0</v>
      </c>
      <c r="V7" s="767" t="s">
        <v>17</v>
      </c>
      <c r="W7" s="768">
        <f t="shared" ref="W7:W15" si="2">J7</f>
        <v>0</v>
      </c>
      <c r="X7" s="769"/>
      <c r="Y7" s="3475" t="s">
        <v>2551</v>
      </c>
      <c r="Z7" s="3474"/>
      <c r="AA7" s="770" t="e">
        <f>D7/F7</f>
        <v>#DIV/0!</v>
      </c>
      <c r="AB7" s="770" t="e">
        <f>D7/H7</f>
        <v>#DIV/0!</v>
      </c>
      <c r="AC7" s="770" t="e">
        <f>D7/J7</f>
        <v>#DIV/0!</v>
      </c>
    </row>
    <row r="8" spans="1:30" s="116" customFormat="1" ht="15.75" thickBot="1">
      <c r="A8" s="407" t="s">
        <v>2552</v>
      </c>
      <c r="B8" s="408"/>
      <c r="C8" s="413" t="s">
        <v>2553</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475" t="s">
        <v>2554</v>
      </c>
      <c r="Q8" s="3474"/>
      <c r="R8" s="767" t="s">
        <v>17</v>
      </c>
      <c r="S8" s="768">
        <f t="shared" si="0"/>
        <v>0</v>
      </c>
      <c r="T8" s="767" t="s">
        <v>17</v>
      </c>
      <c r="U8" s="768">
        <f t="shared" si="1"/>
        <v>0</v>
      </c>
      <c r="V8" s="767" t="s">
        <v>17</v>
      </c>
      <c r="W8" s="768">
        <f t="shared" si="2"/>
        <v>0</v>
      </c>
      <c r="X8" s="769"/>
      <c r="Y8" s="3475" t="s">
        <v>2554</v>
      </c>
      <c r="Z8" s="3474"/>
      <c r="AA8" s="770" t="e">
        <f t="shared" ref="AA8:AA45" si="3">D8/F8</f>
        <v>#DIV/0!</v>
      </c>
      <c r="AB8" s="770" t="e">
        <f t="shared" ref="AB8:AB45" si="4">D8/H8</f>
        <v>#DIV/0!</v>
      </c>
      <c r="AC8" s="770" t="e">
        <f t="shared" ref="AC8:AC45" si="5">D8/J8</f>
        <v>#DIV/0!</v>
      </c>
    </row>
    <row r="9" spans="1:30" s="116" customFormat="1">
      <c r="A9" s="414" t="s">
        <v>2555</v>
      </c>
      <c r="B9" s="70" t="s">
        <v>2556</v>
      </c>
      <c r="C9" s="2697"/>
      <c r="D9" s="134">
        <v>100</v>
      </c>
      <c r="E9" s="2697"/>
      <c r="F9" s="134">
        <f>SUMIF(75:75,E9,76:76)-SUMIF(75:75,C9,76:76)+100</f>
        <v>100</v>
      </c>
      <c r="G9" s="2697"/>
      <c r="H9" s="134">
        <f>SUMIF(75:75,G9,76:76)-SUMIF(75:75,C9,76:76)+100</f>
        <v>100</v>
      </c>
      <c r="I9" s="2697"/>
      <c r="J9" s="134">
        <f>SUMIF(75:75,I9,76:76)-SUMIF(75:75,C9,76:76)+100</f>
        <v>100</v>
      </c>
      <c r="K9" s="610"/>
      <c r="L9" s="1132"/>
      <c r="M9" s="1133"/>
      <c r="N9" s="1133"/>
      <c r="O9" s="1134"/>
      <c r="P9" s="3434" t="s">
        <v>2557</v>
      </c>
      <c r="Q9" s="1794" t="str">
        <f t="shared" ref="Q9:Q15" si="6">B9</f>
        <v>用途</v>
      </c>
      <c r="R9" s="767" t="s">
        <v>17</v>
      </c>
      <c r="S9" s="768">
        <f t="shared" si="0"/>
        <v>100</v>
      </c>
      <c r="T9" s="767" t="s">
        <v>17</v>
      </c>
      <c r="U9" s="768">
        <f t="shared" si="1"/>
        <v>100</v>
      </c>
      <c r="V9" s="767" t="s">
        <v>17</v>
      </c>
      <c r="W9" s="768">
        <f t="shared" si="2"/>
        <v>100</v>
      </c>
      <c r="X9" s="769"/>
      <c r="Y9" s="3280" t="s">
        <v>2558</v>
      </c>
      <c r="Z9" s="54" t="str">
        <f t="shared" ref="Z9:Z15" si="7">Q9</f>
        <v>用途</v>
      </c>
      <c r="AA9" s="770">
        <f t="shared" si="3"/>
        <v>1</v>
      </c>
      <c r="AB9" s="770">
        <f t="shared" si="4"/>
        <v>1</v>
      </c>
      <c r="AC9" s="770">
        <f t="shared" si="5"/>
        <v>1</v>
      </c>
    </row>
    <row r="10" spans="1:30" s="426" customFormat="1" ht="27">
      <c r="A10" s="420"/>
      <c r="B10" s="421" t="s">
        <v>2559</v>
      </c>
      <c r="C10" s="431"/>
      <c r="D10" s="135">
        <v>100</v>
      </c>
      <c r="E10" s="464"/>
      <c r="F10" s="135">
        <f>ROUND(100/'数据-取费表'!G16,0)</f>
        <v>106</v>
      </c>
      <c r="G10" s="462"/>
      <c r="H10" s="135">
        <f>ROUND(100/'数据-取费表'!G16,0)</f>
        <v>106</v>
      </c>
      <c r="I10" s="462"/>
      <c r="J10" s="135">
        <f>ROUND(100/'数据-取费表'!G16,0)</f>
        <v>106</v>
      </c>
      <c r="K10" s="671"/>
      <c r="L10" s="1135"/>
      <c r="M10" s="1136"/>
      <c r="N10" s="1136"/>
      <c r="O10" s="1137"/>
      <c r="P10" s="3434"/>
      <c r="Q10" s="1794" t="str">
        <f t="shared" si="6"/>
        <v>土地使用年限（年）</v>
      </c>
      <c r="R10" s="767" t="s">
        <v>17</v>
      </c>
      <c r="S10" s="768">
        <f t="shared" si="0"/>
        <v>106</v>
      </c>
      <c r="T10" s="767" t="s">
        <v>17</v>
      </c>
      <c r="U10" s="768">
        <f t="shared" si="1"/>
        <v>106</v>
      </c>
      <c r="V10" s="767" t="s">
        <v>17</v>
      </c>
      <c r="W10" s="768">
        <f t="shared" si="2"/>
        <v>106</v>
      </c>
      <c r="X10" s="769"/>
      <c r="Y10" s="3280"/>
      <c r="Z10" s="54" t="str">
        <f t="shared" si="7"/>
        <v>土地使用年限（年）</v>
      </c>
      <c r="AA10" s="770">
        <f t="shared" si="3"/>
        <v>0.94339622641509435</v>
      </c>
      <c r="AB10" s="770">
        <f t="shared" si="4"/>
        <v>0.94339622641509435</v>
      </c>
      <c r="AC10" s="770">
        <f t="shared" si="5"/>
        <v>0.94339622641509435</v>
      </c>
    </row>
    <row r="11" spans="1:30" ht="15">
      <c r="A11" s="427"/>
      <c r="B11" s="421" t="s">
        <v>2560</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434"/>
      <c r="Q11" s="1794" t="str">
        <f t="shared" si="6"/>
        <v>容积率</v>
      </c>
      <c r="R11" s="767" t="s">
        <v>17</v>
      </c>
      <c r="S11" s="768" t="e">
        <f t="shared" si="0"/>
        <v>#N/A</v>
      </c>
      <c r="T11" s="767" t="s">
        <v>17</v>
      </c>
      <c r="U11" s="768" t="e">
        <f t="shared" si="1"/>
        <v>#N/A</v>
      </c>
      <c r="V11" s="767" t="s">
        <v>17</v>
      </c>
      <c r="W11" s="768" t="e">
        <f t="shared" si="2"/>
        <v>#N/A</v>
      </c>
      <c r="X11" s="769"/>
      <c r="Y11" s="3280"/>
      <c r="Z11" s="54" t="str">
        <f t="shared" si="7"/>
        <v>容积率</v>
      </c>
      <c r="AA11" s="770" t="e">
        <f t="shared" si="3"/>
        <v>#N/A</v>
      </c>
      <c r="AB11" s="770" t="e">
        <f t="shared" si="4"/>
        <v>#N/A</v>
      </c>
      <c r="AC11" s="770" t="e">
        <f t="shared" si="5"/>
        <v>#N/A</v>
      </c>
    </row>
    <row r="12" spans="1:30" s="116" customFormat="1" ht="15">
      <c r="A12" s="430"/>
      <c r="B12" s="2598" t="s">
        <v>2749</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434"/>
      <c r="Q12" s="1794" t="str">
        <f t="shared" si="6"/>
        <v>配建</v>
      </c>
      <c r="R12" s="767" t="s">
        <v>17</v>
      </c>
      <c r="S12" s="768">
        <f t="shared" si="0"/>
        <v>100</v>
      </c>
      <c r="T12" s="767" t="s">
        <v>17</v>
      </c>
      <c r="U12" s="768">
        <f t="shared" si="1"/>
        <v>100</v>
      </c>
      <c r="V12" s="767" t="s">
        <v>17</v>
      </c>
      <c r="W12" s="768">
        <f t="shared" si="2"/>
        <v>100</v>
      </c>
      <c r="X12" s="769"/>
      <c r="Y12" s="3280"/>
      <c r="Z12" s="54" t="str">
        <f t="shared" si="7"/>
        <v>配建</v>
      </c>
      <c r="AA12" s="770">
        <f>D12/F12</f>
        <v>1</v>
      </c>
      <c r="AB12" s="770">
        <f>D12/H12</f>
        <v>1</v>
      </c>
      <c r="AC12" s="770">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434"/>
      <c r="Q13" s="1794">
        <f t="shared" si="6"/>
        <v>111</v>
      </c>
      <c r="R13" s="767" t="s">
        <v>17</v>
      </c>
      <c r="S13" s="768">
        <f t="shared" si="0"/>
        <v>100</v>
      </c>
      <c r="T13" s="767" t="s">
        <v>17</v>
      </c>
      <c r="U13" s="768">
        <f t="shared" si="1"/>
        <v>100</v>
      </c>
      <c r="V13" s="767" t="s">
        <v>17</v>
      </c>
      <c r="W13" s="768">
        <f t="shared" si="2"/>
        <v>100</v>
      </c>
      <c r="X13" s="769"/>
      <c r="Y13" s="3280"/>
      <c r="Z13" s="54">
        <f t="shared" si="7"/>
        <v>111</v>
      </c>
      <c r="AA13" s="770">
        <f>D13/F13</f>
        <v>1</v>
      </c>
      <c r="AB13" s="770">
        <f>D13/H13</f>
        <v>1</v>
      </c>
      <c r="AC13" s="770">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434"/>
      <c r="Q14" s="1794">
        <f t="shared" si="6"/>
        <v>111</v>
      </c>
      <c r="R14" s="767" t="s">
        <v>17</v>
      </c>
      <c r="S14" s="768">
        <f t="shared" si="0"/>
        <v>100</v>
      </c>
      <c r="T14" s="767" t="s">
        <v>17</v>
      </c>
      <c r="U14" s="768">
        <f t="shared" si="1"/>
        <v>100</v>
      </c>
      <c r="V14" s="767" t="s">
        <v>17</v>
      </c>
      <c r="W14" s="768">
        <f t="shared" si="2"/>
        <v>100</v>
      </c>
      <c r="X14" s="769"/>
      <c r="Y14" s="3280"/>
      <c r="Z14" s="54">
        <f t="shared" si="7"/>
        <v>111</v>
      </c>
      <c r="AA14" s="770">
        <f>D14/F14</f>
        <v>1</v>
      </c>
      <c r="AB14" s="770">
        <f>D14/H14</f>
        <v>1</v>
      </c>
      <c r="AC14" s="770">
        <f>D14/J14</f>
        <v>1</v>
      </c>
    </row>
    <row r="15" spans="1:30" ht="99.75">
      <c r="A15" s="439" t="s">
        <v>2561</v>
      </c>
      <c r="B15" s="68" t="s">
        <v>2085</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441" t="s">
        <v>2562</v>
      </c>
      <c r="Q15" s="1809" t="str">
        <f t="shared" si="6"/>
        <v>居住社区成熟度</v>
      </c>
      <c r="R15" s="771" t="s">
        <v>17</v>
      </c>
      <c r="S15" s="772">
        <f t="shared" si="0"/>
        <v>100</v>
      </c>
      <c r="T15" s="771" t="s">
        <v>17</v>
      </c>
      <c r="U15" s="772">
        <f t="shared" si="1"/>
        <v>100</v>
      </c>
      <c r="V15" s="771" t="s">
        <v>17</v>
      </c>
      <c r="W15" s="772">
        <f t="shared" si="2"/>
        <v>100</v>
      </c>
      <c r="X15" s="1812"/>
      <c r="Y15" s="3441" t="s">
        <v>2562</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40"/>
      <c r="M16" s="1131"/>
      <c r="N16" s="1131"/>
      <c r="O16" s="1139"/>
      <c r="P16" s="3442"/>
      <c r="Q16" s="1809"/>
      <c r="R16" s="771"/>
      <c r="S16" s="772"/>
      <c r="T16" s="771"/>
      <c r="U16" s="772"/>
      <c r="V16" s="771"/>
      <c r="W16" s="772"/>
      <c r="X16" s="1812"/>
      <c r="Y16" s="3442"/>
      <c r="Z16" s="1813"/>
      <c r="AA16" s="1810">
        <v>1</v>
      </c>
      <c r="AB16" s="1810">
        <v>1</v>
      </c>
      <c r="AC16" s="1810">
        <v>1</v>
      </c>
    </row>
    <row r="17" spans="1:29" ht="71.25">
      <c r="A17" s="427"/>
      <c r="B17" s="450" t="s">
        <v>2655</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442"/>
      <c r="Q17" s="1809" t="str">
        <f>B17</f>
        <v>商业繁华度</v>
      </c>
      <c r="R17" s="771" t="s">
        <v>17</v>
      </c>
      <c r="S17" s="772">
        <f>F17</f>
        <v>100</v>
      </c>
      <c r="T17" s="771" t="s">
        <v>17</v>
      </c>
      <c r="U17" s="772">
        <f>H17</f>
        <v>100</v>
      </c>
      <c r="V17" s="771" t="s">
        <v>17</v>
      </c>
      <c r="W17" s="772">
        <f>J17</f>
        <v>100</v>
      </c>
      <c r="X17" s="1812"/>
      <c r="Y17" s="3442"/>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40"/>
      <c r="M18" s="1131"/>
      <c r="N18" s="1131"/>
      <c r="O18" s="1139"/>
      <c r="P18" s="3442"/>
      <c r="Q18" s="1809"/>
      <c r="R18" s="771"/>
      <c r="S18" s="772"/>
      <c r="T18" s="771"/>
      <c r="U18" s="772"/>
      <c r="V18" s="771"/>
      <c r="W18" s="772"/>
      <c r="X18" s="1812"/>
      <c r="Y18" s="3442"/>
      <c r="Z18" s="1813"/>
      <c r="AA18" s="1810">
        <v>1</v>
      </c>
      <c r="AB18" s="1810">
        <v>1</v>
      </c>
      <c r="AC18" s="1810">
        <v>1</v>
      </c>
    </row>
    <row r="19" spans="1:29" ht="71.25">
      <c r="A19" s="427"/>
      <c r="B19" s="450" t="s">
        <v>2689</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442"/>
      <c r="Q19" s="1809" t="str">
        <f>B19</f>
        <v>办公集聚程度</v>
      </c>
      <c r="R19" s="771" t="s">
        <v>17</v>
      </c>
      <c r="S19" s="772">
        <f>F19</f>
        <v>100</v>
      </c>
      <c r="T19" s="771" t="s">
        <v>17</v>
      </c>
      <c r="U19" s="772">
        <f>H19</f>
        <v>100</v>
      </c>
      <c r="V19" s="771" t="s">
        <v>17</v>
      </c>
      <c r="W19" s="772">
        <f>J19</f>
        <v>100</v>
      </c>
      <c r="X19" s="1812"/>
      <c r="Y19" s="3442"/>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40"/>
      <c r="M20" s="1131"/>
      <c r="N20" s="1131"/>
      <c r="O20" s="1139"/>
      <c r="P20" s="3442"/>
      <c r="Q20" s="1809"/>
      <c r="R20" s="771"/>
      <c r="S20" s="772"/>
      <c r="T20" s="771"/>
      <c r="U20" s="772"/>
      <c r="V20" s="771"/>
      <c r="W20" s="772"/>
      <c r="X20" s="1812"/>
      <c r="Y20" s="3442"/>
      <c r="Z20" s="1813"/>
      <c r="AA20" s="1810">
        <v>1</v>
      </c>
      <c r="AB20" s="1810">
        <v>1</v>
      </c>
      <c r="AC20" s="1810">
        <v>1</v>
      </c>
    </row>
    <row r="21" spans="1:29" ht="85.5">
      <c r="A21" s="427"/>
      <c r="B21" s="450" t="s">
        <v>2711</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442"/>
      <c r="Q21" s="1809" t="str">
        <f>B21</f>
        <v>交通便捷度</v>
      </c>
      <c r="R21" s="771" t="s">
        <v>17</v>
      </c>
      <c r="S21" s="772">
        <f>F21</f>
        <v>100</v>
      </c>
      <c r="T21" s="771" t="s">
        <v>17</v>
      </c>
      <c r="U21" s="772">
        <f>H21</f>
        <v>100</v>
      </c>
      <c r="V21" s="771" t="s">
        <v>17</v>
      </c>
      <c r="W21" s="772">
        <f>J21</f>
        <v>100</v>
      </c>
      <c r="X21" s="1812"/>
      <c r="Y21" s="3442"/>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40"/>
      <c r="M22" s="1131"/>
      <c r="N22" s="1131"/>
      <c r="O22" s="1139"/>
      <c r="P22" s="3442"/>
      <c r="Q22" s="1809"/>
      <c r="R22" s="771"/>
      <c r="S22" s="772"/>
      <c r="T22" s="771"/>
      <c r="U22" s="772"/>
      <c r="V22" s="771"/>
      <c r="W22" s="772"/>
      <c r="X22" s="1812"/>
      <c r="Y22" s="3442"/>
      <c r="Z22" s="1813"/>
      <c r="AA22" s="1810">
        <v>1</v>
      </c>
      <c r="AB22" s="1810">
        <v>1</v>
      </c>
      <c r="AC22" s="1810">
        <v>1</v>
      </c>
    </row>
    <row r="23" spans="1:29" ht="15">
      <c r="A23" s="403"/>
      <c r="B23" s="450" t="s">
        <v>2750</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442"/>
      <c r="Q23" s="1809" t="str">
        <f t="shared" ref="Q23:Q37" si="8">B23</f>
        <v>区域土地利用方向</v>
      </c>
      <c r="R23" s="771" t="s">
        <v>17</v>
      </c>
      <c r="S23" s="772">
        <f>F23</f>
        <v>100</v>
      </c>
      <c r="T23" s="771" t="s">
        <v>17</v>
      </c>
      <c r="U23" s="772">
        <f>H23</f>
        <v>100</v>
      </c>
      <c r="V23" s="771" t="s">
        <v>17</v>
      </c>
      <c r="W23" s="772">
        <f>J23</f>
        <v>100</v>
      </c>
      <c r="X23" s="1812"/>
      <c r="Y23" s="3442"/>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09"/>
      <c r="L24" s="1140"/>
      <c r="M24" s="1131"/>
      <c r="N24" s="1131"/>
      <c r="O24" s="1139"/>
      <c r="P24" s="3442"/>
      <c r="Q24" s="1809"/>
      <c r="R24" s="771"/>
      <c r="S24" s="772"/>
      <c r="T24" s="771"/>
      <c r="U24" s="772"/>
      <c r="V24" s="771"/>
      <c r="W24" s="772"/>
      <c r="X24" s="1812"/>
      <c r="Y24" s="3442"/>
      <c r="Z24" s="1813"/>
      <c r="AA24" s="1810"/>
      <c r="AB24" s="1810"/>
      <c r="AC24" s="1810"/>
    </row>
    <row r="25" spans="1:29" ht="57">
      <c r="A25" s="403"/>
      <c r="B25" s="1383" t="s">
        <v>2751</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442"/>
      <c r="Q25" s="1809" t="str">
        <f t="shared" si="8"/>
        <v>自然及人文环境状况</v>
      </c>
      <c r="R25" s="771" t="s">
        <v>17</v>
      </c>
      <c r="S25" s="772">
        <f>F25</f>
        <v>100</v>
      </c>
      <c r="T25" s="771" t="s">
        <v>17</v>
      </c>
      <c r="U25" s="772">
        <f>H25</f>
        <v>100</v>
      </c>
      <c r="V25" s="771" t="s">
        <v>17</v>
      </c>
      <c r="W25" s="772">
        <f>J25</f>
        <v>100</v>
      </c>
      <c r="X25" s="1812"/>
      <c r="Y25" s="3442"/>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40"/>
      <c r="M26" s="1131"/>
      <c r="N26" s="1131"/>
      <c r="O26" s="1139"/>
      <c r="P26" s="3442"/>
      <c r="Q26" s="1809"/>
      <c r="R26" s="771"/>
      <c r="S26" s="772"/>
      <c r="T26" s="771"/>
      <c r="U26" s="772"/>
      <c r="V26" s="771"/>
      <c r="W26" s="772"/>
      <c r="X26" s="1812"/>
      <c r="Y26" s="3442"/>
      <c r="Z26" s="1813"/>
      <c r="AA26" s="1810">
        <v>1</v>
      </c>
      <c r="AB26" s="1810">
        <v>1</v>
      </c>
      <c r="AC26" s="1810">
        <v>1</v>
      </c>
    </row>
    <row r="27" spans="1:29" s="116" customFormat="1" ht="42.75">
      <c r="A27" s="648"/>
      <c r="B27" s="1383" t="s">
        <v>2656</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442"/>
      <c r="Q27" s="1794" t="str">
        <f t="shared" si="8"/>
        <v>公共配套设施</v>
      </c>
      <c r="R27" s="767" t="s">
        <v>17</v>
      </c>
      <c r="S27" s="768">
        <f>F27</f>
        <v>100</v>
      </c>
      <c r="T27" s="767" t="s">
        <v>17</v>
      </c>
      <c r="U27" s="768">
        <f>H27</f>
        <v>100</v>
      </c>
      <c r="V27" s="767" t="s">
        <v>17</v>
      </c>
      <c r="W27" s="768">
        <f>J27</f>
        <v>100</v>
      </c>
      <c r="X27" s="769"/>
      <c r="Y27" s="3442"/>
      <c r="Z27" s="54" t="str">
        <f>Q27</f>
        <v>公共配套设施</v>
      </c>
      <c r="AA27" s="1810">
        <f>D27/F27</f>
        <v>1</v>
      </c>
      <c r="AB27" s="1810">
        <f>D27/H27</f>
        <v>1</v>
      </c>
      <c r="AC27" s="1810">
        <f>D27/J27</f>
        <v>1</v>
      </c>
    </row>
    <row r="28" spans="1:29" s="116" customFormat="1" ht="15">
      <c r="A28" s="648"/>
      <c r="B28" s="455"/>
      <c r="C28" s="2698"/>
      <c r="D28" s="447"/>
      <c r="E28" s="2609"/>
      <c r="F28" s="447"/>
      <c r="G28" s="2609"/>
      <c r="H28" s="447"/>
      <c r="I28" s="446"/>
      <c r="J28" s="447"/>
      <c r="K28" s="671"/>
      <c r="L28" s="1132"/>
      <c r="M28" s="1133"/>
      <c r="N28" s="1133"/>
      <c r="O28" s="1134"/>
      <c r="P28" s="3442"/>
      <c r="Q28" s="1794"/>
      <c r="R28" s="767"/>
      <c r="S28" s="768"/>
      <c r="T28" s="767"/>
      <c r="U28" s="768"/>
      <c r="V28" s="767"/>
      <c r="W28" s="768"/>
      <c r="X28" s="769"/>
      <c r="Y28" s="3442"/>
      <c r="Z28" s="54"/>
      <c r="AA28" s="1810">
        <v>1</v>
      </c>
      <c r="AB28" s="1810">
        <v>1</v>
      </c>
      <c r="AC28" s="1810">
        <v>1</v>
      </c>
    </row>
    <row r="29" spans="1:29" s="116" customFormat="1" ht="28.5">
      <c r="A29" s="648"/>
      <c r="B29" s="1383" t="s">
        <v>2657</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442"/>
      <c r="Q29" s="1794" t="str">
        <f t="shared" ref="Q29" si="9">B29</f>
        <v>基础设施水平</v>
      </c>
      <c r="R29" s="767" t="s">
        <v>17</v>
      </c>
      <c r="S29" s="768">
        <f>F29</f>
        <v>100</v>
      </c>
      <c r="T29" s="767" t="s">
        <v>17</v>
      </c>
      <c r="U29" s="768">
        <f>H29</f>
        <v>100</v>
      </c>
      <c r="V29" s="767" t="s">
        <v>17</v>
      </c>
      <c r="W29" s="768">
        <f>J29</f>
        <v>100</v>
      </c>
      <c r="X29" s="769"/>
      <c r="Y29" s="3442"/>
      <c r="Z29" s="54" t="str">
        <f>Q29</f>
        <v>基础设施水平</v>
      </c>
      <c r="AA29" s="1810">
        <f>D29/F29</f>
        <v>1</v>
      </c>
      <c r="AB29" s="1810">
        <f>D29/H29</f>
        <v>1</v>
      </c>
      <c r="AC29" s="1810">
        <f>D29/J29</f>
        <v>1</v>
      </c>
    </row>
    <row r="30" spans="1:29" s="116" customFormat="1" ht="15">
      <c r="A30" s="648"/>
      <c r="B30" s="455"/>
      <c r="C30" s="2698"/>
      <c r="D30" s="447"/>
      <c r="E30" s="2699"/>
      <c r="F30" s="447"/>
      <c r="G30" s="2699"/>
      <c r="H30" s="447"/>
      <c r="I30" s="2699"/>
      <c r="J30" s="447"/>
      <c r="K30" s="671"/>
      <c r="L30" s="1132"/>
      <c r="M30" s="1133"/>
      <c r="N30" s="1133"/>
      <c r="O30" s="1134"/>
      <c r="P30" s="3442"/>
      <c r="Q30" s="1794"/>
      <c r="R30" s="767"/>
      <c r="S30" s="768"/>
      <c r="T30" s="767"/>
      <c r="U30" s="768"/>
      <c r="V30" s="767"/>
      <c r="W30" s="768"/>
      <c r="X30" s="769"/>
      <c r="Y30" s="3442"/>
      <c r="Z30" s="54"/>
      <c r="AA30" s="1810">
        <v>1</v>
      </c>
      <c r="AB30" s="1810">
        <v>1</v>
      </c>
      <c r="AC30" s="1810">
        <v>1</v>
      </c>
    </row>
    <row r="31" spans="1:29" ht="15">
      <c r="A31" s="427"/>
      <c r="B31" s="455" t="s">
        <v>2658</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442"/>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442"/>
      <c r="Z31" s="1813" t="str">
        <f t="shared" ref="Z31:Z45" si="13">Q31</f>
        <v>临街状况</v>
      </c>
      <c r="AA31" s="1810">
        <f t="shared" si="3"/>
        <v>1</v>
      </c>
      <c r="AB31" s="1810">
        <f t="shared" si="4"/>
        <v>1</v>
      </c>
      <c r="AC31" s="1810">
        <f t="shared" si="5"/>
        <v>1</v>
      </c>
    </row>
    <row r="32" spans="1:29" ht="27">
      <c r="A32" s="427"/>
      <c r="B32" s="1383" t="s">
        <v>2693</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442"/>
      <c r="Q32" s="1809" t="str">
        <f t="shared" si="8"/>
        <v>毗邻道路的类型与等级</v>
      </c>
      <c r="R32" s="771" t="s">
        <v>17</v>
      </c>
      <c r="S32" s="772">
        <f t="shared" si="10"/>
        <v>100</v>
      </c>
      <c r="T32" s="771" t="s">
        <v>17</v>
      </c>
      <c r="U32" s="772">
        <f t="shared" si="11"/>
        <v>100</v>
      </c>
      <c r="V32" s="771" t="s">
        <v>17</v>
      </c>
      <c r="W32" s="772">
        <f t="shared" si="12"/>
        <v>100</v>
      </c>
      <c r="X32" s="1812"/>
      <c r="Y32" s="3442"/>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40"/>
      <c r="M33" s="1131"/>
      <c r="N33" s="1131"/>
      <c r="O33" s="1139"/>
      <c r="P33" s="3442"/>
      <c r="Q33" s="1809"/>
      <c r="R33" s="771"/>
      <c r="S33" s="772"/>
      <c r="T33" s="771"/>
      <c r="U33" s="772"/>
      <c r="V33" s="771"/>
      <c r="W33" s="772"/>
      <c r="X33" s="1812"/>
      <c r="Y33" s="3442"/>
      <c r="Z33" s="1813"/>
      <c r="AA33" s="1810">
        <v>1</v>
      </c>
      <c r="AB33" s="1810">
        <v>1</v>
      </c>
      <c r="AC33" s="1810">
        <v>1</v>
      </c>
    </row>
    <row r="34" spans="1:29" ht="15">
      <c r="A34" s="427"/>
      <c r="B34" s="421" t="s">
        <v>2752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442"/>
      <c r="Q34" s="1809" t="str">
        <f t="shared" si="8"/>
        <v>土地级别</v>
      </c>
      <c r="R34" s="771" t="s">
        <v>17</v>
      </c>
      <c r="S34" s="772">
        <f t="shared" si="10"/>
        <v>100</v>
      </c>
      <c r="T34" s="771" t="s">
        <v>17</v>
      </c>
      <c r="U34" s="772">
        <f t="shared" si="11"/>
        <v>100</v>
      </c>
      <c r="V34" s="771" t="s">
        <v>17</v>
      </c>
      <c r="W34" s="772">
        <f t="shared" si="12"/>
        <v>100</v>
      </c>
      <c r="X34" s="1812"/>
      <c r="Y34" s="3442"/>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442"/>
      <c r="Q35" s="1809">
        <f t="shared" si="8"/>
        <v>111</v>
      </c>
      <c r="R35" s="771" t="s">
        <v>17</v>
      </c>
      <c r="S35" s="772">
        <f t="shared" si="10"/>
        <v>100</v>
      </c>
      <c r="T35" s="771" t="s">
        <v>17</v>
      </c>
      <c r="U35" s="772">
        <f t="shared" si="11"/>
        <v>100</v>
      </c>
      <c r="V35" s="771" t="s">
        <v>17</v>
      </c>
      <c r="W35" s="772">
        <f t="shared" si="12"/>
        <v>100</v>
      </c>
      <c r="X35" s="1812"/>
      <c r="Y35" s="3442"/>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528" t="s">
        <v>2567</v>
      </c>
      <c r="Q36" s="1809">
        <f t="shared" si="8"/>
        <v>111</v>
      </c>
      <c r="R36" s="771" t="s">
        <v>17</v>
      </c>
      <c r="S36" s="772">
        <f t="shared" si="10"/>
        <v>100</v>
      </c>
      <c r="T36" s="771" t="s">
        <v>17</v>
      </c>
      <c r="U36" s="772">
        <f t="shared" si="11"/>
        <v>100</v>
      </c>
      <c r="V36" s="771" t="s">
        <v>17</v>
      </c>
      <c r="W36" s="772">
        <f t="shared" si="12"/>
        <v>100</v>
      </c>
      <c r="X36" s="1812"/>
      <c r="Y36" s="3446" t="s">
        <v>2567</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446"/>
      <c r="Q37" s="1809">
        <f t="shared" si="8"/>
        <v>111</v>
      </c>
      <c r="R37" s="774" t="s">
        <v>17</v>
      </c>
      <c r="S37" s="775">
        <f t="shared" si="10"/>
        <v>100</v>
      </c>
      <c r="T37" s="774" t="s">
        <v>17</v>
      </c>
      <c r="U37" s="775">
        <f t="shared" si="11"/>
        <v>100</v>
      </c>
      <c r="V37" s="774" t="s">
        <v>17</v>
      </c>
      <c r="W37" s="775">
        <f t="shared" si="12"/>
        <v>100</v>
      </c>
      <c r="X37" s="776"/>
      <c r="Y37" s="3446"/>
      <c r="Z37" s="777">
        <f t="shared" si="13"/>
        <v>111</v>
      </c>
      <c r="AA37" s="1810">
        <f t="shared" si="3"/>
        <v>1</v>
      </c>
      <c r="AB37" s="1810">
        <f t="shared" si="4"/>
        <v>1</v>
      </c>
      <c r="AC37" s="1810">
        <f t="shared" si="5"/>
        <v>1</v>
      </c>
    </row>
    <row r="38" spans="1:29" ht="15">
      <c r="A38" s="471" t="s">
        <v>2565</v>
      </c>
      <c r="B38" s="455" t="s">
        <v>2753</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446"/>
      <c r="Q38" s="1809" t="str">
        <f>B38</f>
        <v>宗地面积</v>
      </c>
      <c r="R38" s="771" t="s">
        <v>17</v>
      </c>
      <c r="S38" s="772" t="e">
        <f t="shared" si="10"/>
        <v>#N/A</v>
      </c>
      <c r="T38" s="771" t="s">
        <v>17</v>
      </c>
      <c r="U38" s="772" t="e">
        <f t="shared" si="11"/>
        <v>#N/A</v>
      </c>
      <c r="V38" s="771" t="s">
        <v>17</v>
      </c>
      <c r="W38" s="772" t="e">
        <f t="shared" si="12"/>
        <v>#N/A</v>
      </c>
      <c r="X38" s="1812"/>
      <c r="Y38" s="3446"/>
      <c r="Z38" s="1813" t="str">
        <f t="shared" si="13"/>
        <v>宗地面积</v>
      </c>
      <c r="AA38" s="1810" t="e">
        <f t="shared" si="3"/>
        <v>#N/A</v>
      </c>
      <c r="AB38" s="1810" t="e">
        <f t="shared" si="4"/>
        <v>#N/A</v>
      </c>
      <c r="AC38" s="1810" t="e">
        <f t="shared" si="5"/>
        <v>#N/A</v>
      </c>
    </row>
    <row r="39" spans="1:29" ht="15">
      <c r="A39" s="471"/>
      <c r="B39" s="421" t="s">
        <v>2754</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0"/>
      <c r="M39" s="1131"/>
      <c r="N39" s="1131"/>
      <c r="O39" s="1139"/>
      <c r="P39" s="3446"/>
      <c r="Q39" s="1809" t="str">
        <f t="shared" ref="Q39:Q45" si="14">B39</f>
        <v>宗地形状</v>
      </c>
      <c r="R39" s="771" t="s">
        <v>17</v>
      </c>
      <c r="S39" s="772">
        <f t="shared" si="10"/>
        <v>100</v>
      </c>
      <c r="T39" s="771" t="s">
        <v>17</v>
      </c>
      <c r="U39" s="772">
        <f t="shared" si="11"/>
        <v>100</v>
      </c>
      <c r="V39" s="771" t="s">
        <v>17</v>
      </c>
      <c r="W39" s="772">
        <f t="shared" si="12"/>
        <v>100</v>
      </c>
      <c r="X39" s="1812"/>
      <c r="Y39" s="3446"/>
      <c r="Z39" s="1813" t="str">
        <f t="shared" si="13"/>
        <v>宗地形状</v>
      </c>
      <c r="AA39" s="1810">
        <f t="shared" si="3"/>
        <v>1</v>
      </c>
      <c r="AB39" s="1810">
        <f t="shared" si="4"/>
        <v>1</v>
      </c>
      <c r="AC39" s="1810">
        <f t="shared" si="5"/>
        <v>1</v>
      </c>
    </row>
    <row r="40" spans="1:29" ht="15">
      <c r="A40" s="471"/>
      <c r="B40" s="421" t="s">
        <v>2755</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0"/>
      <c r="M40" s="1131"/>
      <c r="N40" s="1131"/>
      <c r="O40" s="1139"/>
      <c r="P40" s="3446"/>
      <c r="Q40" s="1809" t="str">
        <f t="shared" si="14"/>
        <v>临街宽度及深度</v>
      </c>
      <c r="R40" s="771" t="s">
        <v>17</v>
      </c>
      <c r="S40" s="772">
        <f t="shared" si="10"/>
        <v>100</v>
      </c>
      <c r="T40" s="771" t="s">
        <v>17</v>
      </c>
      <c r="U40" s="772">
        <f t="shared" si="11"/>
        <v>100</v>
      </c>
      <c r="V40" s="771" t="s">
        <v>17</v>
      </c>
      <c r="W40" s="772">
        <f t="shared" si="12"/>
        <v>100</v>
      </c>
      <c r="X40" s="1812"/>
      <c r="Y40" s="3446"/>
      <c r="Z40" s="1813" t="str">
        <f t="shared" si="13"/>
        <v>临街宽度及深度</v>
      </c>
      <c r="AA40" s="1810">
        <f t="shared" si="3"/>
        <v>1</v>
      </c>
      <c r="AB40" s="1810">
        <f t="shared" si="4"/>
        <v>1</v>
      </c>
      <c r="AC40" s="1810">
        <f t="shared" si="5"/>
        <v>1</v>
      </c>
    </row>
    <row r="41" spans="1:29" s="116" customFormat="1" ht="15">
      <c r="A41" s="472"/>
      <c r="B41" s="421" t="s">
        <v>2756</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2"/>
      <c r="M41" s="1133"/>
      <c r="N41" s="1133"/>
      <c r="O41" s="1134"/>
      <c r="P41" s="3446"/>
      <c r="Q41" s="1809" t="str">
        <f t="shared" si="14"/>
        <v>宗地开发程度</v>
      </c>
      <c r="R41" s="767" t="s">
        <v>17</v>
      </c>
      <c r="S41" s="768">
        <f t="shared" si="10"/>
        <v>100</v>
      </c>
      <c r="T41" s="767" t="s">
        <v>17</v>
      </c>
      <c r="U41" s="768">
        <f t="shared" si="11"/>
        <v>100</v>
      </c>
      <c r="V41" s="767" t="s">
        <v>17</v>
      </c>
      <c r="W41" s="768">
        <f t="shared" si="12"/>
        <v>100</v>
      </c>
      <c r="X41" s="769"/>
      <c r="Y41" s="3446"/>
      <c r="Z41" s="54" t="str">
        <f t="shared" si="13"/>
        <v>宗地开发程度</v>
      </c>
      <c r="AA41" s="770">
        <f t="shared" si="3"/>
        <v>1</v>
      </c>
      <c r="AB41" s="770">
        <f t="shared" si="4"/>
        <v>1</v>
      </c>
      <c r="AC41" s="770">
        <f t="shared" si="5"/>
        <v>1</v>
      </c>
    </row>
    <row r="42" spans="1:29" ht="15">
      <c r="A42" s="471"/>
      <c r="B42" s="421" t="s">
        <v>2757</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0"/>
      <c r="M42" s="1131"/>
      <c r="N42" s="1131"/>
      <c r="O42" s="1139"/>
      <c r="P42" s="3446" t="s">
        <v>2567</v>
      </c>
      <c r="Q42" s="1809" t="str">
        <f t="shared" si="14"/>
        <v>工程地质条件</v>
      </c>
      <c r="R42" s="771" t="s">
        <v>17</v>
      </c>
      <c r="S42" s="772">
        <f t="shared" si="10"/>
        <v>100</v>
      </c>
      <c r="T42" s="771" t="s">
        <v>17</v>
      </c>
      <c r="U42" s="772">
        <f t="shared" si="11"/>
        <v>100</v>
      </c>
      <c r="V42" s="771" t="s">
        <v>17</v>
      </c>
      <c r="W42" s="772">
        <f t="shared" si="12"/>
        <v>100</v>
      </c>
      <c r="X42" s="1812"/>
      <c r="Y42" s="3446" t="s">
        <v>2567</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446"/>
      <c r="Q43" s="1809">
        <f t="shared" si="14"/>
        <v>111</v>
      </c>
      <c r="R43" s="771" t="s">
        <v>17</v>
      </c>
      <c r="S43" s="772">
        <f t="shared" si="10"/>
        <v>100</v>
      </c>
      <c r="T43" s="771" t="s">
        <v>17</v>
      </c>
      <c r="U43" s="772">
        <f t="shared" si="11"/>
        <v>100</v>
      </c>
      <c r="V43" s="771" t="s">
        <v>17</v>
      </c>
      <c r="W43" s="772">
        <f t="shared" si="12"/>
        <v>100</v>
      </c>
      <c r="X43" s="1812"/>
      <c r="Y43" s="3446"/>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446"/>
      <c r="Q44" s="1809">
        <f t="shared" si="14"/>
        <v>111</v>
      </c>
      <c r="R44" s="771" t="s">
        <v>17</v>
      </c>
      <c r="S44" s="772">
        <f t="shared" si="10"/>
        <v>100</v>
      </c>
      <c r="T44" s="771" t="s">
        <v>17</v>
      </c>
      <c r="U44" s="772">
        <f t="shared" si="11"/>
        <v>100</v>
      </c>
      <c r="V44" s="771" t="s">
        <v>17</v>
      </c>
      <c r="W44" s="772">
        <f t="shared" si="12"/>
        <v>100</v>
      </c>
      <c r="X44" s="1812"/>
      <c r="Y44" s="3446"/>
      <c r="Z44" s="1813">
        <f t="shared" si="13"/>
        <v>111</v>
      </c>
      <c r="AA44" s="1810">
        <f t="shared" si="3"/>
        <v>1</v>
      </c>
      <c r="AB44" s="1810">
        <f t="shared" si="4"/>
        <v>1</v>
      </c>
      <c r="AC44" s="1810">
        <f t="shared" si="5"/>
        <v>1</v>
      </c>
    </row>
    <row r="45" spans="1:29" s="470" customFormat="1" ht="15.75"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446"/>
      <c r="Q45" s="1809">
        <f t="shared" si="14"/>
        <v>111</v>
      </c>
      <c r="R45" s="774" t="s">
        <v>17</v>
      </c>
      <c r="S45" s="775">
        <f t="shared" si="10"/>
        <v>100</v>
      </c>
      <c r="T45" s="774" t="s">
        <v>17</v>
      </c>
      <c r="U45" s="775">
        <f t="shared" si="11"/>
        <v>100</v>
      </c>
      <c r="V45" s="774" t="s">
        <v>17</v>
      </c>
      <c r="W45" s="775">
        <f t="shared" si="12"/>
        <v>100</v>
      </c>
      <c r="X45" s="776"/>
      <c r="Y45" s="3446"/>
      <c r="Z45" s="777">
        <f t="shared" si="13"/>
        <v>111</v>
      </c>
      <c r="AA45" s="1810">
        <f t="shared" si="3"/>
        <v>1</v>
      </c>
      <c r="AB45" s="1810">
        <f t="shared" si="4"/>
        <v>1</v>
      </c>
      <c r="AC45" s="1810">
        <f t="shared" si="5"/>
        <v>1</v>
      </c>
    </row>
    <row r="46" spans="1:29" ht="15">
      <c r="A46" s="478" t="s">
        <v>2722</v>
      </c>
      <c r="B46" s="2702" t="s">
        <v>2758</v>
      </c>
      <c r="C46" s="681" t="s">
        <v>1</v>
      </c>
      <c r="D46" s="480"/>
      <c r="E46" s="481"/>
      <c r="F46" s="482"/>
      <c r="G46" s="483"/>
      <c r="H46" s="484"/>
      <c r="I46" s="481"/>
      <c r="J46" s="484"/>
      <c r="K46" s="780"/>
      <c r="L46" s="1143"/>
      <c r="M46" s="1144"/>
      <c r="N46" s="1131"/>
      <c r="O46" s="1144"/>
      <c r="P46" s="3434" t="str">
        <f>A46</f>
        <v>成交单价</v>
      </c>
      <c r="Q46" s="3434"/>
      <c r="R46" s="3468">
        <f>E46</f>
        <v>0</v>
      </c>
      <c r="S46" s="3468"/>
      <c r="T46" s="3468">
        <f>G46</f>
        <v>0</v>
      </c>
      <c r="U46" s="3468"/>
      <c r="V46" s="3468">
        <f>I46</f>
        <v>0</v>
      </c>
      <c r="W46" s="3468"/>
      <c r="X46" s="756"/>
      <c r="Y46" s="778"/>
      <c r="Z46" s="756"/>
      <c r="AA46" s="756"/>
      <c r="AB46" s="756"/>
      <c r="AC46" s="756"/>
    </row>
    <row r="47" spans="1:29" ht="15.75" thickBot="1">
      <c r="A47" s="485" t="s">
        <v>2671</v>
      </c>
      <c r="B47" s="682"/>
      <c r="C47" s="489" t="e">
        <f>R48</f>
        <v>#DIV/0!</v>
      </c>
      <c r="D47" s="488"/>
      <c r="E47" s="489" t="e">
        <f>R47</f>
        <v>#DIV/0!</v>
      </c>
      <c r="F47" s="490"/>
      <c r="G47" s="487" t="e">
        <f>T47</f>
        <v>#DIV/0!</v>
      </c>
      <c r="H47" s="488"/>
      <c r="I47" s="489" t="e">
        <f>V47</f>
        <v>#DIV/0!</v>
      </c>
      <c r="J47" s="488"/>
      <c r="K47" s="781"/>
      <c r="L47" s="1143"/>
      <c r="M47" s="1144"/>
      <c r="N47" s="1144"/>
      <c r="O47" s="1144"/>
      <c r="P47" s="3434" t="str">
        <f>A47</f>
        <v>比较价值（元/平方米）</v>
      </c>
      <c r="Q47" s="3434"/>
      <c r="R47" s="3530" t="e">
        <f>ROUND(PRODUCT(R46,AA7:AA45),0)</f>
        <v>#DIV/0!</v>
      </c>
      <c r="S47" s="3530"/>
      <c r="T47" s="3530" t="e">
        <f>ROUND(PRODUCT(T46,AB7:AB45),0)</f>
        <v>#DIV/0!</v>
      </c>
      <c r="U47" s="3530"/>
      <c r="V47" s="3530" t="e">
        <f>ROUND(PRODUCT(V46,AC7:AC45),0)</f>
        <v>#DIV/0!</v>
      </c>
      <c r="W47" s="3530"/>
      <c r="X47" s="756"/>
      <c r="Y47" s="756"/>
      <c r="Z47" s="756"/>
      <c r="AA47" s="756"/>
      <c r="AB47" s="756"/>
      <c r="AC47" s="756"/>
    </row>
    <row r="48" spans="1:29" ht="15.75" thickBot="1">
      <c r="A48" s="491" t="s">
        <v>2759</v>
      </c>
      <c r="B48" s="492"/>
      <c r="C48" s="493" t="e">
        <f>R48</f>
        <v>#DIV/0!</v>
      </c>
      <c r="D48" s="493"/>
      <c r="E48" s="493"/>
      <c r="F48" s="493"/>
      <c r="G48" s="493"/>
      <c r="H48" s="493"/>
      <c r="I48" s="493"/>
      <c r="J48" s="493"/>
      <c r="K48" s="782"/>
      <c r="L48" s="1143"/>
      <c r="M48" s="1144"/>
      <c r="N48" s="1144"/>
      <c r="O48" s="1144"/>
      <c r="P48" s="3495" t="str">
        <f>A48</f>
        <v>估价对象XX用房的比较价值（楼面单价，元/平方米）</v>
      </c>
      <c r="Q48" s="3496"/>
      <c r="R48" s="3531" t="e">
        <f>ROUND(AVERAGE(R47:V47),0)</f>
        <v>#DIV/0!</v>
      </c>
      <c r="S48" s="3531"/>
      <c r="T48" s="3531"/>
      <c r="U48" s="3531"/>
      <c r="V48" s="3531"/>
      <c r="W48" s="353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2673</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2674</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2675</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2760</v>
      </c>
      <c r="B55" s="684" t="s">
        <v>2761</v>
      </c>
      <c r="C55" s="2703" t="s">
        <v>2762</v>
      </c>
      <c r="D55" s="2704" t="s">
        <v>2763</v>
      </c>
      <c r="E55" s="685" t="s">
        <v>2764</v>
      </c>
      <c r="F55" s="1107" t="s">
        <v>2765</v>
      </c>
      <c r="G55" s="3451" t="s">
        <v>2766</v>
      </c>
      <c r="H55" s="3532"/>
      <c r="I55" s="143" t="s">
        <v>2767</v>
      </c>
      <c r="J55" s="2705">
        <f>项目基本情况!F35</f>
        <v>0</v>
      </c>
      <c r="K55" s="2706" t="s">
        <v>2768</v>
      </c>
      <c r="L55" s="1106"/>
      <c r="M55" s="1144"/>
      <c r="N55" s="1144"/>
      <c r="O55" s="1144"/>
    </row>
    <row r="56" spans="1:15" s="691" customFormat="1">
      <c r="A56" s="687" t="s">
        <v>2769</v>
      </c>
      <c r="B56" s="688" t="e">
        <f>C48</f>
        <v>#DIV/0!</v>
      </c>
      <c r="C56" s="689">
        <v>1</v>
      </c>
      <c r="D56" s="1163">
        <v>1</v>
      </c>
      <c r="E56" s="689">
        <f>'数据-汇总表'!E8+'数据-汇总表'!E9</f>
        <v>16929.979999999996</v>
      </c>
      <c r="F56" s="1103" t="e">
        <f t="shared" ref="F56:F65" si="15">ROUND(B56*E56/10000,0)</f>
        <v>#DIV/0!</v>
      </c>
      <c r="G56" s="3433"/>
      <c r="H56" s="3434"/>
      <c r="I56" s="1108">
        <v>1</v>
      </c>
      <c r="J56" s="1111">
        <v>1</v>
      </c>
      <c r="K56" s="1145"/>
      <c r="L56" s="941"/>
      <c r="M56" s="941"/>
      <c r="N56" s="941"/>
      <c r="O56" s="941"/>
    </row>
    <row r="57" spans="1:15" s="691" customFormat="1">
      <c r="A57" s="692" t="s">
        <v>2770</v>
      </c>
      <c r="B57" s="261" t="e">
        <f>ROUND($C$48*C57*D57,0)</f>
        <v>#DIV/0!</v>
      </c>
      <c r="C57" s="199">
        <f t="shared" ref="C57:C65" si="16">IF($C$55="北京市系数",I57,J57)</f>
        <v>0.7</v>
      </c>
      <c r="D57" s="1164">
        <v>0.25</v>
      </c>
      <c r="E57" s="693"/>
      <c r="F57" s="1103" t="e">
        <f t="shared" si="15"/>
        <v>#DIV/0!</v>
      </c>
      <c r="G57" s="3533" t="s">
        <v>2771</v>
      </c>
      <c r="H57" s="1104" t="str">
        <f>项目基本情况!B37</f>
        <v>六级</v>
      </c>
      <c r="I57" s="1108">
        <f>SUMIF(修正!A45:A56,H57,修正!B45:B56)</f>
        <v>0.7</v>
      </c>
      <c r="J57" s="1112"/>
      <c r="K57" s="1144"/>
      <c r="L57" s="941"/>
      <c r="M57" s="941"/>
      <c r="N57" s="941"/>
      <c r="O57" s="941"/>
    </row>
    <row r="58" spans="1:15" s="691" customFormat="1">
      <c r="A58" s="692" t="s">
        <v>2772</v>
      </c>
      <c r="B58" s="261" t="e">
        <f t="shared" ref="B58:B65" si="17">ROUND($C$48*C58*D58,0)</f>
        <v>#DIV/0!</v>
      </c>
      <c r="C58" s="199">
        <f t="shared" si="16"/>
        <v>0.4</v>
      </c>
      <c r="D58" s="1164">
        <v>0.25</v>
      </c>
      <c r="E58" s="693"/>
      <c r="F58" s="1103" t="e">
        <f t="shared" si="15"/>
        <v>#DIV/0!</v>
      </c>
      <c r="G58" s="3533"/>
      <c r="H58" s="1104" t="str">
        <f>项目基本情况!B37</f>
        <v>六级</v>
      </c>
      <c r="I58" s="1108">
        <f>SUMIF(修正!A45:A56,H58,修正!C45:C56)</f>
        <v>0.4</v>
      </c>
      <c r="J58" s="1112"/>
      <c r="K58" s="1145"/>
      <c r="L58" s="941"/>
      <c r="M58" s="941"/>
      <c r="N58" s="941"/>
      <c r="O58" s="941"/>
    </row>
    <row r="59" spans="1:15" s="691" customFormat="1">
      <c r="A59" s="692" t="s">
        <v>2773</v>
      </c>
      <c r="B59" s="261" t="e">
        <f t="shared" si="17"/>
        <v>#DIV/0!</v>
      </c>
      <c r="C59" s="199">
        <f t="shared" si="16"/>
        <v>0.28000000000000003</v>
      </c>
      <c r="D59" s="1164">
        <v>0.25</v>
      </c>
      <c r="E59" s="693"/>
      <c r="F59" s="1103" t="e">
        <f t="shared" si="15"/>
        <v>#DIV/0!</v>
      </c>
      <c r="G59" s="3533"/>
      <c r="H59" s="1104" t="str">
        <f>项目基本情况!B37</f>
        <v>六级</v>
      </c>
      <c r="I59" s="1108">
        <f>SUMIF(修正!A45:A56,H59,修正!D45:D56)</f>
        <v>0.28000000000000003</v>
      </c>
      <c r="J59" s="1112"/>
      <c r="K59" s="1144"/>
      <c r="L59" s="941"/>
      <c r="M59" s="941"/>
      <c r="N59" s="941"/>
      <c r="O59" s="941"/>
    </row>
    <row r="60" spans="1:15" s="691" customFormat="1">
      <c r="A60" s="692" t="s">
        <v>2774</v>
      </c>
      <c r="B60" s="261" t="e">
        <f t="shared" si="17"/>
        <v>#DIV/0!</v>
      </c>
      <c r="C60" s="199">
        <f t="shared" si="16"/>
        <v>0.25</v>
      </c>
      <c r="D60" s="1164">
        <v>0.25</v>
      </c>
      <c r="E60" s="693"/>
      <c r="F60" s="1103" t="e">
        <f t="shared" si="15"/>
        <v>#DIV/0!</v>
      </c>
      <c r="G60" s="3533"/>
      <c r="H60" s="1104" t="str">
        <f>项目基本情况!B37</f>
        <v>六级</v>
      </c>
      <c r="I60" s="1108">
        <f>SUMIF(修正!A45:A56,H60,修正!E45:E56)</f>
        <v>0.25</v>
      </c>
      <c r="J60" s="1112"/>
      <c r="K60" s="1145"/>
      <c r="L60" s="941"/>
      <c r="M60" s="941"/>
      <c r="N60" s="941"/>
      <c r="O60" s="941"/>
    </row>
    <row r="61" spans="1:15" s="691" customFormat="1">
      <c r="A61" s="692" t="s">
        <v>2775</v>
      </c>
      <c r="B61" s="261" t="e">
        <f t="shared" si="17"/>
        <v>#DIV/0!</v>
      </c>
      <c r="C61" s="199">
        <f t="shared" si="16"/>
        <v>0</v>
      </c>
      <c r="D61" s="1164">
        <v>0.25</v>
      </c>
      <c r="E61" s="260">
        <f>'数据-汇总表'!E11</f>
        <v>0</v>
      </c>
      <c r="F61" s="1103" t="e">
        <f t="shared" si="15"/>
        <v>#DIV/0!</v>
      </c>
      <c r="G61" s="2707" t="s">
        <v>2776</v>
      </c>
      <c r="H61" s="1104">
        <f>项目基本情况!C37</f>
        <v>0</v>
      </c>
      <c r="I61" s="1108">
        <f>SUMIF(修正!A45:A56,H61,修正!F45:F56)</f>
        <v>0</v>
      </c>
      <c r="J61" s="1112"/>
      <c r="K61" s="1144"/>
      <c r="L61" s="941"/>
      <c r="M61" s="941"/>
      <c r="N61" s="941"/>
      <c r="O61" s="941"/>
    </row>
    <row r="62" spans="1:15" s="691" customFormat="1">
      <c r="A62" s="692" t="s">
        <v>2777</v>
      </c>
      <c r="B62" s="261" t="e">
        <f t="shared" si="17"/>
        <v>#DIV/0!</v>
      </c>
      <c r="C62" s="199">
        <f t="shared" si="16"/>
        <v>0</v>
      </c>
      <c r="D62" s="1164">
        <v>0.25</v>
      </c>
      <c r="E62" s="260">
        <f>'数据-汇总表'!E12</f>
        <v>0</v>
      </c>
      <c r="F62" s="1103" t="e">
        <f t="shared" si="15"/>
        <v>#DIV/0!</v>
      </c>
      <c r="G62" s="1109" t="s">
        <v>2778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2779</v>
      </c>
      <c r="B63" s="261" t="e">
        <f t="shared" si="17"/>
        <v>#DIV/0!</v>
      </c>
      <c r="C63" s="199">
        <f t="shared" si="16"/>
        <v>0</v>
      </c>
      <c r="D63" s="1164">
        <v>0.25</v>
      </c>
      <c r="E63" s="260">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2781</v>
      </c>
      <c r="B64" s="261" t="e">
        <f t="shared" si="17"/>
        <v>#DIV/0!</v>
      </c>
      <c r="C64" s="199">
        <f t="shared" si="16"/>
        <v>0.2</v>
      </c>
      <c r="D64" s="1164">
        <v>0.25</v>
      </c>
      <c r="E64" s="260">
        <f>'数据-汇总表'!E14</f>
        <v>0</v>
      </c>
      <c r="F64" s="1103" t="e">
        <f t="shared" si="15"/>
        <v>#DIV/0!</v>
      </c>
      <c r="G64" s="2707" t="s">
        <v>2771</v>
      </c>
      <c r="H64" s="1104" t="str">
        <f>项目基本情况!B37</f>
        <v>六级</v>
      </c>
      <c r="I64" s="1108">
        <f>SUMIF(修正!A45:A56,H64,修正!H45:H56)</f>
        <v>0.2</v>
      </c>
      <c r="J64" s="1112"/>
      <c r="K64" s="1145"/>
      <c r="L64" s="941"/>
      <c r="M64" s="941"/>
      <c r="N64" s="941"/>
      <c r="O64" s="941"/>
    </row>
    <row r="65" spans="1:17" s="691" customFormat="1" ht="15" thickBot="1">
      <c r="A65" s="692" t="s">
        <v>2782</v>
      </c>
      <c r="B65" s="261" t="e">
        <f t="shared" si="17"/>
        <v>#DIV/0!</v>
      </c>
      <c r="C65" s="199">
        <f t="shared" si="16"/>
        <v>0</v>
      </c>
      <c r="D65" s="1164">
        <v>0.25</v>
      </c>
      <c r="E65" s="260">
        <f>'数据-汇总表'!E15</f>
        <v>0</v>
      </c>
      <c r="F65" s="1103" t="e">
        <f t="shared" si="15"/>
        <v>#DIV/0!</v>
      </c>
      <c r="G65" s="2708" t="s">
        <v>2776</v>
      </c>
      <c r="H65" s="1114">
        <f>项目基本情况!C37</f>
        <v>0</v>
      </c>
      <c r="I65" s="1110">
        <f>SUMIF(修正!A45:A56,H65,修正!H45:H56)</f>
        <v>0</v>
      </c>
      <c r="J65" s="1113"/>
      <c r="K65" s="1144"/>
      <c r="L65" s="941"/>
      <c r="M65" s="941"/>
      <c r="N65" s="941"/>
      <c r="O65" s="941"/>
    </row>
    <row r="66" spans="1:17" s="691" customFormat="1" ht="13.5" thickBot="1">
      <c r="A66" s="694" t="s">
        <v>2783</v>
      </c>
      <c r="B66" s="695" t="s">
        <v>28</v>
      </c>
      <c r="C66" s="695" t="s">
        <v>29</v>
      </c>
      <c r="D66" s="695" t="s">
        <v>1026</v>
      </c>
      <c r="E66" s="695">
        <f>IF(B46="楼面地价",SUM(E56:E65),'数据-汇总表'!D3)</f>
        <v>16929.979999999996</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2019-3-1</v>
      </c>
      <c r="D68" s="758">
        <f>EDATE(C68,-3)</f>
        <v>43435</v>
      </c>
      <c r="E68" s="758">
        <f>EDATE(D68,-3)</f>
        <v>43344</v>
      </c>
      <c r="F68" s="758">
        <f t="shared" ref="F68:O68" si="18">EDATE(E68,-3)</f>
        <v>43252</v>
      </c>
      <c r="G68" s="758">
        <f t="shared" si="18"/>
        <v>43160</v>
      </c>
      <c r="H68" s="758">
        <f t="shared" si="18"/>
        <v>43070</v>
      </c>
      <c r="I68" s="758">
        <f t="shared" si="18"/>
        <v>42979</v>
      </c>
      <c r="J68" s="758">
        <f t="shared" si="18"/>
        <v>42887</v>
      </c>
      <c r="K68" s="758">
        <f t="shared" si="18"/>
        <v>42795</v>
      </c>
      <c r="L68" s="758">
        <f t="shared" si="18"/>
        <v>42705</v>
      </c>
      <c r="M68" s="758">
        <f t="shared" si="18"/>
        <v>42614</v>
      </c>
      <c r="N68" s="758">
        <f t="shared" si="18"/>
        <v>42522</v>
      </c>
      <c r="O68" s="758">
        <f t="shared" si="18"/>
        <v>42430</v>
      </c>
    </row>
    <row r="69" spans="1:17" ht="21.75" thickBot="1">
      <c r="A69" s="760" t="s">
        <v>2676</v>
      </c>
      <c r="B69" s="756"/>
      <c r="C69" s="761"/>
      <c r="D69" s="761"/>
      <c r="E69" s="761"/>
      <c r="F69" s="762"/>
      <c r="G69" s="762"/>
      <c r="H69" s="761"/>
      <c r="I69" s="761"/>
      <c r="J69" s="1159"/>
      <c r="K69" s="1160"/>
      <c r="L69" s="1161"/>
      <c r="M69" s="1159"/>
      <c r="N69" s="1159"/>
      <c r="O69" s="1159"/>
      <c r="P69" s="502"/>
      <c r="Q69" s="503"/>
    </row>
    <row r="70" spans="1:17" s="507" customFormat="1" ht="15">
      <c r="A70" s="2709" t="s">
        <v>2784</v>
      </c>
      <c r="B70" s="1358"/>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6"/>
    </row>
    <row r="71" spans="1:17" s="116" customFormat="1" ht="30" customHeight="1">
      <c r="A71" s="2710" t="s">
        <v>2785</v>
      </c>
      <c r="B71" s="331" t="str">
        <f>"北京市平均增长率"&amp;TEXT(SUMIF(基准地价修正!N21:N25,A71,基准地价修正!P21:P25),"0.00%")</f>
        <v>北京市平均增长率2.34%</v>
      </c>
      <c r="C71" s="602">
        <v>100</v>
      </c>
      <c r="D71" s="594"/>
      <c r="E71" s="594"/>
      <c r="F71" s="594"/>
      <c r="G71" s="594"/>
      <c r="H71" s="594"/>
      <c r="I71" s="594"/>
      <c r="J71" s="594"/>
      <c r="K71" s="594"/>
      <c r="L71" s="594"/>
      <c r="M71" s="1566"/>
      <c r="N71" s="594"/>
      <c r="O71" s="1567"/>
      <c r="P71" s="503"/>
    </row>
    <row r="72" spans="1:17" s="116" customFormat="1" ht="15.75" thickBot="1">
      <c r="A72" s="514" t="s">
        <v>2587</v>
      </c>
      <c r="B72" s="515"/>
      <c r="C72" s="516"/>
      <c r="D72" s="517"/>
      <c r="E72" s="517"/>
      <c r="F72" s="517"/>
      <c r="G72" s="517"/>
      <c r="H72" s="517"/>
      <c r="I72" s="517"/>
      <c r="J72" s="517"/>
      <c r="K72" s="517"/>
      <c r="L72" s="517"/>
      <c r="M72" s="518"/>
      <c r="N72" s="517"/>
      <c r="O72" s="1162"/>
      <c r="P72" s="503"/>
      <c r="Q72" s="503"/>
    </row>
    <row r="73" spans="1:17" s="116" customFormat="1" ht="15">
      <c r="A73" s="520" t="s">
        <v>2552</v>
      </c>
      <c r="B73" s="509"/>
      <c r="C73" s="521" t="s">
        <v>2654</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2590</v>
      </c>
      <c r="B75" s="527" t="s">
        <v>2556</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2559</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2560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2561</v>
      </c>
      <c r="B88" s="527" t="s">
        <v>2598</v>
      </c>
      <c r="C88" s="572" t="s">
        <v>2599</v>
      </c>
      <c r="D88" s="572" t="s">
        <v>2600</v>
      </c>
      <c r="E88" s="572" t="s">
        <v>2601</v>
      </c>
      <c r="F88" s="572" t="s">
        <v>2602</v>
      </c>
      <c r="G88" s="572" t="s">
        <v>2603</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2786</v>
      </c>
      <c r="C90" s="577" t="s">
        <v>2599</v>
      </c>
      <c r="D90" s="577" t="s">
        <v>2600</v>
      </c>
      <c r="E90" s="577" t="s">
        <v>2601</v>
      </c>
      <c r="F90" s="577" t="s">
        <v>2602</v>
      </c>
      <c r="G90" s="577" t="s">
        <v>2603</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2699</v>
      </c>
      <c r="C92" s="577" t="s">
        <v>2599</v>
      </c>
      <c r="D92" s="577" t="s">
        <v>2600</v>
      </c>
      <c r="E92" s="577" t="s">
        <v>2601</v>
      </c>
      <c r="F92" s="577" t="s">
        <v>2602</v>
      </c>
      <c r="G92" s="577" t="s">
        <v>2603</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2604</v>
      </c>
      <c r="C94" s="577" t="s">
        <v>2599</v>
      </c>
      <c r="D94" s="577" t="s">
        <v>2600</v>
      </c>
      <c r="E94" s="577" t="s">
        <v>2601</v>
      </c>
      <c r="F94" s="577" t="s">
        <v>2602</v>
      </c>
      <c r="G94" s="577" t="s">
        <v>2603</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2787</v>
      </c>
      <c r="C96" s="577" t="s">
        <v>2599</v>
      </c>
      <c r="D96" s="577" t="s">
        <v>2600</v>
      </c>
      <c r="E96" s="577" t="s">
        <v>2601</v>
      </c>
      <c r="F96" s="577" t="s">
        <v>2602</v>
      </c>
      <c r="G96" s="577" t="s">
        <v>2603</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2788</v>
      </c>
      <c r="C98" s="572" t="s">
        <v>2599</v>
      </c>
      <c r="D98" s="572" t="s">
        <v>2600</v>
      </c>
      <c r="E98" s="572" t="s">
        <v>2601</v>
      </c>
      <c r="F98" s="572" t="s">
        <v>2602</v>
      </c>
      <c r="G98" s="572" t="s">
        <v>2603</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2656</v>
      </c>
      <c r="C100" s="572" t="s">
        <v>2599</v>
      </c>
      <c r="D100" s="572" t="s">
        <v>2600</v>
      </c>
      <c r="E100" s="572" t="s">
        <v>2601</v>
      </c>
      <c r="F100" s="572" t="s">
        <v>2602</v>
      </c>
      <c r="G100" s="572" t="s">
        <v>2603</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2657</v>
      </c>
      <c r="C102" s="659" t="s">
        <v>2677</v>
      </c>
      <c r="D102" s="659" t="s">
        <v>2678</v>
      </c>
      <c r="E102" s="659" t="s">
        <v>2679</v>
      </c>
      <c r="F102" s="659" t="s">
        <v>2680</v>
      </c>
      <c r="G102" s="659" t="s">
        <v>2681</v>
      </c>
      <c r="H102" s="599"/>
      <c r="I102" s="599"/>
      <c r="J102" s="599"/>
      <c r="K102" s="599"/>
      <c r="L102" s="599"/>
      <c r="M102" s="1384"/>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4"/>
      <c r="O103" s="1154"/>
      <c r="P103" s="557"/>
      <c r="Q103" s="558"/>
    </row>
    <row r="104" spans="1:17" ht="15.75" thickTop="1">
      <c r="A104" s="533"/>
      <c r="B104" s="537" t="str">
        <f>B31</f>
        <v>临街状况</v>
      </c>
      <c r="C104" s="538" t="s">
        <v>2789</v>
      </c>
      <c r="D104" s="538" t="s">
        <v>2790</v>
      </c>
      <c r="E104" s="538" t="s">
        <v>2791</v>
      </c>
      <c r="F104" s="538" t="s">
        <v>2792</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2693</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2752</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2565</v>
      </c>
      <c r="B116" s="527" t="s">
        <v>2793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2794</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2795</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2796</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2797</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960"/>
      <c r="B4" s="3240" t="s">
        <v>1626</v>
      </c>
      <c r="C4" s="3240"/>
      <c r="D4" s="3240"/>
      <c r="E4" s="1960"/>
    </row>
    <row r="5" spans="1:5" ht="16.5" thickTop="1">
      <c r="A5" s="1958"/>
      <c r="B5" s="3238" t="s">
        <v>1618</v>
      </c>
      <c r="C5" s="1961" t="s">
        <v>1619</v>
      </c>
      <c r="D5" s="1040">
        <f ca="1">'结果表（办公）'!H101</f>
        <v>63143</v>
      </c>
      <c r="E5" s="1958"/>
    </row>
    <row r="6" spans="1:5" ht="15.75">
      <c r="A6" s="1958"/>
      <c r="B6" s="3238"/>
      <c r="C6" s="1961" t="s">
        <v>1620</v>
      </c>
      <c r="D6" s="1040" t="str">
        <f ca="1">NUMBERSTRING(INT(D5*10000),2)&amp;"元整"</f>
        <v>陆亿叁仟壹佰肆拾叁万元整</v>
      </c>
      <c r="E6" s="1958"/>
    </row>
    <row r="7" spans="1:5" ht="15.75">
      <c r="A7" s="1958"/>
      <c r="B7" s="3243"/>
      <c r="C7" s="1962" t="s">
        <v>1621</v>
      </c>
      <c r="D7" s="1041">
        <f ca="1">'结果表（办公）'!H102</f>
        <v>37297</v>
      </c>
      <c r="E7" s="1958"/>
    </row>
    <row r="8" spans="1:5" ht="15.75">
      <c r="A8" s="1958"/>
      <c r="B8" s="3244" t="str">
        <f>'结果表（办公）'!E103</f>
        <v>2.估价师知悉的法定优先受偿款</v>
      </c>
      <c r="C8" s="1963" t="s">
        <v>1622</v>
      </c>
      <c r="D8" s="1041">
        <f>'结果表（办公）'!H103</f>
        <v>0</v>
      </c>
      <c r="E8" s="1958"/>
    </row>
    <row r="9" spans="1:5" ht="15.75">
      <c r="A9" s="1958"/>
      <c r="B9" s="3246"/>
      <c r="C9" s="1961" t="s">
        <v>1620</v>
      </c>
      <c r="D9" s="1040" t="str">
        <f>NUMBERSTRING(INT(D8*10000),2)&amp;"元整"</f>
        <v>零元整</v>
      </c>
      <c r="E9" s="1958"/>
    </row>
    <row r="10" spans="1:5" ht="15">
      <c r="A10" s="1958"/>
      <c r="B10" s="1964" t="s">
        <v>1625</v>
      </c>
      <c r="C10" s="1965" t="s">
        <v>1623</v>
      </c>
      <c r="D10" s="1042">
        <f>'结果表（办公）'!H104</f>
        <v>0</v>
      </c>
      <c r="E10" s="1958"/>
    </row>
    <row r="11" spans="1:5" ht="15">
      <c r="A11" s="1958"/>
      <c r="B11" s="1964" t="s">
        <v>1627</v>
      </c>
      <c r="C11" s="1965" t="s">
        <v>1628</v>
      </c>
      <c r="D11" s="1042">
        <f>'结果表（办公）'!H105</f>
        <v>0</v>
      </c>
      <c r="E11" s="1958"/>
    </row>
    <row r="12" spans="1:5" ht="15">
      <c r="A12" s="1958"/>
      <c r="B12" s="1964" t="s">
        <v>1629</v>
      </c>
      <c r="C12" s="1965" t="s">
        <v>1628</v>
      </c>
      <c r="D12" s="1042">
        <f>'结果表（办公）'!H106</f>
        <v>0</v>
      </c>
      <c r="E12" s="1958"/>
    </row>
    <row r="13" spans="1:5" ht="15.75">
      <c r="A13" s="1958"/>
      <c r="B13" s="3237" t="str">
        <f>'结果表（办公）'!E107</f>
        <v>3.房地产抵押价值</v>
      </c>
      <c r="C13" s="1966" t="s">
        <v>1619</v>
      </c>
      <c r="D13" s="1043">
        <f ca="1">'结果表（办公）'!H107</f>
        <v>63143</v>
      </c>
      <c r="E13" s="1958"/>
    </row>
    <row r="14" spans="1:5" ht="15.75">
      <c r="A14" s="1958"/>
      <c r="B14" s="3238"/>
      <c r="C14" s="1961" t="s">
        <v>1620</v>
      </c>
      <c r="D14" s="1040" t="str">
        <f ca="1">NUMBERSTRING(INT(D13*10000),2)&amp;"元整"</f>
        <v>陆亿叁仟壹佰肆拾叁万元整</v>
      </c>
      <c r="E14" s="1958"/>
    </row>
    <row r="15" spans="1:5" ht="15">
      <c r="A15" s="1958"/>
      <c r="B15" s="3243"/>
      <c r="C15" s="1962" t="s">
        <v>1630</v>
      </c>
      <c r="D15" s="1052">
        <f ca="1">'结果表（办公）'!H108</f>
        <v>37297</v>
      </c>
      <c r="E15" s="1958"/>
    </row>
    <row r="16" spans="1:5" ht="15">
      <c r="A16" s="1958"/>
      <c r="B16" s="3244" t="str">
        <f>'结果表（办公）'!E109</f>
        <v>4.抵押担保权已注销时的房地产抵押价值</v>
      </c>
      <c r="C16" s="1966" t="s">
        <v>1631</v>
      </c>
      <c r="D16" s="1967">
        <f ca="1">'结果表（办公）'!H109</f>
        <v>63143</v>
      </c>
      <c r="E16" s="1958"/>
    </row>
    <row r="17" spans="1:5" ht="15.75">
      <c r="A17" s="1958"/>
      <c r="B17" s="3245"/>
      <c r="C17" s="1961" t="s">
        <v>1632</v>
      </c>
      <c r="D17" s="1040" t="str">
        <f ca="1">NUMBERSTRING(INT(D16*10000),2)&amp;"元整"</f>
        <v>陆亿叁仟壹佰肆拾叁万元整</v>
      </c>
      <c r="E17" s="1958"/>
    </row>
    <row r="18" spans="1:5" ht="15">
      <c r="A18" s="1958"/>
      <c r="B18" s="3246"/>
      <c r="C18" s="1962" t="s">
        <v>1621</v>
      </c>
      <c r="D18" s="1052">
        <f ca="1">'结果表（办公）'!H110</f>
        <v>37297</v>
      </c>
      <c r="E18" s="1958"/>
    </row>
    <row r="19" spans="1:5" ht="15.75">
      <c r="A19" s="1958"/>
      <c r="B19" s="3237" t="str">
        <f>'结果表（办公）'!E111</f>
        <v>——</v>
      </c>
      <c r="C19" s="1966" t="s">
        <v>1619</v>
      </c>
      <c r="D19" s="1041" t="str">
        <f>'结果表（办公）'!H111</f>
        <v>——</v>
      </c>
      <c r="E19" s="1958"/>
    </row>
    <row r="20" spans="1:5" ht="15.75">
      <c r="A20" s="1958"/>
      <c r="B20" s="3238"/>
      <c r="C20" s="1961" t="s">
        <v>1632</v>
      </c>
      <c r="D20" s="1040" t="e">
        <f>NUMBERSTRING(INT(D19*10000),2)&amp;"元整"</f>
        <v>#VALUE!</v>
      </c>
      <c r="E20" s="1958"/>
    </row>
    <row r="21" spans="1:5" ht="15.75" thickBot="1">
      <c r="A21" s="1958"/>
      <c r="B21" s="3239"/>
      <c r="C21" s="1968" t="s">
        <v>1630</v>
      </c>
      <c r="D21" s="1053" t="str">
        <f>'结果表（办公）'!H112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2746</v>
      </c>
      <c r="B1" s="394"/>
      <c r="C1" s="395" t="s">
        <v>2798</v>
      </c>
      <c r="D1" s="752"/>
      <c r="E1" s="752"/>
      <c r="F1" s="751" t="s">
        <v>2645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2329</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2331</v>
      </c>
      <c r="B3" s="608" t="e">
        <f>ROUND(IF(D3="",B2*10000/'数据-汇总表'!E3,B2*10000/D3),0)</f>
        <v>#DIV/0!</v>
      </c>
      <c r="C3" s="246" t="s">
        <v>2748</v>
      </c>
      <c r="D3" s="1582"/>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2647</v>
      </c>
      <c r="B4" s="401"/>
      <c r="C4" s="3451" t="s">
        <v>2648</v>
      </c>
      <c r="D4" s="3452"/>
      <c r="E4" s="3453" t="s">
        <v>2649</v>
      </c>
      <c r="F4" s="3454"/>
      <c r="G4" s="3451" t="s">
        <v>2650</v>
      </c>
      <c r="H4" s="3452"/>
      <c r="I4" s="3451" t="s">
        <v>2651</v>
      </c>
      <c r="J4" s="3452"/>
      <c r="K4" s="609" t="s">
        <v>2652</v>
      </c>
      <c r="L4" s="1130"/>
      <c r="M4" s="1131"/>
      <c r="N4" s="1131"/>
      <c r="O4" s="1131"/>
      <c r="P4" s="3499" t="s">
        <v>2653</v>
      </c>
      <c r="Q4" s="3500"/>
      <c r="R4" s="3503" t="s">
        <v>2649</v>
      </c>
      <c r="S4" s="3504"/>
      <c r="T4" s="3503" t="s">
        <v>2650</v>
      </c>
      <c r="U4" s="3504"/>
      <c r="V4" s="3468" t="s">
        <v>2651</v>
      </c>
      <c r="W4" s="3468"/>
      <c r="X4" s="1812"/>
      <c r="Y4" s="3503" t="s">
        <v>2653</v>
      </c>
      <c r="Z4" s="3504"/>
      <c r="AA4" s="3498" t="s">
        <v>2649</v>
      </c>
      <c r="AB4" s="3481" t="s">
        <v>2650</v>
      </c>
      <c r="AC4" s="3498" t="s">
        <v>2651</v>
      </c>
    </row>
    <row r="5" spans="1:29" ht="15">
      <c r="A5" s="403"/>
      <c r="B5" s="404"/>
      <c r="C5" s="3477" t="s">
        <v>2544</v>
      </c>
      <c r="D5" s="3472"/>
      <c r="E5" s="3526" t="s">
        <v>2545</v>
      </c>
      <c r="F5" s="3527"/>
      <c r="G5" s="3477" t="s">
        <v>2546</v>
      </c>
      <c r="H5" s="3472"/>
      <c r="I5" s="3477" t="s">
        <v>2547</v>
      </c>
      <c r="J5" s="3472"/>
      <c r="K5" s="609"/>
      <c r="L5" s="1130"/>
      <c r="M5" s="1131"/>
      <c r="N5" s="1131"/>
      <c r="O5" s="1131"/>
      <c r="P5" s="3501"/>
      <c r="Q5" s="3458"/>
      <c r="R5" s="3463"/>
      <c r="S5" s="3464"/>
      <c r="T5" s="3463"/>
      <c r="U5" s="3464"/>
      <c r="V5" s="3468"/>
      <c r="W5" s="3468"/>
      <c r="X5" s="1812"/>
      <c r="Y5" s="3463"/>
      <c r="Z5" s="3464"/>
      <c r="AA5" s="3481"/>
      <c r="AB5" s="3481"/>
      <c r="AC5" s="3481"/>
    </row>
    <row r="6" spans="1:29" ht="15.75" thickBot="1">
      <c r="A6" s="405"/>
      <c r="B6" s="406"/>
      <c r="C6" s="3534" t="s">
        <v>2799</v>
      </c>
      <c r="D6" s="3535"/>
      <c r="E6" s="3536" t="s">
        <v>2799</v>
      </c>
      <c r="F6" s="3537"/>
      <c r="G6" s="3534" t="s">
        <v>2799</v>
      </c>
      <c r="H6" s="3535"/>
      <c r="I6" s="3534" t="s">
        <v>2799</v>
      </c>
      <c r="J6" s="3535"/>
      <c r="K6" s="609" t="s">
        <v>2549</v>
      </c>
      <c r="L6" s="1130"/>
      <c r="M6" s="1131"/>
      <c r="N6" s="1131"/>
      <c r="O6" s="1131"/>
      <c r="P6" s="3502"/>
      <c r="Q6" s="3460"/>
      <c r="R6" s="3463"/>
      <c r="S6" s="3464"/>
      <c r="T6" s="3465"/>
      <c r="U6" s="3466"/>
      <c r="V6" s="3468"/>
      <c r="W6" s="3468"/>
      <c r="X6" s="1812"/>
      <c r="Y6" s="3465"/>
      <c r="Z6" s="3466"/>
      <c r="AA6" s="3482"/>
      <c r="AB6" s="3482"/>
      <c r="AC6" s="3482"/>
    </row>
    <row r="7" spans="1:29" s="116" customFormat="1" ht="15.75" thickBot="1">
      <c r="A7" s="407" t="s">
        <v>2550</v>
      </c>
      <c r="B7" s="408"/>
      <c r="C7" s="409">
        <f>'数据-取费表'!B2</f>
        <v>43553</v>
      </c>
      <c r="D7" s="410">
        <v>100</v>
      </c>
      <c r="E7" s="411"/>
      <c r="F7" s="412">
        <f>SUMIF(65:65,YEAR(E7)&amp;"-"&amp;INT((MONTH(E7)+2)/3),66:66)</f>
        <v>0</v>
      </c>
      <c r="G7" s="2694"/>
      <c r="H7" s="410">
        <f>SUMIF(65:65,YEAR(G7)&amp;"-"&amp;INT((MONTH(G7)+2)/3),66:66)</f>
        <v>0</v>
      </c>
      <c r="I7" s="2694"/>
      <c r="J7" s="410">
        <f>SUMIF(65:65,YEAR(I7)&amp;"-"&amp;INT((MONTH(I7)+2)/3),66:66)</f>
        <v>0</v>
      </c>
      <c r="K7" s="610"/>
      <c r="L7" s="1132"/>
      <c r="M7" s="1133"/>
      <c r="N7" s="1133"/>
      <c r="O7" s="1133"/>
      <c r="P7" s="3475" t="s">
        <v>2551</v>
      </c>
      <c r="Q7" s="3476"/>
      <c r="R7" s="767" t="s">
        <v>17</v>
      </c>
      <c r="S7" s="768">
        <f t="shared" ref="S7:S15" si="0">F7</f>
        <v>0</v>
      </c>
      <c r="T7" s="767" t="s">
        <v>17</v>
      </c>
      <c r="U7" s="768">
        <f t="shared" ref="U7:U15" si="1">H7</f>
        <v>0</v>
      </c>
      <c r="V7" s="767" t="s">
        <v>17</v>
      </c>
      <c r="W7" s="768">
        <f t="shared" ref="W7:W15" si="2">J7</f>
        <v>0</v>
      </c>
      <c r="X7" s="769"/>
      <c r="Y7" s="3475" t="s">
        <v>2551</v>
      </c>
      <c r="Z7" s="3474"/>
      <c r="AA7" s="770" t="e">
        <f>D7/F7</f>
        <v>#DIV/0!</v>
      </c>
      <c r="AB7" s="770" t="e">
        <f>D7/H7</f>
        <v>#DIV/0!</v>
      </c>
      <c r="AC7" s="770" t="e">
        <f>D7/J7</f>
        <v>#DIV/0!</v>
      </c>
    </row>
    <row r="8" spans="1:29" s="116" customFormat="1" ht="15.75" thickBot="1">
      <c r="A8" s="407" t="s">
        <v>2552</v>
      </c>
      <c r="B8" s="408"/>
      <c r="C8" s="413" t="s">
        <v>2553</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475" t="s">
        <v>2554</v>
      </c>
      <c r="Q8" s="3474"/>
      <c r="R8" s="767" t="s">
        <v>17</v>
      </c>
      <c r="S8" s="768">
        <f t="shared" si="0"/>
        <v>0</v>
      </c>
      <c r="T8" s="767" t="s">
        <v>17</v>
      </c>
      <c r="U8" s="768">
        <f t="shared" si="1"/>
        <v>0</v>
      </c>
      <c r="V8" s="767" t="s">
        <v>17</v>
      </c>
      <c r="W8" s="768">
        <f t="shared" si="2"/>
        <v>0</v>
      </c>
      <c r="X8" s="769"/>
      <c r="Y8" s="3475" t="s">
        <v>2554</v>
      </c>
      <c r="Z8" s="3474"/>
      <c r="AA8" s="770" t="e">
        <f t="shared" ref="AA8:AA40" si="3">D8/F8</f>
        <v>#DIV/0!</v>
      </c>
      <c r="AB8" s="770" t="e">
        <f t="shared" ref="AB8:AB40" si="4">D8/H8</f>
        <v>#DIV/0!</v>
      </c>
      <c r="AC8" s="770" t="e">
        <f t="shared" ref="AC8:AC40" si="5">D8/J8</f>
        <v>#DIV/0!</v>
      </c>
    </row>
    <row r="9" spans="1:29" s="116" customFormat="1">
      <c r="A9" s="414" t="s">
        <v>2555</v>
      </c>
      <c r="B9" s="70" t="s">
        <v>2556</v>
      </c>
      <c r="C9" s="2697"/>
      <c r="D9" s="134">
        <v>100</v>
      </c>
      <c r="E9" s="2697"/>
      <c r="F9" s="134">
        <f>SUMIF(70:70,E9,71:71)-SUMIF(70:70,C9,71:71)+100</f>
        <v>100</v>
      </c>
      <c r="G9" s="2697"/>
      <c r="H9" s="134">
        <f>SUMIF(70:70,G9,71:71)-SUMIF(70:70,C9,71:71)+100</f>
        <v>100</v>
      </c>
      <c r="I9" s="2697"/>
      <c r="J9" s="134">
        <f>SUMIF(70:70,I9,71:71)-SUMIF(70:70,C9,71:71)+100</f>
        <v>100</v>
      </c>
      <c r="K9" s="610"/>
      <c r="L9" s="1132"/>
      <c r="M9" s="1133"/>
      <c r="N9" s="1133"/>
      <c r="O9" s="1134"/>
      <c r="P9" s="3434" t="s">
        <v>2557</v>
      </c>
      <c r="Q9" s="1794" t="str">
        <f t="shared" ref="Q9:Q15" si="6">B9</f>
        <v>用途</v>
      </c>
      <c r="R9" s="767" t="s">
        <v>17</v>
      </c>
      <c r="S9" s="768">
        <f t="shared" si="0"/>
        <v>100</v>
      </c>
      <c r="T9" s="767" t="s">
        <v>17</v>
      </c>
      <c r="U9" s="768">
        <f t="shared" si="1"/>
        <v>100</v>
      </c>
      <c r="V9" s="767" t="s">
        <v>17</v>
      </c>
      <c r="W9" s="768">
        <f t="shared" si="2"/>
        <v>100</v>
      </c>
      <c r="X9" s="769"/>
      <c r="Y9" s="3280" t="s">
        <v>2558</v>
      </c>
      <c r="Z9" s="54" t="str">
        <f t="shared" ref="Z9:Z15" si="7">Q9</f>
        <v>用途</v>
      </c>
      <c r="AA9" s="770">
        <f t="shared" si="3"/>
        <v>1</v>
      </c>
      <c r="AB9" s="770">
        <f t="shared" si="4"/>
        <v>1</v>
      </c>
      <c r="AC9" s="770">
        <f t="shared" si="5"/>
        <v>1</v>
      </c>
    </row>
    <row r="10" spans="1:29" s="426" customFormat="1" ht="27">
      <c r="A10" s="420"/>
      <c r="B10" s="421" t="s">
        <v>2559</v>
      </c>
      <c r="C10" s="431"/>
      <c r="D10" s="135">
        <v>100</v>
      </c>
      <c r="E10" s="431"/>
      <c r="F10" s="135">
        <f>ROUND(100/'数据-取费表'!G16,0)</f>
        <v>106</v>
      </c>
      <c r="G10" s="431"/>
      <c r="H10" s="135">
        <f>ROUND(100/'数据-取费表'!G16,0)</f>
        <v>106</v>
      </c>
      <c r="I10" s="431"/>
      <c r="J10" s="135">
        <f>ROUND(100/'数据-取费表'!G16,0)</f>
        <v>106</v>
      </c>
      <c r="K10" s="671"/>
      <c r="L10" s="1135"/>
      <c r="M10" s="1136"/>
      <c r="N10" s="1136"/>
      <c r="O10" s="1137"/>
      <c r="P10" s="3434"/>
      <c r="Q10" s="1794" t="str">
        <f t="shared" si="6"/>
        <v>土地使用年限（年）</v>
      </c>
      <c r="R10" s="767" t="s">
        <v>17</v>
      </c>
      <c r="S10" s="768">
        <f t="shared" si="0"/>
        <v>106</v>
      </c>
      <c r="T10" s="767" t="s">
        <v>17</v>
      </c>
      <c r="U10" s="768">
        <f t="shared" si="1"/>
        <v>106</v>
      </c>
      <c r="V10" s="767" t="s">
        <v>17</v>
      </c>
      <c r="W10" s="768">
        <f t="shared" si="2"/>
        <v>106</v>
      </c>
      <c r="X10" s="769"/>
      <c r="Y10" s="3280"/>
      <c r="Z10" s="54" t="str">
        <f t="shared" si="7"/>
        <v>土地使用年限（年）</v>
      </c>
      <c r="AA10" s="770">
        <f t="shared" si="3"/>
        <v>0.94339622641509435</v>
      </c>
      <c r="AB10" s="770">
        <f t="shared" si="4"/>
        <v>0.94339622641509435</v>
      </c>
      <c r="AC10" s="770">
        <f t="shared" si="5"/>
        <v>0.94339622641509435</v>
      </c>
    </row>
    <row r="11" spans="1:29" ht="15">
      <c r="A11" s="427"/>
      <c r="B11" s="421" t="s">
        <v>2560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434"/>
      <c r="Q11" s="1794" t="str">
        <f t="shared" si="6"/>
        <v>容积率</v>
      </c>
      <c r="R11" s="767" t="s">
        <v>17</v>
      </c>
      <c r="S11" s="768" t="e">
        <f t="shared" si="0"/>
        <v>#N/A</v>
      </c>
      <c r="T11" s="767" t="s">
        <v>17</v>
      </c>
      <c r="U11" s="768" t="e">
        <f t="shared" si="1"/>
        <v>#N/A</v>
      </c>
      <c r="V11" s="767" t="s">
        <v>17</v>
      </c>
      <c r="W11" s="768" t="e">
        <f t="shared" si="2"/>
        <v>#N/A</v>
      </c>
      <c r="X11" s="769"/>
      <c r="Y11" s="3280"/>
      <c r="Z11" s="54" t="str">
        <f t="shared" si="7"/>
        <v>容积率</v>
      </c>
      <c r="AA11" s="770" t="e">
        <f t="shared" si="3"/>
        <v>#N/A</v>
      </c>
      <c r="AB11" s="770" t="e">
        <f t="shared" si="4"/>
        <v>#N/A</v>
      </c>
      <c r="AC11" s="770"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434"/>
      <c r="Q12" s="1794">
        <f t="shared" si="6"/>
        <v>111</v>
      </c>
      <c r="R12" s="767" t="s">
        <v>17</v>
      </c>
      <c r="S12" s="768">
        <f t="shared" si="0"/>
        <v>100</v>
      </c>
      <c r="T12" s="767" t="s">
        <v>17</v>
      </c>
      <c r="U12" s="768">
        <f t="shared" si="1"/>
        <v>100</v>
      </c>
      <c r="V12" s="767" t="s">
        <v>17</v>
      </c>
      <c r="W12" s="768">
        <f t="shared" si="2"/>
        <v>100</v>
      </c>
      <c r="X12" s="769"/>
      <c r="Y12" s="3280"/>
      <c r="Z12" s="54">
        <f t="shared" si="7"/>
        <v>111</v>
      </c>
      <c r="AA12" s="770">
        <f>D12/F12</f>
        <v>1</v>
      </c>
      <c r="AB12" s="770">
        <f>D12/H12</f>
        <v>1</v>
      </c>
      <c r="AC12" s="770">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434"/>
      <c r="Q13" s="1794">
        <f t="shared" si="6"/>
        <v>111</v>
      </c>
      <c r="R13" s="767" t="s">
        <v>17</v>
      </c>
      <c r="S13" s="768">
        <f t="shared" si="0"/>
        <v>100</v>
      </c>
      <c r="T13" s="767" t="s">
        <v>17</v>
      </c>
      <c r="U13" s="768">
        <f t="shared" si="1"/>
        <v>100</v>
      </c>
      <c r="V13" s="767" t="s">
        <v>17</v>
      </c>
      <c r="W13" s="768">
        <f t="shared" si="2"/>
        <v>100</v>
      </c>
      <c r="X13" s="769"/>
      <c r="Y13" s="3280"/>
      <c r="Z13" s="54">
        <f t="shared" si="7"/>
        <v>111</v>
      </c>
      <c r="AA13" s="770">
        <f t="shared" si="3"/>
        <v>1</v>
      </c>
      <c r="AB13" s="770">
        <f t="shared" si="4"/>
        <v>1</v>
      </c>
      <c r="AC13" s="770">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434"/>
      <c r="Q14" s="1794">
        <f t="shared" si="6"/>
        <v>111</v>
      </c>
      <c r="R14" s="767" t="s">
        <v>17</v>
      </c>
      <c r="S14" s="768">
        <f t="shared" si="0"/>
        <v>100</v>
      </c>
      <c r="T14" s="767" t="s">
        <v>17</v>
      </c>
      <c r="U14" s="768">
        <f t="shared" si="1"/>
        <v>100</v>
      </c>
      <c r="V14" s="767" t="s">
        <v>17</v>
      </c>
      <c r="W14" s="768">
        <f t="shared" si="2"/>
        <v>100</v>
      </c>
      <c r="X14" s="769"/>
      <c r="Y14" s="3280"/>
      <c r="Z14" s="54">
        <f t="shared" si="7"/>
        <v>111</v>
      </c>
      <c r="AA14" s="770">
        <f t="shared" si="3"/>
        <v>1</v>
      </c>
      <c r="AB14" s="770">
        <f t="shared" si="4"/>
        <v>1</v>
      </c>
      <c r="AC14" s="770">
        <f t="shared" si="5"/>
        <v>1</v>
      </c>
    </row>
    <row r="15" spans="1:29" ht="57">
      <c r="A15" s="439" t="s">
        <v>2561</v>
      </c>
      <c r="B15" s="628" t="s">
        <v>2800</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441" t="s">
        <v>2562</v>
      </c>
      <c r="Q15" s="1809" t="str">
        <f t="shared" si="6"/>
        <v>产业集聚程度</v>
      </c>
      <c r="R15" s="771" t="s">
        <v>17</v>
      </c>
      <c r="S15" s="772">
        <f t="shared" si="0"/>
        <v>100</v>
      </c>
      <c r="T15" s="771" t="s">
        <v>17</v>
      </c>
      <c r="U15" s="772">
        <f t="shared" si="1"/>
        <v>100</v>
      </c>
      <c r="V15" s="771" t="s">
        <v>17</v>
      </c>
      <c r="W15" s="772">
        <f t="shared" si="2"/>
        <v>100</v>
      </c>
      <c r="X15" s="1812"/>
      <c r="Y15" s="3441" t="s">
        <v>2562</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40"/>
      <c r="M16" s="1131"/>
      <c r="N16" s="1131"/>
      <c r="O16" s="1139"/>
      <c r="P16" s="3442"/>
      <c r="Q16" s="1809"/>
      <c r="R16" s="771"/>
      <c r="S16" s="772"/>
      <c r="T16" s="771"/>
      <c r="U16" s="772"/>
      <c r="V16" s="771"/>
      <c r="W16" s="772"/>
      <c r="X16" s="1812"/>
      <c r="Y16" s="3442"/>
      <c r="Z16" s="1813"/>
      <c r="AA16" s="1810">
        <v>1</v>
      </c>
      <c r="AB16" s="1810">
        <v>1</v>
      </c>
      <c r="AC16" s="1810">
        <v>1</v>
      </c>
    </row>
    <row r="17" spans="1:29" ht="85.5">
      <c r="A17" s="427"/>
      <c r="B17" s="630" t="s">
        <v>2711</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442"/>
      <c r="Q17" s="1809" t="str">
        <f>B17</f>
        <v>交通便捷度</v>
      </c>
      <c r="R17" s="771" t="s">
        <v>17</v>
      </c>
      <c r="S17" s="772">
        <f>F17</f>
        <v>100</v>
      </c>
      <c r="T17" s="771" t="s">
        <v>17</v>
      </c>
      <c r="U17" s="772">
        <f>H17</f>
        <v>100</v>
      </c>
      <c r="V17" s="771" t="s">
        <v>17</v>
      </c>
      <c r="W17" s="772">
        <f>J17</f>
        <v>100</v>
      </c>
      <c r="X17" s="1812"/>
      <c r="Y17" s="3442"/>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40"/>
      <c r="M18" s="1131"/>
      <c r="N18" s="1131"/>
      <c r="O18" s="1139"/>
      <c r="P18" s="3442"/>
      <c r="Q18" s="1809"/>
      <c r="R18" s="771"/>
      <c r="S18" s="772"/>
      <c r="T18" s="771"/>
      <c r="U18" s="772"/>
      <c r="V18" s="771"/>
      <c r="W18" s="772"/>
      <c r="X18" s="1812"/>
      <c r="Y18" s="3442"/>
      <c r="Z18" s="1813"/>
      <c r="AA18" s="1810">
        <v>1</v>
      </c>
      <c r="AB18" s="1810">
        <v>1</v>
      </c>
      <c r="AC18" s="1810">
        <v>1</v>
      </c>
    </row>
    <row r="19" spans="1:29" ht="15">
      <c r="A19" s="427"/>
      <c r="B19" s="630" t="s">
        <v>2750</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442"/>
      <c r="Q19" s="1809" t="str">
        <f t="shared" ref="Q19:Q33" si="8">B19</f>
        <v>区域土地利用方向</v>
      </c>
      <c r="R19" s="771" t="s">
        <v>17</v>
      </c>
      <c r="S19" s="772">
        <f>F19</f>
        <v>100</v>
      </c>
      <c r="T19" s="771" t="s">
        <v>17</v>
      </c>
      <c r="U19" s="772">
        <f>H19</f>
        <v>100</v>
      </c>
      <c r="V19" s="771" t="s">
        <v>17</v>
      </c>
      <c r="W19" s="772">
        <f>J19</f>
        <v>100</v>
      </c>
      <c r="X19" s="1812"/>
      <c r="Y19" s="3442"/>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09"/>
      <c r="L20" s="1140"/>
      <c r="M20" s="1131"/>
      <c r="N20" s="1131"/>
      <c r="O20" s="1139"/>
      <c r="P20" s="3442"/>
      <c r="Q20" s="1809"/>
      <c r="R20" s="771"/>
      <c r="S20" s="772"/>
      <c r="T20" s="771"/>
      <c r="U20" s="772"/>
      <c r="V20" s="771"/>
      <c r="W20" s="772"/>
      <c r="X20" s="1812"/>
      <c r="Y20" s="3442"/>
      <c r="Z20" s="1813"/>
      <c r="AA20" s="1810"/>
      <c r="AB20" s="1810"/>
      <c r="AC20" s="1810"/>
    </row>
    <row r="21" spans="1:29" ht="71.25">
      <c r="A21" s="403"/>
      <c r="B21" s="630" t="s">
        <v>2801</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442"/>
      <c r="Q21" s="1809" t="str">
        <f t="shared" si="8"/>
        <v>环境状况</v>
      </c>
      <c r="R21" s="771" t="s">
        <v>17</v>
      </c>
      <c r="S21" s="772">
        <f>F21</f>
        <v>100</v>
      </c>
      <c r="T21" s="771" t="s">
        <v>17</v>
      </c>
      <c r="U21" s="772">
        <f>H21</f>
        <v>100</v>
      </c>
      <c r="V21" s="771" t="s">
        <v>17</v>
      </c>
      <c r="W21" s="772">
        <f>J21</f>
        <v>100</v>
      </c>
      <c r="X21" s="1812"/>
      <c r="Y21" s="3442"/>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40"/>
      <c r="M22" s="1131"/>
      <c r="N22" s="1131"/>
      <c r="O22" s="1139"/>
      <c r="P22" s="3442"/>
      <c r="Q22" s="1809"/>
      <c r="R22" s="771"/>
      <c r="S22" s="772"/>
      <c r="T22" s="771"/>
      <c r="U22" s="772"/>
      <c r="V22" s="771"/>
      <c r="W22" s="772"/>
      <c r="X22" s="1812"/>
      <c r="Y22" s="3442"/>
      <c r="Z22" s="1813"/>
      <c r="AA22" s="1810">
        <v>1</v>
      </c>
      <c r="AB22" s="1810">
        <v>1</v>
      </c>
      <c r="AC22" s="1810">
        <v>1</v>
      </c>
    </row>
    <row r="23" spans="1:29" s="116" customFormat="1" ht="42.75">
      <c r="A23" s="648"/>
      <c r="B23" s="632" t="s">
        <v>2656</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442"/>
      <c r="Q23" s="1794" t="str">
        <f t="shared" si="8"/>
        <v>公共配套设施</v>
      </c>
      <c r="R23" s="767" t="s">
        <v>17</v>
      </c>
      <c r="S23" s="768">
        <f>F23</f>
        <v>100</v>
      </c>
      <c r="T23" s="767" t="s">
        <v>17</v>
      </c>
      <c r="U23" s="768">
        <f>H23</f>
        <v>100</v>
      </c>
      <c r="V23" s="767" t="s">
        <v>17</v>
      </c>
      <c r="W23" s="768">
        <f>J23</f>
        <v>100</v>
      </c>
      <c r="X23" s="769"/>
      <c r="Y23" s="3442"/>
      <c r="Z23" s="54" t="str">
        <f>Q23</f>
        <v>公共配套设施</v>
      </c>
      <c r="AA23" s="1810">
        <f>D23/F23</f>
        <v>1</v>
      </c>
      <c r="AB23" s="1810">
        <f>D23/H23</f>
        <v>1</v>
      </c>
      <c r="AC23" s="1810">
        <f>D23/J23</f>
        <v>1</v>
      </c>
    </row>
    <row r="24" spans="1:29" s="116" customFormat="1" ht="15">
      <c r="A24" s="648"/>
      <c r="B24" s="631"/>
      <c r="C24" s="2698"/>
      <c r="D24" s="447"/>
      <c r="E24" s="2609"/>
      <c r="F24" s="447"/>
      <c r="G24" s="2609"/>
      <c r="H24" s="447"/>
      <c r="I24" s="446"/>
      <c r="J24" s="447"/>
      <c r="K24" s="671"/>
      <c r="L24" s="1132"/>
      <c r="M24" s="1133"/>
      <c r="N24" s="1133"/>
      <c r="O24" s="1134"/>
      <c r="P24" s="3442"/>
      <c r="Q24" s="1794"/>
      <c r="R24" s="767"/>
      <c r="S24" s="768"/>
      <c r="T24" s="767"/>
      <c r="U24" s="768"/>
      <c r="V24" s="767"/>
      <c r="W24" s="768"/>
      <c r="X24" s="769"/>
      <c r="Y24" s="3442"/>
      <c r="Z24" s="54"/>
      <c r="AA24" s="770">
        <v>1</v>
      </c>
      <c r="AB24" s="770">
        <v>1</v>
      </c>
      <c r="AC24" s="770">
        <v>1</v>
      </c>
    </row>
    <row r="25" spans="1:29" s="116" customFormat="1" ht="28.5">
      <c r="A25" s="648"/>
      <c r="B25" s="632" t="s">
        <v>2657</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442"/>
      <c r="Q25" s="1794" t="str">
        <f t="shared" ref="Q25" si="9">B25</f>
        <v>基础设施水平</v>
      </c>
      <c r="R25" s="767" t="s">
        <v>17</v>
      </c>
      <c r="S25" s="768">
        <f>F25</f>
        <v>100</v>
      </c>
      <c r="T25" s="767" t="s">
        <v>17</v>
      </c>
      <c r="U25" s="768">
        <f>H25</f>
        <v>100</v>
      </c>
      <c r="V25" s="767" t="s">
        <v>17</v>
      </c>
      <c r="W25" s="768">
        <f>J25</f>
        <v>100</v>
      </c>
      <c r="X25" s="769"/>
      <c r="Y25" s="3442"/>
      <c r="Z25" s="54" t="str">
        <f>Q25</f>
        <v>基础设施水平</v>
      </c>
      <c r="AA25" s="1810">
        <f>D25/F25</f>
        <v>1</v>
      </c>
      <c r="AB25" s="1810">
        <f>D25/H25</f>
        <v>1</v>
      </c>
      <c r="AC25" s="1810">
        <f>D25/J25</f>
        <v>1</v>
      </c>
    </row>
    <row r="26" spans="1:29" s="116" customFormat="1" ht="15">
      <c r="A26" s="648"/>
      <c r="B26" s="631"/>
      <c r="C26" s="2698"/>
      <c r="D26" s="447"/>
      <c r="E26" s="2699"/>
      <c r="F26" s="447"/>
      <c r="G26" s="2699"/>
      <c r="H26" s="447"/>
      <c r="I26" s="2699"/>
      <c r="J26" s="447"/>
      <c r="K26" s="671"/>
      <c r="L26" s="1132"/>
      <c r="M26" s="1133"/>
      <c r="N26" s="1133"/>
      <c r="O26" s="1134"/>
      <c r="P26" s="3442"/>
      <c r="Q26" s="1794"/>
      <c r="R26" s="767"/>
      <c r="S26" s="768"/>
      <c r="T26" s="767"/>
      <c r="U26" s="768"/>
      <c r="V26" s="767"/>
      <c r="W26" s="768"/>
      <c r="X26" s="769"/>
      <c r="Y26" s="3442"/>
      <c r="Z26" s="54"/>
      <c r="AA26" s="770">
        <v>1</v>
      </c>
      <c r="AB26" s="770">
        <v>1</v>
      </c>
      <c r="AC26" s="770">
        <v>1</v>
      </c>
    </row>
    <row r="27" spans="1:29" ht="15">
      <c r="A27" s="427"/>
      <c r="B27" s="631" t="s">
        <v>2658</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442"/>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442"/>
      <c r="Z27" s="1813" t="str">
        <f t="shared" ref="Z27:Z40" si="13">Q27</f>
        <v>临街状况</v>
      </c>
      <c r="AA27" s="1810">
        <f t="shared" si="3"/>
        <v>1</v>
      </c>
      <c r="AB27" s="1810">
        <f t="shared" si="4"/>
        <v>1</v>
      </c>
      <c r="AC27" s="1810">
        <f t="shared" si="5"/>
        <v>1</v>
      </c>
    </row>
    <row r="28" spans="1:29" ht="27">
      <c r="A28" s="427"/>
      <c r="B28" s="632" t="s">
        <v>2693</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442"/>
      <c r="Q28" s="1809" t="str">
        <f t="shared" si="8"/>
        <v>毗邻道路的类型与等级</v>
      </c>
      <c r="R28" s="771" t="s">
        <v>17</v>
      </c>
      <c r="S28" s="772">
        <f t="shared" si="10"/>
        <v>100</v>
      </c>
      <c r="T28" s="771" t="s">
        <v>17</v>
      </c>
      <c r="U28" s="772">
        <f t="shared" si="11"/>
        <v>100</v>
      </c>
      <c r="V28" s="771" t="s">
        <v>17</v>
      </c>
      <c r="W28" s="772">
        <f t="shared" si="12"/>
        <v>100</v>
      </c>
      <c r="X28" s="1812"/>
      <c r="Y28" s="3442"/>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40"/>
      <c r="M29" s="1131"/>
      <c r="N29" s="1131"/>
      <c r="O29" s="1139"/>
      <c r="P29" s="3442"/>
      <c r="Q29" s="1809"/>
      <c r="R29" s="771"/>
      <c r="S29" s="772"/>
      <c r="T29" s="771"/>
      <c r="U29" s="772"/>
      <c r="V29" s="771"/>
      <c r="W29" s="772"/>
      <c r="X29" s="1812"/>
      <c r="Y29" s="3442"/>
      <c r="Z29" s="1813"/>
      <c r="AA29" s="1810">
        <v>1</v>
      </c>
      <c r="AB29" s="1810">
        <v>1</v>
      </c>
      <c r="AC29" s="1810">
        <v>1</v>
      </c>
    </row>
    <row r="30" spans="1:29" ht="15">
      <c r="A30" s="427"/>
      <c r="B30" s="653" t="s">
        <v>2752</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442"/>
      <c r="Q30" s="1809" t="str">
        <f t="shared" si="8"/>
        <v>土地级别</v>
      </c>
      <c r="R30" s="771" t="s">
        <v>17</v>
      </c>
      <c r="S30" s="772">
        <f t="shared" si="10"/>
        <v>100</v>
      </c>
      <c r="T30" s="771" t="s">
        <v>17</v>
      </c>
      <c r="U30" s="772">
        <f t="shared" si="11"/>
        <v>100</v>
      </c>
      <c r="V30" s="771" t="s">
        <v>17</v>
      </c>
      <c r="W30" s="772">
        <f t="shared" si="12"/>
        <v>100</v>
      </c>
      <c r="X30" s="1812"/>
      <c r="Y30" s="3442"/>
      <c r="Z30" s="1813" t="str">
        <f t="shared" si="13"/>
        <v>土地级别</v>
      </c>
      <c r="AA30" s="1810">
        <f t="shared" si="3"/>
        <v>1</v>
      </c>
      <c r="AB30" s="1810">
        <f t="shared" si="4"/>
        <v>1</v>
      </c>
      <c r="AC30" s="1810">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442"/>
      <c r="Q31" s="1809">
        <f t="shared" si="8"/>
        <v>111</v>
      </c>
      <c r="R31" s="771" t="s">
        <v>17</v>
      </c>
      <c r="S31" s="772">
        <f t="shared" si="10"/>
        <v>100</v>
      </c>
      <c r="T31" s="771" t="s">
        <v>17</v>
      </c>
      <c r="U31" s="772">
        <f t="shared" si="11"/>
        <v>100</v>
      </c>
      <c r="V31" s="771" t="s">
        <v>17</v>
      </c>
      <c r="W31" s="772">
        <f t="shared" si="12"/>
        <v>100</v>
      </c>
      <c r="X31" s="1812"/>
      <c r="Y31" s="3442"/>
      <c r="Z31" s="1813">
        <f t="shared" si="13"/>
        <v>111</v>
      </c>
      <c r="AA31" s="1810">
        <f t="shared" si="3"/>
        <v>1</v>
      </c>
      <c r="AB31" s="1810">
        <f t="shared" si="4"/>
        <v>1</v>
      </c>
      <c r="AC31" s="1810">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528" t="s">
        <v>2567</v>
      </c>
      <c r="Q32" s="1809">
        <f t="shared" si="8"/>
        <v>111</v>
      </c>
      <c r="R32" s="771" t="s">
        <v>17</v>
      </c>
      <c r="S32" s="772">
        <f t="shared" si="10"/>
        <v>100</v>
      </c>
      <c r="T32" s="771" t="s">
        <v>17</v>
      </c>
      <c r="U32" s="772">
        <f t="shared" si="11"/>
        <v>100</v>
      </c>
      <c r="V32" s="771" t="s">
        <v>17</v>
      </c>
      <c r="W32" s="772">
        <f t="shared" si="12"/>
        <v>100</v>
      </c>
      <c r="X32" s="1812"/>
      <c r="Y32" s="3446" t="s">
        <v>2567</v>
      </c>
      <c r="Z32" s="1813">
        <f t="shared" si="13"/>
        <v>111</v>
      </c>
      <c r="AA32" s="1810">
        <f t="shared" si="3"/>
        <v>1</v>
      </c>
      <c r="AB32" s="1810">
        <f t="shared" si="4"/>
        <v>1</v>
      </c>
      <c r="AC32" s="1810">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446"/>
      <c r="Q33" s="1809">
        <f t="shared" si="8"/>
        <v>111</v>
      </c>
      <c r="R33" s="774" t="s">
        <v>17</v>
      </c>
      <c r="S33" s="775">
        <f t="shared" si="10"/>
        <v>100</v>
      </c>
      <c r="T33" s="774" t="s">
        <v>17</v>
      </c>
      <c r="U33" s="775">
        <f t="shared" si="11"/>
        <v>100</v>
      </c>
      <c r="V33" s="774" t="s">
        <v>17</v>
      </c>
      <c r="W33" s="775">
        <f t="shared" si="12"/>
        <v>100</v>
      </c>
      <c r="X33" s="776"/>
      <c r="Y33" s="3446"/>
      <c r="Z33" s="777">
        <f t="shared" si="13"/>
        <v>111</v>
      </c>
      <c r="AA33" s="1810">
        <f t="shared" si="3"/>
        <v>1</v>
      </c>
      <c r="AB33" s="1810">
        <f t="shared" si="4"/>
        <v>1</v>
      </c>
      <c r="AC33" s="1810">
        <f t="shared" si="5"/>
        <v>1</v>
      </c>
    </row>
    <row r="34" spans="1:29" ht="15">
      <c r="A34" s="439" t="s">
        <v>2565</v>
      </c>
      <c r="B34" s="455" t="s">
        <v>2753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446"/>
      <c r="Q34" s="1809" t="str">
        <f>B34</f>
        <v>宗地面积</v>
      </c>
      <c r="R34" s="771" t="s">
        <v>17</v>
      </c>
      <c r="S34" s="772" t="e">
        <f t="shared" si="10"/>
        <v>#N/A</v>
      </c>
      <c r="T34" s="771" t="s">
        <v>17</v>
      </c>
      <c r="U34" s="772" t="e">
        <f t="shared" si="11"/>
        <v>#N/A</v>
      </c>
      <c r="V34" s="771" t="s">
        <v>17</v>
      </c>
      <c r="W34" s="772" t="e">
        <f t="shared" si="12"/>
        <v>#N/A</v>
      </c>
      <c r="X34" s="1812"/>
      <c r="Y34" s="3446"/>
      <c r="Z34" s="1813" t="str">
        <f t="shared" si="13"/>
        <v>宗地面积</v>
      </c>
      <c r="AA34" s="1810" t="e">
        <f t="shared" si="3"/>
        <v>#N/A</v>
      </c>
      <c r="AB34" s="1810" t="e">
        <f t="shared" si="4"/>
        <v>#N/A</v>
      </c>
      <c r="AC34" s="1810" t="e">
        <f t="shared" si="5"/>
        <v>#N/A</v>
      </c>
    </row>
    <row r="35" spans="1:29" ht="15">
      <c r="A35" s="471"/>
      <c r="B35" s="421" t="s">
        <v>2754</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40"/>
      <c r="M35" s="1131"/>
      <c r="N35" s="1131"/>
      <c r="O35" s="1139"/>
      <c r="P35" s="3446"/>
      <c r="Q35" s="1809" t="str">
        <f t="shared" ref="Q35:Q40" si="14">B35</f>
        <v>宗地形状</v>
      </c>
      <c r="R35" s="771" t="s">
        <v>17</v>
      </c>
      <c r="S35" s="772">
        <f t="shared" si="10"/>
        <v>100</v>
      </c>
      <c r="T35" s="771" t="s">
        <v>17</v>
      </c>
      <c r="U35" s="772">
        <f t="shared" si="11"/>
        <v>100</v>
      </c>
      <c r="V35" s="771" t="s">
        <v>17</v>
      </c>
      <c r="W35" s="772">
        <f t="shared" si="12"/>
        <v>100</v>
      </c>
      <c r="X35" s="1812"/>
      <c r="Y35" s="3446"/>
      <c r="Z35" s="1813" t="str">
        <f t="shared" si="13"/>
        <v>宗地形状</v>
      </c>
      <c r="AA35" s="1810">
        <f t="shared" si="3"/>
        <v>1</v>
      </c>
      <c r="AB35" s="1810">
        <f t="shared" si="4"/>
        <v>1</v>
      </c>
      <c r="AC35" s="1810">
        <f t="shared" si="5"/>
        <v>1</v>
      </c>
    </row>
    <row r="36" spans="1:29" s="116" customFormat="1" ht="15">
      <c r="A36" s="472"/>
      <c r="B36" s="421" t="s">
        <v>2756</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2"/>
      <c r="M36" s="1133"/>
      <c r="N36" s="1133"/>
      <c r="O36" s="1134"/>
      <c r="P36" s="3446"/>
      <c r="Q36" s="1809" t="str">
        <f t="shared" si="14"/>
        <v>宗地开发程度</v>
      </c>
      <c r="R36" s="767" t="s">
        <v>17</v>
      </c>
      <c r="S36" s="768">
        <f t="shared" si="10"/>
        <v>100</v>
      </c>
      <c r="T36" s="767" t="s">
        <v>17</v>
      </c>
      <c r="U36" s="768">
        <f t="shared" si="11"/>
        <v>100</v>
      </c>
      <c r="V36" s="767" t="s">
        <v>17</v>
      </c>
      <c r="W36" s="768">
        <f t="shared" si="12"/>
        <v>100</v>
      </c>
      <c r="X36" s="769"/>
      <c r="Y36" s="3446"/>
      <c r="Z36" s="54" t="str">
        <f t="shared" si="13"/>
        <v>宗地开发程度</v>
      </c>
      <c r="AA36" s="770">
        <f t="shared" si="3"/>
        <v>1</v>
      </c>
      <c r="AB36" s="770">
        <f t="shared" si="4"/>
        <v>1</v>
      </c>
      <c r="AC36" s="770">
        <f t="shared" si="5"/>
        <v>1</v>
      </c>
    </row>
    <row r="37" spans="1:29" ht="15">
      <c r="A37" s="471"/>
      <c r="B37" s="421" t="s">
        <v>2757</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0"/>
      <c r="M37" s="1131"/>
      <c r="N37" s="1131"/>
      <c r="O37" s="1139"/>
      <c r="P37" s="3446" t="s">
        <v>2567</v>
      </c>
      <c r="Q37" s="1809" t="str">
        <f t="shared" si="14"/>
        <v>工程地质条件</v>
      </c>
      <c r="R37" s="771" t="s">
        <v>17</v>
      </c>
      <c r="S37" s="772">
        <f t="shared" si="10"/>
        <v>100</v>
      </c>
      <c r="T37" s="771" t="s">
        <v>17</v>
      </c>
      <c r="U37" s="772">
        <f t="shared" si="11"/>
        <v>100</v>
      </c>
      <c r="V37" s="771" t="s">
        <v>17</v>
      </c>
      <c r="W37" s="772">
        <f t="shared" si="12"/>
        <v>100</v>
      </c>
      <c r="X37" s="1812"/>
      <c r="Y37" s="3446" t="s">
        <v>2567</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446"/>
      <c r="Q38" s="1809">
        <f t="shared" si="14"/>
        <v>111</v>
      </c>
      <c r="R38" s="771" t="s">
        <v>17</v>
      </c>
      <c r="S38" s="772">
        <f t="shared" si="10"/>
        <v>100</v>
      </c>
      <c r="T38" s="771" t="s">
        <v>17</v>
      </c>
      <c r="U38" s="772">
        <f t="shared" si="11"/>
        <v>100</v>
      </c>
      <c r="V38" s="771" t="s">
        <v>17</v>
      </c>
      <c r="W38" s="772">
        <f t="shared" si="12"/>
        <v>100</v>
      </c>
      <c r="X38" s="1812"/>
      <c r="Y38" s="3446"/>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446"/>
      <c r="Q39" s="1809">
        <f t="shared" si="14"/>
        <v>111</v>
      </c>
      <c r="R39" s="771" t="s">
        <v>17</v>
      </c>
      <c r="S39" s="772">
        <f t="shared" si="10"/>
        <v>100</v>
      </c>
      <c r="T39" s="771" t="s">
        <v>17</v>
      </c>
      <c r="U39" s="772">
        <f t="shared" si="11"/>
        <v>100</v>
      </c>
      <c r="V39" s="771" t="s">
        <v>17</v>
      </c>
      <c r="W39" s="772">
        <f t="shared" si="12"/>
        <v>100</v>
      </c>
      <c r="X39" s="1812"/>
      <c r="Y39" s="3446"/>
      <c r="Z39" s="1813">
        <f t="shared" si="13"/>
        <v>111</v>
      </c>
      <c r="AA39" s="1810">
        <f t="shared" si="3"/>
        <v>1</v>
      </c>
      <c r="AB39" s="1810">
        <f t="shared" si="4"/>
        <v>1</v>
      </c>
      <c r="AC39" s="1810">
        <f t="shared" si="5"/>
        <v>1</v>
      </c>
    </row>
    <row r="40" spans="1:29" s="470" customFormat="1" ht="15.75"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446"/>
      <c r="Q40" s="1809">
        <f t="shared" si="14"/>
        <v>111</v>
      </c>
      <c r="R40" s="774" t="s">
        <v>17</v>
      </c>
      <c r="S40" s="775">
        <f t="shared" si="10"/>
        <v>100</v>
      </c>
      <c r="T40" s="774" t="s">
        <v>17</v>
      </c>
      <c r="U40" s="775">
        <f t="shared" si="11"/>
        <v>100</v>
      </c>
      <c r="V40" s="774" t="s">
        <v>17</v>
      </c>
      <c r="W40" s="775">
        <f t="shared" si="12"/>
        <v>100</v>
      </c>
      <c r="X40" s="776"/>
      <c r="Y40" s="3446"/>
      <c r="Z40" s="777">
        <f t="shared" si="13"/>
        <v>111</v>
      </c>
      <c r="AA40" s="1810">
        <f t="shared" si="3"/>
        <v>1</v>
      </c>
      <c r="AB40" s="1810">
        <f t="shared" si="4"/>
        <v>1</v>
      </c>
      <c r="AC40" s="1810">
        <f t="shared" si="5"/>
        <v>1</v>
      </c>
    </row>
    <row r="41" spans="1:29" ht="15">
      <c r="A41" s="478" t="s">
        <v>2722</v>
      </c>
      <c r="B41" s="2702" t="s">
        <v>2802</v>
      </c>
      <c r="C41" s="681" t="s">
        <v>1</v>
      </c>
      <c r="D41" s="480"/>
      <c r="E41" s="481"/>
      <c r="F41" s="482"/>
      <c r="G41" s="483"/>
      <c r="H41" s="484"/>
      <c r="I41" s="481"/>
      <c r="J41" s="484"/>
      <c r="K41" s="780"/>
      <c r="L41" s="1143"/>
      <c r="M41" s="1131"/>
      <c r="N41" s="1131"/>
      <c r="O41" s="1144"/>
      <c r="P41" s="3434" t="str">
        <f>A41</f>
        <v>成交单价</v>
      </c>
      <c r="Q41" s="3434"/>
      <c r="R41" s="3468">
        <f>E41</f>
        <v>0</v>
      </c>
      <c r="S41" s="3468"/>
      <c r="T41" s="3468">
        <f>G41</f>
        <v>0</v>
      </c>
      <c r="U41" s="3468"/>
      <c r="V41" s="3468">
        <f>I41</f>
        <v>0</v>
      </c>
      <c r="W41" s="3468"/>
      <c r="X41" s="756"/>
      <c r="Y41" s="778"/>
      <c r="Z41" s="756"/>
      <c r="AA41" s="756"/>
      <c r="AB41" s="756"/>
      <c r="AC41" s="756"/>
    </row>
    <row r="42" spans="1:29" ht="15.75" thickBot="1">
      <c r="A42" s="485" t="s">
        <v>2671</v>
      </c>
      <c r="B42" s="682"/>
      <c r="C42" s="489" t="e">
        <f>R43</f>
        <v>#DIV/0!</v>
      </c>
      <c r="D42" s="488"/>
      <c r="E42" s="489" t="e">
        <f>R42</f>
        <v>#DIV/0!</v>
      </c>
      <c r="F42" s="490"/>
      <c r="G42" s="487" t="e">
        <f>T42</f>
        <v>#DIV/0!</v>
      </c>
      <c r="H42" s="488"/>
      <c r="I42" s="489" t="e">
        <f>V42</f>
        <v>#DIV/0!</v>
      </c>
      <c r="J42" s="488"/>
      <c r="K42" s="781"/>
      <c r="L42" s="1143"/>
      <c r="M42" s="1131"/>
      <c r="N42" s="1131"/>
      <c r="O42" s="1144"/>
      <c r="P42" s="3434" t="str">
        <f>A42</f>
        <v>比较价值（元/平方米）</v>
      </c>
      <c r="Q42" s="3434"/>
      <c r="R42" s="3530" t="e">
        <f>ROUND(PRODUCT(R41,AA7:AA40),0)</f>
        <v>#DIV/0!</v>
      </c>
      <c r="S42" s="3530"/>
      <c r="T42" s="3530" t="e">
        <f>ROUND(PRODUCT(T41,AB7:AB40),0)</f>
        <v>#DIV/0!</v>
      </c>
      <c r="U42" s="3530"/>
      <c r="V42" s="3530" t="e">
        <f>ROUND(PRODUCT(V41,AC7:AC40),0)</f>
        <v>#DIV/0!</v>
      </c>
      <c r="W42" s="3530"/>
      <c r="X42" s="756"/>
      <c r="Y42" s="756"/>
      <c r="Z42" s="756"/>
      <c r="AA42" s="756"/>
      <c r="AB42" s="756"/>
      <c r="AC42" s="756"/>
    </row>
    <row r="43" spans="1:29" ht="15.75" thickBot="1">
      <c r="A43" s="491" t="s">
        <v>2672</v>
      </c>
      <c r="B43" s="492"/>
      <c r="C43" s="493" t="e">
        <f>R43</f>
        <v>#DIV/0!</v>
      </c>
      <c r="D43" s="493"/>
      <c r="E43" s="493"/>
      <c r="F43" s="493"/>
      <c r="G43" s="493"/>
      <c r="H43" s="493"/>
      <c r="I43" s="493"/>
      <c r="J43" s="493"/>
      <c r="K43" s="782"/>
      <c r="L43" s="1143"/>
      <c r="M43" s="1131"/>
      <c r="N43" s="1131"/>
      <c r="O43" s="1144"/>
      <c r="P43" s="3495" t="str">
        <f>A43</f>
        <v>估价对象XX用房的比较价值（楼面单价，元/平方米）</v>
      </c>
      <c r="Q43" s="3496"/>
      <c r="R43" s="3531" t="e">
        <f>ROUND(AVERAGE(R42:V42),0)</f>
        <v>#DIV/0!</v>
      </c>
      <c r="S43" s="3531"/>
      <c r="T43" s="3531"/>
      <c r="U43" s="3531"/>
      <c r="V43" s="3531"/>
      <c r="W43" s="353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2760</v>
      </c>
      <c r="B50" s="684" t="s">
        <v>2761</v>
      </c>
      <c r="C50" s="2703" t="s">
        <v>2762</v>
      </c>
      <c r="D50" s="2704" t="s">
        <v>2763</v>
      </c>
      <c r="E50" s="685" t="s">
        <v>2764</v>
      </c>
      <c r="F50" s="686" t="s">
        <v>2765</v>
      </c>
      <c r="G50" s="3451" t="s">
        <v>2766</v>
      </c>
      <c r="H50" s="3532"/>
      <c r="I50" s="1813" t="s">
        <v>2803</v>
      </c>
      <c r="J50" s="1813">
        <f>项目基本情况!F35</f>
        <v>0</v>
      </c>
      <c r="K50" s="2706" t="s">
        <v>2768</v>
      </c>
      <c r="L50" s="1106"/>
      <c r="M50" s="1144"/>
      <c r="N50" s="1144"/>
      <c r="O50" s="1144"/>
    </row>
    <row r="51" spans="1:17" s="691" customFormat="1">
      <c r="A51" s="687" t="s">
        <v>2769</v>
      </c>
      <c r="B51" s="688" t="e">
        <f>C43</f>
        <v>#DIV/0!</v>
      </c>
      <c r="C51" s="689">
        <v>1</v>
      </c>
      <c r="D51" s="1163">
        <v>1</v>
      </c>
      <c r="E51" s="689">
        <f>'数据-汇总表'!E8+'数据-汇总表'!E9</f>
        <v>16929.979999999996</v>
      </c>
      <c r="F51" s="690" t="e">
        <f t="shared" ref="F51:F60" si="15">ROUND(B51*E51/10000,0)</f>
        <v>#DIV/0!</v>
      </c>
      <c r="G51" s="3433"/>
      <c r="H51" s="3434"/>
      <c r="I51" s="942">
        <v>1</v>
      </c>
      <c r="J51" s="942">
        <v>1</v>
      </c>
      <c r="K51" s="1145"/>
      <c r="L51" s="941"/>
      <c r="M51" s="941"/>
      <c r="N51" s="941"/>
      <c r="O51" s="941"/>
    </row>
    <row r="52" spans="1:17" s="691" customFormat="1">
      <c r="A52" s="692" t="s">
        <v>2770</v>
      </c>
      <c r="B52" s="261" t="e">
        <f>ROUND($C$43*C52*D52,0)</f>
        <v>#DIV/0!</v>
      </c>
      <c r="C52" s="199">
        <f t="shared" ref="C52:C60" si="16">IF($C$50="北京市系数",I52,J52)</f>
        <v>0.7</v>
      </c>
      <c r="D52" s="1164">
        <v>0.25</v>
      </c>
      <c r="E52" s="693"/>
      <c r="F52" s="690" t="e">
        <f t="shared" si="15"/>
        <v>#DIV/0!</v>
      </c>
      <c r="G52" s="3533" t="s">
        <v>2771</v>
      </c>
      <c r="H52" s="1104" t="str">
        <f>项目基本情况!B37</f>
        <v>六级</v>
      </c>
      <c r="I52" s="942">
        <f>SUMIF(修正!A45:A56,H52,修正!B45:B56)</f>
        <v>0.7</v>
      </c>
      <c r="J52" s="943"/>
      <c r="K52" s="1144"/>
      <c r="L52" s="941"/>
      <c r="M52" s="941"/>
      <c r="N52" s="941"/>
      <c r="O52" s="941"/>
    </row>
    <row r="53" spans="1:17" s="691" customFormat="1">
      <c r="A53" s="692" t="s">
        <v>2772</v>
      </c>
      <c r="B53" s="261" t="e">
        <f t="shared" ref="B53:B60" si="17">ROUND($C$43*C53*D53,0)</f>
        <v>#DIV/0!</v>
      </c>
      <c r="C53" s="199">
        <f t="shared" si="16"/>
        <v>0.4</v>
      </c>
      <c r="D53" s="1164">
        <v>0.25</v>
      </c>
      <c r="E53" s="693"/>
      <c r="F53" s="690" t="e">
        <f t="shared" si="15"/>
        <v>#DIV/0!</v>
      </c>
      <c r="G53" s="3533"/>
      <c r="H53" s="1104" t="str">
        <f>项目基本情况!B37</f>
        <v>六级</v>
      </c>
      <c r="I53" s="942">
        <f>SUMIF(修正!A45:A56,H53,修正!C45:C56)</f>
        <v>0.4</v>
      </c>
      <c r="J53" s="943"/>
      <c r="K53" s="1145"/>
      <c r="L53" s="941"/>
      <c r="M53" s="941"/>
      <c r="N53" s="941"/>
      <c r="O53" s="941"/>
    </row>
    <row r="54" spans="1:17" s="691" customFormat="1">
      <c r="A54" s="692" t="s">
        <v>2773</v>
      </c>
      <c r="B54" s="261" t="e">
        <f t="shared" si="17"/>
        <v>#DIV/0!</v>
      </c>
      <c r="C54" s="199">
        <f t="shared" si="16"/>
        <v>0.28000000000000003</v>
      </c>
      <c r="D54" s="1164">
        <v>0.25</v>
      </c>
      <c r="E54" s="693"/>
      <c r="F54" s="690" t="e">
        <f t="shared" si="15"/>
        <v>#DIV/0!</v>
      </c>
      <c r="G54" s="3533"/>
      <c r="H54" s="1104" t="str">
        <f>项目基本情况!B37</f>
        <v>六级</v>
      </c>
      <c r="I54" s="942">
        <f>SUMIF(修正!A45:A56,H54,修正!D45:D56)</f>
        <v>0.28000000000000003</v>
      </c>
      <c r="J54" s="943"/>
      <c r="K54" s="1144"/>
      <c r="L54" s="941"/>
      <c r="M54" s="941"/>
      <c r="N54" s="941"/>
      <c r="O54" s="941"/>
    </row>
    <row r="55" spans="1:17" s="691" customFormat="1">
      <c r="A55" s="692" t="s">
        <v>2774</v>
      </c>
      <c r="B55" s="261" t="e">
        <f t="shared" si="17"/>
        <v>#DIV/0!</v>
      </c>
      <c r="C55" s="199">
        <f t="shared" si="16"/>
        <v>0.25</v>
      </c>
      <c r="D55" s="1164">
        <v>0.25</v>
      </c>
      <c r="E55" s="693"/>
      <c r="F55" s="690" t="e">
        <f t="shared" si="15"/>
        <v>#DIV/0!</v>
      </c>
      <c r="G55" s="3533"/>
      <c r="H55" s="1104" t="str">
        <f>项目基本情况!B37</f>
        <v>六级</v>
      </c>
      <c r="I55" s="942">
        <f>SUMIF(修正!A45:A56,H55,修正!E45:E56)</f>
        <v>0.25</v>
      </c>
      <c r="J55" s="943"/>
      <c r="K55" s="1145"/>
      <c r="L55" s="941"/>
      <c r="M55" s="941"/>
      <c r="N55" s="941"/>
      <c r="O55" s="941"/>
    </row>
    <row r="56" spans="1:17" s="691" customFormat="1">
      <c r="A56" s="692" t="s">
        <v>2775</v>
      </c>
      <c r="B56" s="261" t="e">
        <f t="shared" si="17"/>
        <v>#DIV/0!</v>
      </c>
      <c r="C56" s="199">
        <f t="shared" si="16"/>
        <v>0</v>
      </c>
      <c r="D56" s="1164">
        <v>0.25</v>
      </c>
      <c r="E56" s="260">
        <f>'数据-汇总表'!E11</f>
        <v>0</v>
      </c>
      <c r="F56" s="690" t="e">
        <f t="shared" si="15"/>
        <v>#DIV/0!</v>
      </c>
      <c r="G56" s="2707" t="s">
        <v>2776</v>
      </c>
      <c r="H56" s="1104">
        <f>项目基本情况!C37</f>
        <v>0</v>
      </c>
      <c r="I56" s="942">
        <f>SUMIF(修正!A45:A56,H56,修正!F45:F56)</f>
        <v>0</v>
      </c>
      <c r="J56" s="943"/>
      <c r="K56" s="1144"/>
      <c r="L56" s="941"/>
      <c r="M56" s="941"/>
      <c r="N56" s="941"/>
      <c r="O56" s="941"/>
    </row>
    <row r="57" spans="1:17" s="691" customFormat="1">
      <c r="A57" s="692" t="s">
        <v>2777</v>
      </c>
      <c r="B57" s="261" t="e">
        <f t="shared" si="17"/>
        <v>#DIV/0!</v>
      </c>
      <c r="C57" s="199">
        <f t="shared" si="16"/>
        <v>0</v>
      </c>
      <c r="D57" s="1164">
        <v>0.25</v>
      </c>
      <c r="E57" s="260">
        <f>'数据-汇总表'!E12</f>
        <v>0</v>
      </c>
      <c r="F57" s="690"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2779</v>
      </c>
      <c r="B58" s="261" t="e">
        <f t="shared" si="17"/>
        <v>#DIV/0!</v>
      </c>
      <c r="C58" s="199">
        <f t="shared" si="16"/>
        <v>0</v>
      </c>
      <c r="D58" s="1164">
        <v>0.25</v>
      </c>
      <c r="E58" s="260">
        <f>'数据-汇总表'!E13</f>
        <v>0</v>
      </c>
      <c r="F58" s="690"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2781</v>
      </c>
      <c r="B59" s="261" t="e">
        <f t="shared" si="17"/>
        <v>#DIV/0!</v>
      </c>
      <c r="C59" s="199">
        <f t="shared" si="16"/>
        <v>0.2</v>
      </c>
      <c r="D59" s="1164">
        <v>0.25</v>
      </c>
      <c r="E59" s="260">
        <f>'数据-汇总表'!E14</f>
        <v>0</v>
      </c>
      <c r="F59" s="690" t="e">
        <f t="shared" si="15"/>
        <v>#DIV/0!</v>
      </c>
      <c r="G59" s="2707" t="s">
        <v>2771</v>
      </c>
      <c r="H59" s="1104" t="str">
        <f>项目基本情况!B37</f>
        <v>六级</v>
      </c>
      <c r="I59" s="942">
        <f>SUMIF(修正!A45:A56,H59,修正!H45:H56)</f>
        <v>0.2</v>
      </c>
      <c r="J59" s="943"/>
      <c r="K59" s="1145"/>
      <c r="L59" s="941"/>
      <c r="M59" s="941"/>
      <c r="N59" s="941"/>
      <c r="O59" s="941"/>
    </row>
    <row r="60" spans="1:17" s="691" customFormat="1" ht="15" thickBot="1">
      <c r="A60" s="692" t="s">
        <v>2782</v>
      </c>
      <c r="B60" s="261" t="e">
        <f t="shared" si="17"/>
        <v>#DIV/0!</v>
      </c>
      <c r="C60" s="199">
        <f t="shared" si="16"/>
        <v>0</v>
      </c>
      <c r="D60" s="1164">
        <v>0.25</v>
      </c>
      <c r="E60" s="260">
        <f>'数据-汇总表'!E15</f>
        <v>0</v>
      </c>
      <c r="F60" s="690" t="e">
        <f t="shared" si="15"/>
        <v>#DIV/0!</v>
      </c>
      <c r="G60" s="2708" t="s">
        <v>2776</v>
      </c>
      <c r="H60" s="1114">
        <f>项目基本情况!C37</f>
        <v>0</v>
      </c>
      <c r="I60" s="942">
        <f>SUMIF(修正!A45:A56,H60,修正!H45:H56)</f>
        <v>0</v>
      </c>
      <c r="J60" s="943"/>
      <c r="K60" s="1144"/>
      <c r="L60" s="941"/>
      <c r="M60" s="941"/>
      <c r="N60" s="941"/>
      <c r="O60" s="941"/>
    </row>
    <row r="61" spans="1:17" s="691" customFormat="1" ht="15" thickBot="1">
      <c r="A61" s="694" t="s">
        <v>2783</v>
      </c>
      <c r="B61" s="695" t="s">
        <v>28</v>
      </c>
      <c r="C61" s="695" t="s">
        <v>29</v>
      </c>
      <c r="D61" s="695" t="s">
        <v>1026</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2019-3-1</v>
      </c>
      <c r="D63" s="758">
        <f>EDATE(C63,-3)</f>
        <v>43435</v>
      </c>
      <c r="E63" s="758">
        <f>EDATE(D63,-3)</f>
        <v>43344</v>
      </c>
      <c r="F63" s="758">
        <f t="shared" ref="F63:O63" si="18">EDATE(E63,-3)</f>
        <v>43252</v>
      </c>
      <c r="G63" s="758">
        <f t="shared" si="18"/>
        <v>43160</v>
      </c>
      <c r="H63" s="758">
        <f t="shared" si="18"/>
        <v>43070</v>
      </c>
      <c r="I63" s="758">
        <f t="shared" si="18"/>
        <v>42979</v>
      </c>
      <c r="J63" s="758">
        <f t="shared" si="18"/>
        <v>42887</v>
      </c>
      <c r="K63" s="758">
        <f t="shared" si="18"/>
        <v>42795</v>
      </c>
      <c r="L63" s="758">
        <f t="shared" si="18"/>
        <v>42705</v>
      </c>
      <c r="M63" s="758">
        <f t="shared" si="18"/>
        <v>42614</v>
      </c>
      <c r="N63" s="758">
        <f t="shared" si="18"/>
        <v>42522</v>
      </c>
      <c r="O63" s="758">
        <f t="shared" si="18"/>
        <v>42430</v>
      </c>
    </row>
    <row r="64" spans="1:17" ht="21.75" thickBot="1">
      <c r="A64" s="760" t="s">
        <v>2676</v>
      </c>
      <c r="B64" s="756"/>
      <c r="C64" s="761"/>
      <c r="D64" s="761"/>
      <c r="E64" s="761"/>
      <c r="F64" s="762"/>
      <c r="G64" s="762"/>
      <c r="H64" s="761"/>
      <c r="I64" s="761"/>
      <c r="J64" s="761"/>
      <c r="K64" s="763"/>
      <c r="L64" s="764"/>
      <c r="M64" s="761"/>
      <c r="N64" s="761"/>
      <c r="O64" s="1159"/>
      <c r="P64" s="502"/>
      <c r="Q64" s="503"/>
    </row>
    <row r="65" spans="1:17" s="507" customFormat="1" ht="15">
      <c r="A65" s="2709" t="s">
        <v>2784</v>
      </c>
      <c r="B65" s="1358"/>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6"/>
    </row>
    <row r="66" spans="1:17" s="116" customFormat="1" ht="30.75" customHeight="1">
      <c r="A66" s="2714" t="s">
        <v>2804</v>
      </c>
      <c r="B66" s="331" t="str">
        <f>"北京市平均增长率"&amp;TEXT(基准地价修正!P24,"0.00%")</f>
        <v>北京市平均增长率1.42%</v>
      </c>
      <c r="C66" s="602">
        <v>100</v>
      </c>
      <c r="D66" s="594"/>
      <c r="E66" s="594"/>
      <c r="F66" s="594"/>
      <c r="G66" s="594"/>
      <c r="H66" s="594"/>
      <c r="I66" s="594"/>
      <c r="J66" s="594"/>
      <c r="K66" s="594"/>
      <c r="L66" s="594"/>
      <c r="M66" s="1566"/>
      <c r="N66" s="1566"/>
      <c r="O66" s="1568"/>
      <c r="P66" s="503"/>
    </row>
    <row r="67" spans="1:17" s="116" customFormat="1" ht="15.75" thickBot="1">
      <c r="A67" s="514" t="s">
        <v>2587</v>
      </c>
      <c r="B67" s="515"/>
      <c r="C67" s="516"/>
      <c r="D67" s="517"/>
      <c r="E67" s="517"/>
      <c r="F67" s="517"/>
      <c r="G67" s="517"/>
      <c r="H67" s="517"/>
      <c r="I67" s="517"/>
      <c r="J67" s="517"/>
      <c r="K67" s="517"/>
      <c r="L67" s="517"/>
      <c r="M67" s="518"/>
      <c r="N67" s="518"/>
      <c r="O67" s="519"/>
      <c r="P67" s="503"/>
      <c r="Q67" s="503"/>
    </row>
    <row r="68" spans="1:17" s="116" customFormat="1" ht="15">
      <c r="A68" s="520" t="s">
        <v>2552</v>
      </c>
      <c r="B68" s="509"/>
      <c r="C68" s="521" t="s">
        <v>2654</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2590</v>
      </c>
      <c r="B70" s="527" t="s">
        <v>2556</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2559</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2560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2561</v>
      </c>
      <c r="B83" s="527" t="s">
        <v>2707</v>
      </c>
      <c r="C83" s="572" t="s">
        <v>2599</v>
      </c>
      <c r="D83" s="572" t="s">
        <v>2600</v>
      </c>
      <c r="E83" s="572" t="s">
        <v>2601</v>
      </c>
      <c r="F83" s="572" t="s">
        <v>2602</v>
      </c>
      <c r="G83" s="572" t="s">
        <v>2603</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2604</v>
      </c>
      <c r="C85" s="577" t="s">
        <v>2599</v>
      </c>
      <c r="D85" s="577" t="s">
        <v>2600</v>
      </c>
      <c r="E85" s="577" t="s">
        <v>2601</v>
      </c>
      <c r="F85" s="577" t="s">
        <v>2602</v>
      </c>
      <c r="G85" s="577" t="s">
        <v>2603</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2787</v>
      </c>
      <c r="C87" s="572" t="s">
        <v>2599</v>
      </c>
      <c r="D87" s="572" t="s">
        <v>2600</v>
      </c>
      <c r="E87" s="572" t="s">
        <v>2601</v>
      </c>
      <c r="F87" s="572" t="s">
        <v>2602</v>
      </c>
      <c r="G87" s="572" t="s">
        <v>2603</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2788</v>
      </c>
      <c r="C89" s="572" t="s">
        <v>2599</v>
      </c>
      <c r="D89" s="572" t="s">
        <v>2600</v>
      </c>
      <c r="E89" s="572" t="s">
        <v>2601</v>
      </c>
      <c r="F89" s="572" t="s">
        <v>2602</v>
      </c>
      <c r="G89" s="572" t="s">
        <v>2603</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2656</v>
      </c>
      <c r="C91" s="572" t="s">
        <v>2599</v>
      </c>
      <c r="D91" s="572" t="s">
        <v>2600</v>
      </c>
      <c r="E91" s="572" t="s">
        <v>2601</v>
      </c>
      <c r="F91" s="572" t="s">
        <v>2602</v>
      </c>
      <c r="G91" s="572" t="s">
        <v>2603</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2805</v>
      </c>
      <c r="C93" s="659" t="s">
        <v>2677</v>
      </c>
      <c r="D93" s="659" t="s">
        <v>2678</v>
      </c>
      <c r="E93" s="659" t="s">
        <v>2679</v>
      </c>
      <c r="F93" s="659" t="s">
        <v>2680</v>
      </c>
      <c r="G93" s="659" t="s">
        <v>2681</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4"/>
      <c r="O94" s="1154"/>
      <c r="P94" s="557"/>
      <c r="Q94" s="558"/>
    </row>
    <row r="95" spans="1:17" ht="15.75" thickTop="1">
      <c r="A95" s="533"/>
      <c r="B95" s="537" t="str">
        <f>B27</f>
        <v>临街状况</v>
      </c>
      <c r="C95" s="538" t="s">
        <v>2789</v>
      </c>
      <c r="D95" s="538" t="s">
        <v>2790</v>
      </c>
      <c r="E95" s="538" t="s">
        <v>2791</v>
      </c>
      <c r="F95" s="538" t="s">
        <v>2792</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2693</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2752</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2565</v>
      </c>
      <c r="B107" s="527" t="s">
        <v>2793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2794</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2796</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2797</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90" zoomScaleNormal="90" zoomScaleSheetLayoutView="96" workbookViewId="0">
      <selection activeCell="P17" sqref="P17"/>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9" t="s">
        <v>2806</v>
      </c>
      <c r="B1" s="240"/>
      <c r="C1" s="244" t="s">
        <v>2807</v>
      </c>
      <c r="D1" s="387">
        <f>SUM(D29:D30,D33:D39)</f>
        <v>0</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1" t="s">
        <v>2809</v>
      </c>
      <c r="S1" s="1601" t="s">
        <v>2810</v>
      </c>
      <c r="T1" s="1601" t="s">
        <v>2811</v>
      </c>
      <c r="U1" s="1601" t="s">
        <v>2812</v>
      </c>
      <c r="V1" s="1601" t="s">
        <v>2813</v>
      </c>
      <c r="W1" s="1605"/>
      <c r="X1" s="1605"/>
      <c r="Y1" s="1605"/>
      <c r="Z1" s="1605"/>
      <c r="AA1" s="1605"/>
      <c r="AB1" s="1605"/>
      <c r="AC1" s="1606"/>
      <c r="AD1" s="1607"/>
      <c r="AE1" s="1607"/>
      <c r="AF1" s="1607"/>
      <c r="AG1" s="1607"/>
      <c r="AH1" s="1607"/>
      <c r="AI1" s="1607"/>
      <c r="AJ1" s="1608"/>
    </row>
    <row r="2" spans="1:36" ht="15.75">
      <c r="A2" s="244" t="s">
        <v>2814</v>
      </c>
      <c r="B2" s="247" t="e">
        <f ca="1">C26</f>
        <v>#DIV/0!</v>
      </c>
      <c r="C2" s="2719" t="s">
        <v>2815</v>
      </c>
      <c r="D2" s="2720" t="s">
        <v>2816</v>
      </c>
      <c r="E2" s="2721" t="s">
        <v>1373</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Ⅵ-亦1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t="e">
        <f ca="1">ROUND($C$5*$C$18*$C$19*$C$20*S2*$C$24,0)</f>
        <v>#DIV/0!</v>
      </c>
      <c r="U2" s="1602"/>
      <c r="V2" s="1601" t="e">
        <f ca="1">ROUND(T2*U2/10000,0)</f>
        <v>#DIV/0!</v>
      </c>
      <c r="W2" s="1605"/>
      <c r="X2" s="1605"/>
      <c r="Y2" s="1605"/>
      <c r="Z2" s="1605"/>
      <c r="AA2" s="1605"/>
      <c r="AB2" s="1605"/>
      <c r="AC2" s="1606"/>
      <c r="AD2" s="1607"/>
      <c r="AE2" s="1607"/>
      <c r="AF2" s="1607"/>
      <c r="AG2" s="1607"/>
      <c r="AH2" s="1607"/>
      <c r="AI2" s="1607"/>
      <c r="AJ2" s="1608"/>
    </row>
    <row r="3" spans="1:36" ht="25.5">
      <c r="A3" s="246" t="s">
        <v>2820</v>
      </c>
      <c r="B3" s="247" t="e">
        <f ca="1">ROUND(B2*10000/D1,0)</f>
        <v>#DIV/0!</v>
      </c>
      <c r="C3" s="2719" t="s">
        <v>2821</v>
      </c>
      <c r="D3" s="2720" t="s">
        <v>2822</v>
      </c>
      <c r="E3" s="2725" t="s">
        <v>3195</v>
      </c>
      <c r="F3" s="2726" t="s">
        <v>3196</v>
      </c>
      <c r="G3" s="913">
        <f>IF(F3="宗地容积率",'数据-汇总表'!I4,IF(F3="估价对象容积率",'数据-汇总表'!I6,'数据-汇总表'!I7))</f>
        <v>5</v>
      </c>
      <c r="H3" s="197" t="s">
        <v>2823</v>
      </c>
      <c r="I3" s="944">
        <v>36</v>
      </c>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t="e">
        <f t="shared" ref="T3:T16" ca="1" si="0">ROUND($C$5*$C$18*$C$19*$C$20*S3*$C$24,0)</f>
        <v>#DIV/0!</v>
      </c>
      <c r="U3" s="1602"/>
      <c r="V3" s="1601" t="e">
        <f t="shared" ref="V3:V16" ca="1" si="1">ROUND(T3*U3/10000,0)</f>
        <v>#DIV/0!</v>
      </c>
      <c r="W3" s="1605"/>
      <c r="X3" s="1605"/>
      <c r="Y3" s="1605"/>
      <c r="Z3" s="1605"/>
      <c r="AA3" s="1605"/>
      <c r="AB3" s="1605"/>
      <c r="AC3" s="1606"/>
      <c r="AD3" s="1607"/>
      <c r="AE3" s="1607"/>
      <c r="AF3" s="1607"/>
      <c r="AG3" s="1607"/>
      <c r="AH3" s="1607"/>
      <c r="AI3" s="1607"/>
      <c r="AJ3" s="1608"/>
    </row>
    <row r="4" spans="1:36" ht="15.75">
      <c r="A4" s="3541"/>
      <c r="B4" s="3542"/>
      <c r="C4" s="3542"/>
      <c r="D4" s="3543"/>
      <c r="E4" s="3543"/>
      <c r="F4" s="3543"/>
      <c r="G4" s="3543"/>
      <c r="H4" s="3543"/>
      <c r="I4" s="3543"/>
      <c r="J4" s="3544"/>
      <c r="K4" s="1369"/>
      <c r="L4" s="2724"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t="e">
        <f t="shared" ca="1" si="0"/>
        <v>#DIV/0!</v>
      </c>
      <c r="U4" s="1602"/>
      <c r="V4" s="1601" t="e">
        <f t="shared" ca="1" si="1"/>
        <v>#DIV/0!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4">
        <f>ROUND(IF(E2="商业",IF(F16="增加",C6*C7+C16,C6*C7-C16),IF(E2="住宅",IF(F16="增加",C6*C12+C16,C6*C12-C16),IF(F16="增加",C6+C16,C6-C16))),0)</f>
        <v>9820</v>
      </c>
      <c r="D5" s="1786">
        <f>ROUND(IF(F16="增加",C6+C16,C6-C16),0)</f>
        <v>9820</v>
      </c>
      <c r="E5" s="1786"/>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t="e">
        <f t="shared" ca="1" si="0"/>
        <v>#DIV/0!</v>
      </c>
      <c r="U5" s="1602"/>
      <c r="V5" s="1601" t="e">
        <f t="shared" ca="1" si="1"/>
        <v>#DIV/0!</v>
      </c>
      <c r="W5" s="1605"/>
      <c r="X5" s="1605"/>
      <c r="Y5" s="1605"/>
      <c r="Z5" s="1605"/>
      <c r="AA5" s="1605"/>
      <c r="AB5" s="1605"/>
      <c r="AC5" s="2733"/>
      <c r="AD5" s="2734"/>
      <c r="AE5" s="2734"/>
      <c r="AF5" s="2734"/>
      <c r="AG5" s="2734"/>
      <c r="AH5" s="2734"/>
      <c r="AI5" s="2734"/>
      <c r="AJ5" s="2735"/>
    </row>
    <row r="6" spans="1:36" ht="15.75" thickBot="1">
      <c r="A6" s="2737" t="s">
        <v>2829</v>
      </c>
      <c r="B6" s="2738" t="s">
        <v>2830</v>
      </c>
      <c r="C6" s="915">
        <f>SUMIF(L1:L12,G2,M1:M12)</f>
        <v>9820</v>
      </c>
      <c r="D6" s="2739" t="s">
        <v>2831</v>
      </c>
      <c r="E6" s="2740"/>
      <c r="F6" s="2740"/>
      <c r="G6" s="2741"/>
      <c r="H6" s="2741"/>
      <c r="I6" s="2741"/>
      <c r="J6" s="2742"/>
      <c r="K6" s="1841"/>
      <c r="L6" s="2724" t="s">
        <v>2832</v>
      </c>
      <c r="M6" s="1081">
        <f>SUMPRODUCT((区片价!B110:B157=I2)*(区片价!C3:F3=E2)*(区片价!C110:F157))</f>
        <v>9820</v>
      </c>
      <c r="N6" s="1083">
        <f>SUMPRODUCT((因素修正幅度!B110:B157=I2)*(因素修正幅度!C3:F3=E2)*(因素修正幅度!C110:F157))</f>
        <v>0.126</v>
      </c>
      <c r="O6" s="1369"/>
      <c r="P6" s="1369"/>
      <c r="Q6" s="1369"/>
      <c r="R6" s="1601">
        <v>5</v>
      </c>
      <c r="S6" s="1601">
        <f>ROUND(IF(G3&gt;1,IF(R6&lt;7,SUMPRODUCT((B93:B98=R6)*(C92:N92=G2)*(C93:N98)),SUMIF(C92:N92,G2,C100:N100)),IF(R6&lt;7,SUMPRODUCT((B102:B107=R6)*(C92:N92=G2)*(C102:N107)),SUMIF(C92:N92,G2,C109:N109))),4)</f>
        <v>0.73709999999999998</v>
      </c>
      <c r="T6" s="1601" t="e">
        <f t="shared" ca="1" si="0"/>
        <v>#DIV/0!</v>
      </c>
      <c r="U6" s="1602"/>
      <c r="V6" s="1601" t="e">
        <f t="shared" ca="1" si="1"/>
        <v>#DIV/0!</v>
      </c>
      <c r="W6" s="1605"/>
      <c r="X6" s="1605"/>
      <c r="Y6" s="1605"/>
      <c r="Z6" s="1605"/>
      <c r="AA6" s="1605"/>
      <c r="AB6" s="1605"/>
      <c r="AC6" s="2733"/>
      <c r="AD6" s="2734"/>
      <c r="AE6" s="2734"/>
      <c r="AF6" s="2734"/>
      <c r="AG6" s="2734"/>
      <c r="AH6" s="2734"/>
      <c r="AI6" s="2734"/>
      <c r="AJ6" s="2735"/>
    </row>
    <row r="7" spans="1:36" ht="24">
      <c r="A7" s="3545" t="str">
        <f>IF(E2="商业",IF(C8="不临58条商业街","",2),"")</f>
        <v/>
      </c>
      <c r="B7" s="2743" t="s">
        <v>2833</v>
      </c>
      <c r="C7" s="916">
        <f>IF(C8="不临58条商业街",1,ROUND(1+(1.6*E8+1.2*E9+0.8*E10+0.4*E11)*C9,4))</f>
        <v>1</v>
      </c>
      <c r="D7" s="2744" t="s">
        <v>2834</v>
      </c>
      <c r="E7" s="945"/>
      <c r="F7" s="2745"/>
      <c r="G7" s="2746"/>
      <c r="H7" s="2746"/>
      <c r="I7" s="2746"/>
      <c r="J7" s="2747"/>
      <c r="K7" s="1841"/>
      <c r="L7" s="2724"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t="e">
        <f t="shared" ca="1" si="0"/>
        <v>#DIV/0!</v>
      </c>
      <c r="U7" s="1602"/>
      <c r="V7" s="1601" t="e">
        <f t="shared" ca="1" si="1"/>
        <v>#DIV/0!</v>
      </c>
      <c r="W7" s="1815" t="s">
        <v>2836</v>
      </c>
      <c r="X7" s="1603" t="str">
        <f>G2</f>
        <v>六级</v>
      </c>
      <c r="Y7" s="1603" t="s">
        <v>2837</v>
      </c>
      <c r="Z7" s="1604">
        <f>G3</f>
        <v>5</v>
      </c>
      <c r="AA7" s="1605"/>
      <c r="AB7" s="1605"/>
      <c r="AC7" s="1606"/>
      <c r="AD7" s="1607"/>
      <c r="AE7" s="1607"/>
      <c r="AF7" s="1607"/>
      <c r="AG7" s="1607"/>
      <c r="AH7" s="1607"/>
      <c r="AI7" s="1607"/>
      <c r="AJ7" s="1608"/>
    </row>
    <row r="8" spans="1:36" ht="25.5">
      <c r="A8" s="3546"/>
      <c r="B8" s="197" t="s">
        <v>2838</v>
      </c>
      <c r="C8" s="2748" t="s">
        <v>3190</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ca="1" si="0"/>
        <v>#DIV/0!</v>
      </c>
      <c r="U8" s="1602"/>
      <c r="V8" s="1601" t="e">
        <f t="shared" ca="1" si="1"/>
        <v>#DIV/0!</v>
      </c>
      <c r="W8" s="3538" t="s">
        <v>2841</v>
      </c>
      <c r="X8" s="3539"/>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546"/>
      <c r="B9" s="197" t="s">
        <v>2854</v>
      </c>
      <c r="C9" s="919">
        <f>SUMIF(修正!C59:C119,C8,修正!E59:E119)</f>
        <v>0</v>
      </c>
      <c r="D9" s="199" t="s">
        <v>140</v>
      </c>
      <c r="E9" s="199"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ca="1" si="0"/>
        <v>#DIV/0!</v>
      </c>
      <c r="U9" s="1602"/>
      <c r="V9" s="1601" t="e">
        <f t="shared" ca="1" si="1"/>
        <v>#DIV/0!</v>
      </c>
      <c r="W9" s="3540"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546"/>
      <c r="B10" s="197" t="s">
        <v>2859</v>
      </c>
      <c r="C10" s="199">
        <f>SUMIF(修正!C59:C119,C8,修正!F59:F119)</f>
        <v>0</v>
      </c>
      <c r="D10" s="199" t="s">
        <v>141</v>
      </c>
      <c r="E10" s="199"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ca="1" si="0"/>
        <v>#DIV/0!</v>
      </c>
      <c r="U10" s="1602"/>
      <c r="V10" s="1601" t="e">
        <f t="shared" ca="1" si="1"/>
        <v>#DIV/0!</v>
      </c>
      <c r="W10" s="354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546"/>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ca="1" si="0"/>
        <v>#DIV/0!</v>
      </c>
      <c r="U11" s="1602"/>
      <c r="V11" s="1601" t="e">
        <f t="shared" ca="1" si="1"/>
        <v>#DIV/0!</v>
      </c>
      <c r="W11" s="3540" t="s">
        <v>2865</v>
      </c>
      <c r="X11" s="1613" t="s">
        <v>2866</v>
      </c>
      <c r="Y11" s="1614">
        <f>$G$3</f>
        <v>5</v>
      </c>
      <c r="Z11" s="1614">
        <f t="shared" ref="Z11:AJ11" si="3">$G$3</f>
        <v>5</v>
      </c>
      <c r="AA11" s="1614">
        <f t="shared" si="3"/>
        <v>5</v>
      </c>
      <c r="AB11" s="1614">
        <f t="shared" si="3"/>
        <v>5</v>
      </c>
      <c r="AC11" s="1614">
        <f t="shared" si="3"/>
        <v>5</v>
      </c>
      <c r="AD11" s="1614">
        <f t="shared" si="3"/>
        <v>5</v>
      </c>
      <c r="AE11" s="1614">
        <f t="shared" si="3"/>
        <v>5</v>
      </c>
      <c r="AF11" s="1614">
        <f t="shared" si="3"/>
        <v>5</v>
      </c>
      <c r="AG11" s="1614">
        <f t="shared" si="3"/>
        <v>5</v>
      </c>
      <c r="AH11" s="1614">
        <f t="shared" si="3"/>
        <v>5</v>
      </c>
      <c r="AI11" s="1614">
        <f t="shared" si="3"/>
        <v>5</v>
      </c>
      <c r="AJ11" s="1614">
        <f t="shared" si="3"/>
        <v>5</v>
      </c>
    </row>
    <row r="12" spans="1:36" ht="25.5" thickBot="1">
      <c r="A12" s="3545"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ca="1" si="0"/>
        <v>#DIV/0!</v>
      </c>
      <c r="U12" s="1602"/>
      <c r="V12" s="1601" t="e">
        <f t="shared" ca="1" si="1"/>
        <v>#DIV/0!</v>
      </c>
      <c r="W12" s="3540"/>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547"/>
      <c r="B13" s="2762" t="s">
        <v>2872</v>
      </c>
      <c r="C13" s="2763" t="s">
        <v>2873</v>
      </c>
      <c r="D13" s="1807" t="s">
        <v>2874</v>
      </c>
      <c r="E13" s="1807" t="s">
        <v>2875</v>
      </c>
      <c r="F13" s="29" t="s">
        <v>2876</v>
      </c>
      <c r="G13" s="2764" t="s">
        <v>2877</v>
      </c>
      <c r="H13" s="2764" t="s">
        <v>2877</v>
      </c>
      <c r="I13" s="2764" t="s">
        <v>2877</v>
      </c>
      <c r="J13" s="2765" t="s">
        <v>2877</v>
      </c>
      <c r="K13" s="1369"/>
      <c r="L13" s="1369"/>
      <c r="M13" s="1369"/>
      <c r="N13" s="1369"/>
      <c r="O13" s="1369"/>
      <c r="P13" s="1369"/>
      <c r="Q13" s="1369"/>
      <c r="R13" s="1601">
        <v>12</v>
      </c>
      <c r="S13" s="1602"/>
      <c r="T13" s="1601" t="e">
        <f t="shared" ca="1" si="0"/>
        <v>#DIV/0!</v>
      </c>
      <c r="U13" s="1602"/>
      <c r="V13" s="1601" t="e">
        <f t="shared" ca="1" si="1"/>
        <v>#DIV/0!</v>
      </c>
      <c r="W13" s="3540"/>
      <c r="X13" s="1615"/>
      <c r="Y13" s="1612">
        <f>(-0.163*(Y12^2)-0.59*Y12+7617)*(10^(-4))/Y11</f>
        <v>0.15234</v>
      </c>
      <c r="Z13" s="1612">
        <f t="shared" ref="Z13:AJ13" si="5">(-0.163*(Z12^2)-0.59*Z12+7617)*(10^(-4))/Z11</f>
        <v>0.15234</v>
      </c>
      <c r="AA13" s="1612">
        <f t="shared" si="5"/>
        <v>0.15234</v>
      </c>
      <c r="AB13" s="1612">
        <f t="shared" si="5"/>
        <v>0.15234</v>
      </c>
      <c r="AC13" s="1612">
        <f t="shared" si="5"/>
        <v>0.15234</v>
      </c>
      <c r="AD13" s="1612">
        <f t="shared" si="5"/>
        <v>0.15234</v>
      </c>
      <c r="AE13" s="1612">
        <f t="shared" si="5"/>
        <v>0.15234</v>
      </c>
      <c r="AF13" s="1612">
        <f t="shared" si="5"/>
        <v>0.15234</v>
      </c>
      <c r="AG13" s="1612">
        <f t="shared" si="5"/>
        <v>0.15234</v>
      </c>
      <c r="AH13" s="1612">
        <f t="shared" si="5"/>
        <v>0.15234</v>
      </c>
      <c r="AI13" s="1612">
        <f t="shared" si="5"/>
        <v>0.15234</v>
      </c>
      <c r="AJ13" s="1612">
        <f t="shared" si="5"/>
        <v>0.15234</v>
      </c>
    </row>
    <row r="14" spans="1:36" ht="15">
      <c r="A14" s="3547"/>
      <c r="B14" s="2766"/>
      <c r="C14" s="2767"/>
      <c r="D14" s="2768"/>
      <c r="E14" s="2768"/>
      <c r="F14" s="2769"/>
      <c r="G14" s="2770" t="s">
        <v>2878</v>
      </c>
      <c r="H14" s="2771"/>
      <c r="I14" s="2772"/>
      <c r="J14" s="2773"/>
      <c r="K14" s="1369"/>
      <c r="L14" s="1369"/>
      <c r="M14" s="1369"/>
      <c r="N14" s="1369"/>
      <c r="O14" s="1369"/>
      <c r="P14" s="1369"/>
      <c r="Q14" s="1369"/>
      <c r="R14" s="1601">
        <v>13</v>
      </c>
      <c r="S14" s="1602"/>
      <c r="T14" s="1601" t="e">
        <f t="shared" ca="1" si="0"/>
        <v>#DIV/0!</v>
      </c>
      <c r="U14" s="1602"/>
      <c r="V14" s="1601" t="e">
        <f t="shared" ca="1" si="1"/>
        <v>#DIV/0!</v>
      </c>
      <c r="W14" s="1605"/>
      <c r="X14" s="1605"/>
      <c r="Y14" s="1605"/>
      <c r="Z14" s="1605"/>
      <c r="AA14" s="1605"/>
      <c r="AB14" s="1605"/>
      <c r="AC14" s="1606"/>
      <c r="AD14" s="1607"/>
      <c r="AE14" s="1607"/>
      <c r="AF14" s="1607"/>
      <c r="AG14" s="1607"/>
      <c r="AH14" s="1607"/>
      <c r="AI14" s="1607"/>
      <c r="AJ14" s="1608"/>
    </row>
    <row r="15" spans="1:36" ht="15.75" thickBot="1">
      <c r="A15" s="3548"/>
      <c r="B15" s="2774" t="s">
        <v>2879</v>
      </c>
      <c r="C15" s="228">
        <f>IF(C14="有",1.1,1)</f>
        <v>1</v>
      </c>
      <c r="D15" s="228">
        <f>IF(D14="有",1.1,1)</f>
        <v>1</v>
      </c>
      <c r="E15" s="228">
        <f>IF(E14="有",1.1,1)</f>
        <v>1</v>
      </c>
      <c r="F15" s="228">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1">
        <v>14</v>
      </c>
      <c r="S15" s="1602"/>
      <c r="T15" s="1601" t="e">
        <f t="shared" ca="1" si="0"/>
        <v>#DIV/0!</v>
      </c>
      <c r="U15" s="1602"/>
      <c r="V15" s="1601" t="e">
        <f t="shared" ca="1" si="1"/>
        <v>#DIV/0!</v>
      </c>
      <c r="W15" s="1605"/>
      <c r="X15" s="1605"/>
      <c r="Y15" s="1605"/>
      <c r="Z15" s="1605"/>
      <c r="AA15" s="1605"/>
      <c r="AB15" s="1605"/>
      <c r="AC15" s="1606"/>
      <c r="AD15" s="1607"/>
      <c r="AE15" s="1607"/>
      <c r="AF15" s="1607"/>
      <c r="AG15" s="1607"/>
      <c r="AH15" s="1607"/>
      <c r="AI15" s="1607"/>
      <c r="AJ15" s="1608"/>
    </row>
    <row r="16" spans="1:36" ht="24">
      <c r="A16" s="3545" t="s">
        <v>2884</v>
      </c>
      <c r="B16" s="2743" t="s">
        <v>2885</v>
      </c>
      <c r="C16" s="1800">
        <f>ROUND(SUM(G17:J17)/C17,0)</f>
        <v>0</v>
      </c>
      <c r="D16" s="2777" t="s">
        <v>2886</v>
      </c>
      <c r="E16" s="2778" t="s">
        <v>3191</v>
      </c>
      <c r="F16" s="2779" t="s">
        <v>3192</v>
      </c>
      <c r="G16" s="2780"/>
      <c r="H16" s="2780"/>
      <c r="I16" s="2780"/>
      <c r="J16" s="2781"/>
      <c r="K16" s="1369"/>
      <c r="L16" s="2782" t="s">
        <v>2887</v>
      </c>
      <c r="M16" s="919">
        <v>0.25</v>
      </c>
      <c r="N16" s="919">
        <v>0.2</v>
      </c>
      <c r="O16" s="919">
        <v>0.15</v>
      </c>
      <c r="P16" s="1368">
        <v>0.1</v>
      </c>
      <c r="Q16" s="1369"/>
      <c r="R16" s="1601">
        <v>15</v>
      </c>
      <c r="S16" s="1602"/>
      <c r="T16" s="1601" t="e">
        <f t="shared" ca="1" si="0"/>
        <v>#DIV/0!</v>
      </c>
      <c r="U16" s="1602"/>
      <c r="V16" s="1601" t="e">
        <f t="shared" ca="1" si="1"/>
        <v>#DIV/0!</v>
      </c>
      <c r="W16" s="1605"/>
      <c r="X16" s="1605"/>
      <c r="Y16" s="1605"/>
      <c r="Z16" s="1605"/>
      <c r="AA16" s="1605"/>
      <c r="AB16" s="1605"/>
      <c r="AC16" s="1606"/>
      <c r="AD16" s="1607"/>
      <c r="AE16" s="1607"/>
      <c r="AF16" s="1607"/>
      <c r="AG16" s="1607"/>
      <c r="AH16" s="1607"/>
      <c r="AI16" s="1607"/>
      <c r="AJ16" s="1608"/>
    </row>
    <row r="17" spans="1:37" ht="13.5" thickBot="1">
      <c r="A17" s="3546"/>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69"/>
      <c r="L17" s="2785" t="s">
        <v>2891</v>
      </c>
      <c r="M17" s="210">
        <f ca="1">ROUND($E$20*(1+M16),3)</f>
        <v>5.3999999999999999E-2</v>
      </c>
      <c r="N17" s="210">
        <f ca="1">ROUND($E$20*(1+N16),3)</f>
        <v>5.1999999999999998E-2</v>
      </c>
      <c r="O17" s="210">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ROUND(IF(H19="按公示增长率计算",SUMPRODUCT((地价!A3:A25=YEAR(G19)&amp;"-"&amp;ROUNDUP(MONTH(G19)/3,0))*(地价!X2:AB2=E2)*(地价!X3:AB25)),IF(H19="地价指数",M20/M19,(1+I19)^O19)),4)</f>
        <v>1.3372999999999999</v>
      </c>
      <c r="D19" s="2795" t="s">
        <v>2894</v>
      </c>
      <c r="E19" s="925">
        <v>41640</v>
      </c>
      <c r="F19" s="2795" t="s">
        <v>2895</v>
      </c>
      <c r="G19" s="926">
        <f>'数据-取费表'!B2</f>
        <v>43553</v>
      </c>
      <c r="H19" s="2796" t="s">
        <v>3193</v>
      </c>
      <c r="I19" s="927" t="str">
        <f>IF(H19="季度增幅（自定义）",SUMIF(N21:N24,E2,O21:O24),"")</f>
        <v/>
      </c>
      <c r="J19" s="2793"/>
      <c r="K19" s="1376"/>
      <c r="L19" s="2797" t="s">
        <v>2896</v>
      </c>
      <c r="M19" s="1733">
        <f>ROUND(SUMIF(地价!B2:F2,E2,地价!B25:F25),0)</f>
        <v>258</v>
      </c>
      <c r="N19" s="2798" t="s">
        <v>2897</v>
      </c>
      <c r="O19" s="928">
        <f>ROUNDDOWN(DATEDIF(E19,G19,"M")/3,0)</f>
        <v>20</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t="e">
        <f ca="1">ROUND(POWER(1+G20,J20-I20)*(POWER(1+G20,I20)-1)/(POWER(1+G20,J20)-1),4)</f>
        <v>#DIV/0!</v>
      </c>
      <c r="D20" s="2804" t="s">
        <v>2899</v>
      </c>
      <c r="E20" s="1767">
        <f ca="1">存贷款利率!D4/100</f>
        <v>4.3499999999999997E-2</v>
      </c>
      <c r="F20" s="2804" t="s">
        <v>2891</v>
      </c>
      <c r="G20" s="934">
        <f ca="1">SUMIF(M15:P15,E2,M17:P17)</f>
        <v>5.3999999999999999E-2</v>
      </c>
      <c r="H20" s="2804" t="s">
        <v>2900</v>
      </c>
      <c r="I20" s="935" t="e">
        <f>SUMIF('数据-取费表'!C6:C15,E2,'数据-取费表'!F6:F15)/COUNTIF('数据-取费表'!C6:C15,E2)</f>
        <v>#DIV/0!</v>
      </c>
      <c r="J20" s="936">
        <f>IF(E2="住宅",70,IF(E2="商业",40,50))</f>
        <v>40</v>
      </c>
      <c r="K20" s="1376"/>
      <c r="L20" s="2805" t="s">
        <v>2901</v>
      </c>
      <c r="M20" s="1734">
        <f>ROUND(SUMPRODUCT((地价!A4:A25=YEAR(G19)&amp;"-"&amp;ROUNDUP(MONTH(G19)/3,0))*(地价!B2:F2=E2)*(地价!B4:F25)),0)</f>
        <v>345</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3194</v>
      </c>
      <c r="C21" s="937">
        <f>IF(B21="容积率修正",IF(G3&lt;=10,D22,J22),C23)</f>
        <v>0.60540000000000005</v>
      </c>
      <c r="D21" s="2811"/>
      <c r="E21" s="2811"/>
      <c r="F21" s="2811"/>
      <c r="G21" s="2811"/>
      <c r="H21" s="2811"/>
      <c r="I21" s="2811"/>
      <c r="J21" s="2812"/>
      <c r="K21" s="1376"/>
      <c r="N21" s="2813" t="s">
        <v>2905</v>
      </c>
      <c r="O21" s="1560"/>
      <c r="P21" s="1561">
        <f>SUMPRODUCT((地价!A3:A25=YEAR(G19)&amp;"-"&amp;ROUNDUP(MONTH(G19)/3,0))*(地价!AD2:AH2=N21)*(地价!AD3:AH25))</f>
        <v>1.5100000000000001E-2</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9" t="s">
        <v>2908</v>
      </c>
      <c r="D22" s="1809">
        <f>IF(E22=G22,F22,IF(G3&lt;=10,ROUND(F22+(H22-F22)*(G3-E22)/(G22-E22),4),"——"))</f>
        <v>0.82110000000000005</v>
      </c>
      <c r="E22" s="913">
        <f>ROUNDDOWN(G3,1)</f>
        <v>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913">
        <f>ROUNDUP(G3,1)</f>
        <v>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0.82110000000000005</v>
      </c>
      <c r="I22" s="1809" t="s">
        <v>155</v>
      </c>
      <c r="J22" s="938" t="str">
        <f>IF(G3&gt;10,D113,"——")</f>
        <v>——</v>
      </c>
      <c r="K22" s="1376"/>
      <c r="N22" s="2813" t="s">
        <v>2909</v>
      </c>
      <c r="O22" s="1560"/>
      <c r="P22" s="1561">
        <f>SUMPRODUCT((地价!A3:A25=YEAR(G19)&amp;"-"&amp;ROUNDUP(MONTH(G19)/3,0))*(地价!AD2:AH2=N22)*(地价!AD3:AH25))</f>
        <v>1.5100000000000001E-2</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0.60540000000000005</v>
      </c>
      <c r="D23" s="2771"/>
      <c r="E23" s="2771"/>
      <c r="F23" s="2816"/>
      <c r="G23" s="2817"/>
      <c r="H23" s="2818"/>
      <c r="I23" s="2819"/>
      <c r="J23" s="2820"/>
      <c r="K23" s="1369"/>
      <c r="N23" s="2813" t="s">
        <v>2912</v>
      </c>
      <c r="O23" s="1560"/>
      <c r="P23" s="1561">
        <f>SUMPRODUCT((地价!A3:A25=YEAR(G19)&amp;"-"&amp;ROUNDUP(MONTH(G19)/3,0))*(地价!AD2:AH2=N23)*(地价!AD3:AH25))</f>
        <v>2.3400000000000001E-2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1.0875999999999999</v>
      </c>
      <c r="D24" s="2791"/>
      <c r="E24" s="2821"/>
      <c r="F24" s="2821"/>
      <c r="G24" s="2821"/>
      <c r="H24" s="2821"/>
      <c r="I24" s="2821"/>
      <c r="J24" s="2822"/>
      <c r="K24" s="1376"/>
      <c r="N24" s="2823" t="s">
        <v>2914</v>
      </c>
      <c r="O24" s="1562"/>
      <c r="P24" s="1563">
        <f>SUMPRODUCT((地价!A3:A25=YEAR(G19)&amp;"-"&amp;ROUNDUP(MONTH(G19)/3,0))*(地价!AD2:AH2=N24)*(地价!AD3:AH25))</f>
        <v>1.4200000000000001E-2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SUMPRODUCT((地价!A3:A25=YEAR(G19)&amp;"-"&amp;ROUNDUP(MONTH(G19)/3,0))*(地价!AD2:AH2=N25)*(地价!AD3:AH25))</f>
        <v>2.1299999999999999E-2</v>
      </c>
      <c r="R25" s="1375"/>
      <c r="S25" s="1375"/>
      <c r="T25" s="1370"/>
      <c r="U25" s="1370"/>
      <c r="V25" s="1370"/>
      <c r="W25" s="1369"/>
      <c r="X25" s="1369"/>
      <c r="Y25" s="1369"/>
      <c r="Z25" s="1376"/>
      <c r="AA25" s="1377"/>
      <c r="AB25" s="1377"/>
      <c r="AC25" s="1377"/>
      <c r="AD25" s="1377"/>
    </row>
    <row r="26" spans="1:37" ht="15">
      <c r="A26" s="2827"/>
      <c r="B26" s="2814" t="s">
        <v>2917</v>
      </c>
      <c r="C26" s="205" t="e">
        <f ca="1">E29+SUM(E33:E39)</f>
        <v>#DIV/0!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5" t="e">
        <f ca="1">ROUND(C5*C18*C19*C20*C21*C24,0)</f>
        <v>#DIV/0!</v>
      </c>
      <c r="D29" s="2843"/>
      <c r="E29" s="942" t="e">
        <f ca="1">ROUND(C29*D29/10000,0)</f>
        <v>#DIV/0!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8" t="e">
        <f ca="1">ROUND(IF(E2="工业",C29*M39,C29*M38),0)</f>
        <v>#DIV/0!</v>
      </c>
      <c r="D30" s="2849"/>
      <c r="E30" s="942" t="e">
        <f ca="1">ROUND(C30*D30/10000,0)</f>
        <v>#DIV/0!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0" t="s">
        <v>2920</v>
      </c>
      <c r="D32" s="497" t="s">
        <v>2921</v>
      </c>
      <c r="E32" s="497" t="s">
        <v>2922</v>
      </c>
      <c r="F32" s="387" t="s">
        <v>2930</v>
      </c>
      <c r="G32" s="2858" t="s">
        <v>2920</v>
      </c>
      <c r="H32" s="2858" t="s">
        <v>2921</v>
      </c>
      <c r="I32" s="2858" t="s">
        <v>2922</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555" t="s">
        <v>2931</v>
      </c>
      <c r="B33" s="2859" t="s">
        <v>2932</v>
      </c>
      <c r="C33" s="205" t="e">
        <f ca="1">ROUND(D5*C19*C20*C24*F33,0)</f>
        <v>#DIV/0!</v>
      </c>
      <c r="D33" s="2843"/>
      <c r="E33" s="199" t="e">
        <f ca="1">ROUND(C33*D33/10000,0)</f>
        <v>#DIV/0!</v>
      </c>
      <c r="F33" s="199">
        <f>SUMIF(修正!A45:A56,G2,修正!B45:B56)</f>
        <v>0.7</v>
      </c>
      <c r="G33" s="199" t="e">
        <f t="shared" ref="G33" ca="1" si="6">ROUND(IF(E2="工业",C33*$M$39,C33*$M$38),0)</f>
        <v>#DIV/0!</v>
      </c>
      <c r="H33" s="199">
        <f>D33</f>
        <v>0</v>
      </c>
      <c r="I33" s="199" t="e">
        <f ca="1">ROUND(G33*H33/10000,0)</f>
        <v>#DIV/0!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556"/>
      <c r="B34" s="2763" t="s">
        <v>2933</v>
      </c>
      <c r="C34" s="205" t="e">
        <f ca="1">ROUND(D5*C19*C20*C24*F34,0)</f>
        <v>#DIV/0!</v>
      </c>
      <c r="D34" s="2843"/>
      <c r="E34" s="199" t="e">
        <f t="shared" ref="E34:E39" ca="1" si="7">ROUND(C34*D34/10000,0)</f>
        <v>#DIV/0!</v>
      </c>
      <c r="F34" s="199">
        <f>SUMIF(修正!A45:A56,G2,修正!C45:C56)</f>
        <v>0.4</v>
      </c>
      <c r="G34" s="199" t="e">
        <f ca="1">ROUND(IF(E2="工业",C34*$M$39,C34*$M$38),0)</f>
        <v>#DIV/0!</v>
      </c>
      <c r="H34" s="199">
        <f t="shared" ref="H34:H39" si="8">D34</f>
        <v>0</v>
      </c>
      <c r="I34" s="199" t="e">
        <f t="shared" ref="I34:I39" ca="1" si="9">ROUND(G34*H34/10000,0)</f>
        <v>#DIV/0!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556"/>
      <c r="B35" s="2763" t="s">
        <v>2934</v>
      </c>
      <c r="C35" s="205" t="e">
        <f ca="1">ROUND(D5*C19*C20*C24*F35,0)</f>
        <v>#DIV/0!</v>
      </c>
      <c r="D35" s="2843"/>
      <c r="E35" s="199" t="e">
        <f t="shared" ca="1" si="7"/>
        <v>#DIV/0!</v>
      </c>
      <c r="F35" s="199">
        <f>SUMIF(修正!A45:A56,G2,修正!D45:D56)</f>
        <v>0.28000000000000003</v>
      </c>
      <c r="G35" s="199" t="e">
        <f ca="1">ROUND(IF(E2="工业",C35*$M$39,C35*$M$38),0)</f>
        <v>#DIV/0!</v>
      </c>
      <c r="H35" s="199">
        <f t="shared" si="8"/>
        <v>0</v>
      </c>
      <c r="I35" s="199" t="e">
        <f t="shared" ca="1" si="9"/>
        <v>#DIV/0!</v>
      </c>
      <c r="J35" s="2860"/>
      <c r="K35" s="1369"/>
      <c r="L35" s="1369"/>
      <c r="M35" s="1369"/>
      <c r="N35" s="1369"/>
      <c r="O35" s="1369"/>
      <c r="P35" s="1369"/>
      <c r="Q35" s="1369"/>
      <c r="R35" s="1369"/>
      <c r="S35" s="1369"/>
      <c r="T35" s="1369"/>
      <c r="U35" s="1369"/>
      <c r="V35" s="1369"/>
      <c r="W35" s="1369"/>
      <c r="X35" s="1369"/>
      <c r="Y35" s="1369"/>
      <c r="Z35" s="1370"/>
    </row>
    <row r="36" spans="1:37" ht="13.5" thickBot="1">
      <c r="A36" s="3557"/>
      <c r="B36" s="2763" t="s">
        <v>2935</v>
      </c>
      <c r="C36" s="205" t="e">
        <f ca="1">ROUND(D5*C19*C20*C24*F36,0)</f>
        <v>#DIV/0!</v>
      </c>
      <c r="D36" s="2843"/>
      <c r="E36" s="199" t="e">
        <f t="shared" ca="1" si="7"/>
        <v>#DIV/0!</v>
      </c>
      <c r="F36" s="199">
        <f>SUMIF(修正!A45:A56,G2,修正!E45:E56)</f>
        <v>0.25</v>
      </c>
      <c r="G36" s="199" t="e">
        <f ca="1">ROUND(IF(E2="工业",C36*$M$39,C36*$M$38),0)</f>
        <v>#DIV/0!</v>
      </c>
      <c r="H36" s="199">
        <f t="shared" si="8"/>
        <v>0</v>
      </c>
      <c r="I36" s="199" t="e">
        <f t="shared" ca="1" si="9"/>
        <v>#DIV/0!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9" t="e">
        <f ca="1">ROUND(D5*C19*C20*C24*F37,0)</f>
        <v>#DIV/0!</v>
      </c>
      <c r="D37" s="2843"/>
      <c r="E37" s="199" t="e">
        <f t="shared" ca="1" si="7"/>
        <v>#DIV/0!</v>
      </c>
      <c r="F37" s="205">
        <f>SUMIF(修正!A45:A56,G2,修正!F45:F56)</f>
        <v>0.25</v>
      </c>
      <c r="G37" s="199" t="e">
        <f ca="1">ROUND(IF(E2="工业",C37*$M$39,C37*$M$38),0)</f>
        <v>#DIV/0!</v>
      </c>
      <c r="H37" s="199">
        <f t="shared" si="8"/>
        <v>0</v>
      </c>
      <c r="I37" s="199" t="e">
        <f t="shared" ca="1" si="9"/>
        <v>#DIV/0!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9">
        <f ca="1">ROUND(D5*C19*C41*C24*F38,0)</f>
        <v>0</v>
      </c>
      <c r="D38" s="2843">
        <f>'数据-汇总表'!G22</f>
        <v>0</v>
      </c>
      <c r="E38" s="199">
        <f t="shared" ca="1" si="7"/>
        <v>0</v>
      </c>
      <c r="F38" s="205">
        <f>SUMIF(修正!A45:A56,G2,修正!G45:G56)</f>
        <v>0.25</v>
      </c>
      <c r="G38" s="199">
        <f ca="1">ROUND(IF(E2="工业",C38*$M$39,C38*$M$38),0)</f>
        <v>0</v>
      </c>
      <c r="H38" s="199">
        <f t="shared" si="8"/>
        <v>0</v>
      </c>
      <c r="I38" s="199">
        <f t="shared" ca="1" si="9"/>
        <v>0</v>
      </c>
      <c r="J38" s="2860"/>
      <c r="K38" s="1369"/>
      <c r="L38" s="1886"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8">
        <f ca="1">ROUND(D5*C19*C41*C24*F39,0)</f>
        <v>0</v>
      </c>
      <c r="D39" s="2849"/>
      <c r="E39" s="228">
        <f t="shared" ca="1" si="7"/>
        <v>0</v>
      </c>
      <c r="F39" s="932">
        <f>SUMIF(修正!A45:A56,G2,修正!H45:H56)</f>
        <v>0.2</v>
      </c>
      <c r="G39" s="228">
        <f ca="1">ROUND(IF(E2="工业",C39*$M$39,C39*$M$38),0)</f>
        <v>0</v>
      </c>
      <c r="H39" s="228">
        <f t="shared" si="8"/>
        <v>0</v>
      </c>
      <c r="I39" s="228">
        <f t="shared" ca="1" si="9"/>
        <v>0</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6" t="s">
        <v>3049</v>
      </c>
      <c r="C41" s="387">
        <f ca="1">ROUND(POWER(1+E41,H41-G41)*(POWER(1+E41,G41)-1)/(POWER(1+E41,H41)-1),4)</f>
        <v>0</v>
      </c>
      <c r="D41" s="199" t="s">
        <v>2891</v>
      </c>
      <c r="E41" s="2935">
        <f ca="1">G20</f>
        <v>5.3999999999999999E-2</v>
      </c>
      <c r="F41" s="199" t="s">
        <v>2900</v>
      </c>
      <c r="G41" s="217">
        <f>'数据-取费表'!F9</f>
        <v>0</v>
      </c>
      <c r="H41" s="199">
        <v>50</v>
      </c>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1.0875999999999999</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8" t="s">
        <v>2944</v>
      </c>
      <c r="C47" s="1808" t="s">
        <v>2945</v>
      </c>
      <c r="D47" s="1808" t="s">
        <v>2946</v>
      </c>
      <c r="E47" s="816" t="s">
        <v>2947</v>
      </c>
      <c r="F47" s="2877" t="s">
        <v>2948</v>
      </c>
      <c r="G47" s="1808" t="s">
        <v>754</v>
      </c>
      <c r="H47" s="2878" t="s">
        <v>2949</v>
      </c>
      <c r="I47" s="1808" t="s">
        <v>2950</v>
      </c>
      <c r="J47" s="602" t="s">
        <v>2599</v>
      </c>
      <c r="K47" s="602" t="s">
        <v>2600</v>
      </c>
      <c r="L47" s="602" t="s">
        <v>2601</v>
      </c>
      <c r="M47" s="602" t="s">
        <v>2602</v>
      </c>
      <c r="N47" s="602" t="s">
        <v>2603</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t="s">
        <v>3114</v>
      </c>
      <c r="D48" s="1285">
        <f t="shared" ref="D48:D56" si="10">SUMIF($J$47:$N$47,C48,J48:N48)</f>
        <v>4.1399999999999999E-2</v>
      </c>
      <c r="E48" s="818">
        <f>ROUND(SUM(D48:D56),4)</f>
        <v>8.7599999999999997E-2</v>
      </c>
      <c r="F48" s="2499">
        <f>IF(E2="商业",SUMIF(L1:L12,G2,N1:N12),"——")</f>
        <v>0.126</v>
      </c>
      <c r="G48" s="3061">
        <f>H48</f>
        <v>2.07E-2</v>
      </c>
      <c r="H48" s="1287">
        <f t="shared" ref="H48:H56" si="11">IFERROR(ROUNDDOWN($F$48*I48/2,4),"——")</f>
        <v>2.07E-2</v>
      </c>
      <c r="I48" s="817">
        <v>0.33</v>
      </c>
      <c r="J48" s="1284">
        <f t="shared" ref="J48:J56" si="12">K48+$G48</f>
        <v>4.1399999999999999E-2</v>
      </c>
      <c r="K48" s="1284">
        <f t="shared" ref="K48:K56" si="13">$L48+$G48</f>
        <v>2.07E-2</v>
      </c>
      <c r="L48" s="1284">
        <v>0</v>
      </c>
      <c r="M48" s="1284">
        <f t="shared" ref="M48:N56" si="14">L48-$G48</f>
        <v>-2.07E-2</v>
      </c>
      <c r="N48" s="1284">
        <f t="shared" si="14"/>
        <v>-4.1399999999999999E-2</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t="s">
        <v>3113</v>
      </c>
      <c r="D49" s="1285">
        <f t="shared" si="10"/>
        <v>1.5699999999999999E-2</v>
      </c>
      <c r="E49" s="819"/>
      <c r="F49" s="2499"/>
      <c r="G49" s="1283">
        <f>H49</f>
        <v>1.5699999999999999E-2</v>
      </c>
      <c r="H49" s="1287">
        <f t="shared" si="11"/>
        <v>1.5699999999999999E-2</v>
      </c>
      <c r="I49" s="817">
        <v>0.25</v>
      </c>
      <c r="J49" s="1284">
        <f t="shared" si="12"/>
        <v>3.1399999999999997E-2</v>
      </c>
      <c r="K49" s="1284">
        <f t="shared" si="13"/>
        <v>1.5699999999999999E-2</v>
      </c>
      <c r="L49" s="1284">
        <v>0</v>
      </c>
      <c r="M49" s="1284">
        <f t="shared" si="14"/>
        <v>-1.5699999999999999E-2</v>
      </c>
      <c r="N49" s="1284">
        <f t="shared" si="14"/>
        <v>-3.1399999999999997E-2</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t="s">
        <v>3113</v>
      </c>
      <c r="D50" s="1285">
        <f t="shared" si="10"/>
        <v>3.0999999999999999E-3</v>
      </c>
      <c r="E50" s="819"/>
      <c r="F50" s="2499"/>
      <c r="G50" s="3061">
        <f t="shared" ref="G50:G56" si="15">H50</f>
        <v>3.0999999999999999E-3</v>
      </c>
      <c r="H50" s="1287">
        <f t="shared" si="11"/>
        <v>3.0999999999999999E-3</v>
      </c>
      <c r="I50" s="817">
        <v>0.05</v>
      </c>
      <c r="J50" s="1284">
        <f t="shared" si="12"/>
        <v>6.1999999999999998E-3</v>
      </c>
      <c r="K50" s="1284">
        <f t="shared" si="13"/>
        <v>3.0999999999999999E-3</v>
      </c>
      <c r="L50" s="1284">
        <v>0</v>
      </c>
      <c r="M50" s="1284">
        <f t="shared" si="14"/>
        <v>-3.0999999999999999E-3</v>
      </c>
      <c r="N50" s="1284">
        <f t="shared" si="14"/>
        <v>-6.1999999999999998E-3</v>
      </c>
      <c r="AA50" s="1370"/>
      <c r="AB50" s="1370"/>
      <c r="AC50" s="1370"/>
      <c r="AD50" s="1370"/>
      <c r="AE50" s="1370"/>
      <c r="AF50" s="1370"/>
      <c r="AG50" s="1370"/>
      <c r="AH50" s="1370"/>
      <c r="AI50" s="1370"/>
      <c r="AJ50" s="1370"/>
      <c r="AK50" s="1370"/>
    </row>
    <row r="51" spans="1:37" s="1369" customFormat="1" ht="36.75">
      <c r="A51" s="2876" t="s">
        <v>2954</v>
      </c>
      <c r="B51" s="2881" t="s">
        <v>2955</v>
      </c>
      <c r="C51" s="2768" t="s">
        <v>3113</v>
      </c>
      <c r="D51" s="1285">
        <f t="shared" si="10"/>
        <v>3.0999999999999999E-3</v>
      </c>
      <c r="E51" s="819"/>
      <c r="F51" s="2499"/>
      <c r="G51" s="1283">
        <f t="shared" si="15"/>
        <v>3.0999999999999999E-3</v>
      </c>
      <c r="H51" s="1287">
        <f t="shared" si="11"/>
        <v>3.0999999999999999E-3</v>
      </c>
      <c r="I51" s="817">
        <v>0.05</v>
      </c>
      <c r="J51" s="1284">
        <f t="shared" si="12"/>
        <v>6.1999999999999998E-3</v>
      </c>
      <c r="K51" s="1284">
        <f t="shared" si="13"/>
        <v>3.0999999999999999E-3</v>
      </c>
      <c r="L51" s="1284">
        <v>0</v>
      </c>
      <c r="M51" s="1284">
        <f t="shared" si="14"/>
        <v>-3.0999999999999999E-3</v>
      </c>
      <c r="N51" s="1284">
        <f t="shared" si="14"/>
        <v>-6.1999999999999998E-3</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3063" t="s">
        <v>3136</v>
      </c>
      <c r="D52" s="1285">
        <f t="shared" si="10"/>
        <v>0</v>
      </c>
      <c r="E52" s="819"/>
      <c r="F52" s="2499"/>
      <c r="G52" s="3061">
        <f t="shared" si="15"/>
        <v>5.0000000000000001E-3</v>
      </c>
      <c r="H52" s="1287">
        <f t="shared" si="11"/>
        <v>5.0000000000000001E-3</v>
      </c>
      <c r="I52" s="817">
        <v>0.08</v>
      </c>
      <c r="J52" s="1284">
        <f t="shared" si="12"/>
        <v>0.01</v>
      </c>
      <c r="K52" s="1284">
        <f t="shared" si="13"/>
        <v>5.0000000000000001E-3</v>
      </c>
      <c r="L52" s="1284">
        <v>0</v>
      </c>
      <c r="M52" s="1284">
        <f t="shared" si="14"/>
        <v>-5.0000000000000001E-3</v>
      </c>
      <c r="N52" s="1284">
        <f t="shared" si="14"/>
        <v>-0.01</v>
      </c>
      <c r="AA52" s="1370"/>
      <c r="AB52" s="1370"/>
      <c r="AC52" s="1370"/>
      <c r="AD52" s="1370"/>
      <c r="AE52" s="1370"/>
      <c r="AF52" s="1370"/>
      <c r="AG52" s="1370"/>
      <c r="AH52" s="1370"/>
      <c r="AI52" s="1370"/>
      <c r="AJ52" s="1370"/>
      <c r="AK52" s="1370"/>
    </row>
    <row r="53" spans="1:37" s="1369" customFormat="1" ht="24">
      <c r="A53" s="2876" t="s">
        <v>2957</v>
      </c>
      <c r="B53" s="2882" t="s">
        <v>2958</v>
      </c>
      <c r="C53" s="2768" t="s">
        <v>3113</v>
      </c>
      <c r="D53" s="1285">
        <f t="shared" si="10"/>
        <v>1.8E-3</v>
      </c>
      <c r="E53" s="819"/>
      <c r="F53" s="2499"/>
      <c r="G53" s="1283">
        <f t="shared" si="15"/>
        <v>1.8E-3</v>
      </c>
      <c r="H53" s="1287">
        <f t="shared" si="11"/>
        <v>1.8E-3</v>
      </c>
      <c r="I53" s="817">
        <v>0.03</v>
      </c>
      <c r="J53" s="1284">
        <f t="shared" si="12"/>
        <v>3.5999999999999999E-3</v>
      </c>
      <c r="K53" s="1284">
        <f t="shared" si="13"/>
        <v>1.8E-3</v>
      </c>
      <c r="L53" s="1284">
        <v>0</v>
      </c>
      <c r="M53" s="1284">
        <f t="shared" si="14"/>
        <v>-1.8E-3</v>
      </c>
      <c r="N53" s="1284">
        <f t="shared" si="14"/>
        <v>-3.5999999999999999E-3</v>
      </c>
      <c r="AA53" s="1370"/>
      <c r="AB53" s="1370"/>
      <c r="AC53" s="1370"/>
      <c r="AD53" s="1370"/>
      <c r="AE53" s="1370"/>
      <c r="AF53" s="1370"/>
      <c r="AG53" s="1370"/>
      <c r="AH53" s="1370"/>
      <c r="AI53" s="1370"/>
      <c r="AJ53" s="1370"/>
      <c r="AK53" s="1370"/>
    </row>
    <row r="54" spans="1:37" s="1369" customFormat="1" ht="25.5">
      <c r="A54" s="2883" t="s">
        <v>2959</v>
      </c>
      <c r="B54" s="1724" t="str">
        <f>估价对象房地状况!C21</f>
        <v>估价对象所在区域公共配套设施齐备情况</v>
      </c>
      <c r="C54" s="2768" t="s">
        <v>3114</v>
      </c>
      <c r="D54" s="1285">
        <f t="shared" si="10"/>
        <v>6.1999999999999998E-3</v>
      </c>
      <c r="E54" s="819"/>
      <c r="F54" s="2499"/>
      <c r="G54" s="3061">
        <f t="shared" si="15"/>
        <v>3.0999999999999999E-3</v>
      </c>
      <c r="H54" s="1287">
        <f t="shared" si="11"/>
        <v>3.0999999999999999E-3</v>
      </c>
      <c r="I54" s="817">
        <v>0.05</v>
      </c>
      <c r="J54" s="1284">
        <f t="shared" si="12"/>
        <v>6.1999999999999998E-3</v>
      </c>
      <c r="K54" s="1284">
        <f t="shared" si="13"/>
        <v>3.0999999999999999E-3</v>
      </c>
      <c r="L54" s="1284">
        <v>0</v>
      </c>
      <c r="M54" s="1284">
        <f t="shared" si="14"/>
        <v>-3.0999999999999999E-3</v>
      </c>
      <c r="N54" s="1284">
        <f t="shared" si="14"/>
        <v>-6.1999999999999998E-3</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t="s">
        <v>3114</v>
      </c>
      <c r="D55" s="1285">
        <f t="shared" si="10"/>
        <v>1.26E-2</v>
      </c>
      <c r="E55" s="819"/>
      <c r="F55" s="2499"/>
      <c r="G55" s="1283">
        <f t="shared" si="15"/>
        <v>6.3E-3</v>
      </c>
      <c r="H55" s="1287">
        <f t="shared" si="11"/>
        <v>6.3E-3</v>
      </c>
      <c r="I55" s="817">
        <v>0.1</v>
      </c>
      <c r="J55" s="1284">
        <f t="shared" si="12"/>
        <v>1.26E-2</v>
      </c>
      <c r="K55" s="1284">
        <f t="shared" si="13"/>
        <v>6.3E-3</v>
      </c>
      <c r="L55" s="1284">
        <v>0</v>
      </c>
      <c r="M55" s="1284">
        <f t="shared" si="14"/>
        <v>-6.3E-3</v>
      </c>
      <c r="N55" s="1284">
        <f t="shared" si="14"/>
        <v>-1.26E-2</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t="s">
        <v>3113</v>
      </c>
      <c r="D56" s="1285">
        <f t="shared" si="10"/>
        <v>3.7000000000000002E-3</v>
      </c>
      <c r="E56" s="822"/>
      <c r="F56" s="2499"/>
      <c r="G56" s="3061">
        <f t="shared" si="15"/>
        <v>3.7000000000000002E-3</v>
      </c>
      <c r="H56" s="1287">
        <f t="shared" si="11"/>
        <v>3.7000000000000002E-3</v>
      </c>
      <c r="I56" s="821">
        <v>0.06</v>
      </c>
      <c r="J56" s="1284">
        <f t="shared" si="12"/>
        <v>7.4000000000000003E-3</v>
      </c>
      <c r="K56" s="1284">
        <f t="shared" si="13"/>
        <v>3.7000000000000002E-3</v>
      </c>
      <c r="L56" s="1284">
        <v>0</v>
      </c>
      <c r="M56" s="1284">
        <f t="shared" si="14"/>
        <v>-3.7000000000000002E-3</v>
      </c>
      <c r="N56" s="1284">
        <f t="shared" si="14"/>
        <v>-7.4000000000000003E-3</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8"/>
      <c r="C58" s="1808" t="s">
        <v>2945</v>
      </c>
      <c r="D58" s="1808" t="s">
        <v>2946</v>
      </c>
      <c r="E58" s="816" t="s">
        <v>2947</v>
      </c>
      <c r="F58" s="2877" t="s">
        <v>2963</v>
      </c>
      <c r="G58" s="1808" t="s">
        <v>754</v>
      </c>
      <c r="H58" s="2878" t="s">
        <v>2949</v>
      </c>
      <c r="I58" s="1808" t="s">
        <v>2950</v>
      </c>
      <c r="J58" s="602" t="s">
        <v>2599</v>
      </c>
      <c r="K58" s="602" t="s">
        <v>2600</v>
      </c>
      <c r="L58" s="602" t="s">
        <v>2601</v>
      </c>
      <c r="M58" s="602" t="s">
        <v>2602</v>
      </c>
      <c r="N58" s="602" t="s">
        <v>2603</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6">SUMIF($J$58:$N$58,C59,J59:N59)</f>
        <v>0</v>
      </c>
      <c r="E59" s="818">
        <f>ROUND(SUM(D59:D67),4)</f>
        <v>0</v>
      </c>
      <c r="F59" s="2499" t="str">
        <f>IF(E2="办公",SUMIF(L1:L12,G2,N1:N12),"——")</f>
        <v>——</v>
      </c>
      <c r="G59" s="1283"/>
      <c r="H59" s="1287" t="str">
        <f t="shared" ref="H59:H67" si="17">IFERROR(ROUNDDOWN($F$59*I59/2,4),"——")</f>
        <v>——</v>
      </c>
      <c r="I59" s="817">
        <v>0.24</v>
      </c>
      <c r="J59" s="1284">
        <f t="shared" ref="J59:J67" si="18">K59+$G59</f>
        <v>0</v>
      </c>
      <c r="K59" s="1284">
        <f t="shared" ref="K59:K67" si="19">$L59+$G59</f>
        <v>0</v>
      </c>
      <c r="L59" s="1284">
        <v>0</v>
      </c>
      <c r="M59" s="1284">
        <f t="shared" ref="M59:N67" si="20">L59-$G59</f>
        <v>0</v>
      </c>
      <c r="N59" s="1284">
        <f t="shared" si="20"/>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6"/>
        <v>0</v>
      </c>
      <c r="E60" s="819"/>
      <c r="F60" s="2499"/>
      <c r="G60" s="1283"/>
      <c r="H60" s="1287" t="str">
        <f t="shared" si="17"/>
        <v>——</v>
      </c>
      <c r="I60" s="817">
        <v>0.3</v>
      </c>
      <c r="J60" s="1284">
        <f t="shared" si="18"/>
        <v>0</v>
      </c>
      <c r="K60" s="1284">
        <f t="shared" si="19"/>
        <v>0</v>
      </c>
      <c r="L60" s="1284">
        <v>0</v>
      </c>
      <c r="M60" s="1284">
        <f t="shared" si="20"/>
        <v>0</v>
      </c>
      <c r="N60" s="1284">
        <f t="shared" si="20"/>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6"/>
        <v>0</v>
      </c>
      <c r="E61" s="819"/>
      <c r="F61" s="2499"/>
      <c r="G61" s="1283"/>
      <c r="H61" s="1287" t="str">
        <f t="shared" si="17"/>
        <v>——</v>
      </c>
      <c r="I61" s="817">
        <v>0.08</v>
      </c>
      <c r="J61" s="1284">
        <f t="shared" si="18"/>
        <v>0</v>
      </c>
      <c r="K61" s="1284">
        <f t="shared" si="19"/>
        <v>0</v>
      </c>
      <c r="L61" s="1284">
        <v>0</v>
      </c>
      <c r="M61" s="1284">
        <f t="shared" si="20"/>
        <v>0</v>
      </c>
      <c r="N61" s="1284">
        <f t="shared" si="20"/>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6"/>
        <v>0</v>
      </c>
      <c r="E62" s="819"/>
      <c r="F62" s="2499"/>
      <c r="G62" s="1283"/>
      <c r="H62" s="1287" t="str">
        <f t="shared" si="17"/>
        <v>——</v>
      </c>
      <c r="I62" s="817">
        <v>0.04</v>
      </c>
      <c r="J62" s="1284">
        <f t="shared" si="18"/>
        <v>0</v>
      </c>
      <c r="K62" s="1284">
        <f t="shared" si="19"/>
        <v>0</v>
      </c>
      <c r="L62" s="1284">
        <v>0</v>
      </c>
      <c r="M62" s="1284">
        <f t="shared" si="20"/>
        <v>0</v>
      </c>
      <c r="N62" s="1284">
        <f t="shared" si="20"/>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6"/>
        <v>0</v>
      </c>
      <c r="E63" s="819"/>
      <c r="F63" s="2499"/>
      <c r="G63" s="1283"/>
      <c r="H63" s="1287" t="str">
        <f t="shared" si="17"/>
        <v>——</v>
      </c>
      <c r="I63" s="817">
        <v>0.05</v>
      </c>
      <c r="J63" s="1284">
        <f t="shared" si="18"/>
        <v>0</v>
      </c>
      <c r="K63" s="1284">
        <f t="shared" si="19"/>
        <v>0</v>
      </c>
      <c r="L63" s="1284">
        <v>0</v>
      </c>
      <c r="M63" s="1284">
        <f t="shared" si="20"/>
        <v>0</v>
      </c>
      <c r="N63" s="1284">
        <f t="shared" si="20"/>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6"/>
        <v>0</v>
      </c>
      <c r="E64" s="819"/>
      <c r="F64" s="2499"/>
      <c r="G64" s="1283"/>
      <c r="H64" s="1287" t="str">
        <f t="shared" si="17"/>
        <v>——</v>
      </c>
      <c r="I64" s="817">
        <v>0.05</v>
      </c>
      <c r="J64" s="1284">
        <f t="shared" si="18"/>
        <v>0</v>
      </c>
      <c r="K64" s="1284">
        <f t="shared" si="19"/>
        <v>0</v>
      </c>
      <c r="L64" s="1284">
        <v>0</v>
      </c>
      <c r="M64" s="1284">
        <f t="shared" si="20"/>
        <v>0</v>
      </c>
      <c r="N64" s="1284">
        <f t="shared" si="20"/>
        <v>0</v>
      </c>
      <c r="AA64" s="1370"/>
      <c r="AB64" s="1370"/>
      <c r="AC64" s="1370"/>
      <c r="AD64" s="1370"/>
      <c r="AE64" s="1370"/>
      <c r="AF64" s="1370"/>
      <c r="AG64" s="1370"/>
      <c r="AH64" s="1370"/>
      <c r="AI64" s="1370"/>
      <c r="AJ64" s="1370"/>
      <c r="AK64" s="1370"/>
    </row>
    <row r="65" spans="1:37" s="1369" customFormat="1" ht="25.5">
      <c r="A65" s="2876" t="s">
        <v>2959</v>
      </c>
      <c r="B65" s="1724" t="str">
        <f>估价对象房地状况!C21</f>
        <v>估价对象所在区域公共配套设施齐备情况</v>
      </c>
      <c r="C65" s="2768"/>
      <c r="D65" s="1285">
        <f t="shared" si="16"/>
        <v>0</v>
      </c>
      <c r="E65" s="819"/>
      <c r="F65" s="2499"/>
      <c r="G65" s="1283"/>
      <c r="H65" s="1287" t="str">
        <f t="shared" si="17"/>
        <v>——</v>
      </c>
      <c r="I65" s="817">
        <v>0.06</v>
      </c>
      <c r="J65" s="1284">
        <f t="shared" si="18"/>
        <v>0</v>
      </c>
      <c r="K65" s="1284">
        <f t="shared" si="19"/>
        <v>0</v>
      </c>
      <c r="L65" s="1284">
        <v>0</v>
      </c>
      <c r="M65" s="1284">
        <f t="shared" si="20"/>
        <v>0</v>
      </c>
      <c r="N65" s="1284">
        <f t="shared" si="20"/>
        <v>0</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v>
      </c>
      <c r="C66" s="2768"/>
      <c r="D66" s="1285">
        <f t="shared" si="16"/>
        <v>0</v>
      </c>
      <c r="E66" s="819"/>
      <c r="F66" s="2499"/>
      <c r="G66" s="1283"/>
      <c r="H66" s="1287" t="str">
        <f t="shared" si="17"/>
        <v>——</v>
      </c>
      <c r="I66" s="817">
        <v>0.12</v>
      </c>
      <c r="J66" s="1284">
        <f t="shared" si="18"/>
        <v>0</v>
      </c>
      <c r="K66" s="1284">
        <f t="shared" si="19"/>
        <v>0</v>
      </c>
      <c r="L66" s="1284">
        <v>0</v>
      </c>
      <c r="M66" s="1284">
        <f t="shared" si="20"/>
        <v>0</v>
      </c>
      <c r="N66" s="1284">
        <f t="shared" si="20"/>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6"/>
        <v>0</v>
      </c>
      <c r="E67" s="822"/>
      <c r="F67" s="2499"/>
      <c r="G67" s="1283"/>
      <c r="H67" s="1287" t="str">
        <f t="shared" si="17"/>
        <v>——</v>
      </c>
      <c r="I67" s="821">
        <v>0.06</v>
      </c>
      <c r="J67" s="1284">
        <f t="shared" si="18"/>
        <v>0</v>
      </c>
      <c r="K67" s="1284">
        <f t="shared" si="19"/>
        <v>0</v>
      </c>
      <c r="L67" s="1284">
        <v>0</v>
      </c>
      <c r="M67" s="1284">
        <f t="shared" si="20"/>
        <v>0</v>
      </c>
      <c r="N67" s="1284">
        <f t="shared" si="20"/>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8"/>
      <c r="C69" s="1808" t="s">
        <v>2945</v>
      </c>
      <c r="D69" s="1808" t="s">
        <v>2946</v>
      </c>
      <c r="E69" s="816" t="s">
        <v>2947</v>
      </c>
      <c r="F69" s="2877" t="s">
        <v>2963</v>
      </c>
      <c r="G69" s="1808" t="s">
        <v>754</v>
      </c>
      <c r="H69" s="2878" t="s">
        <v>2949</v>
      </c>
      <c r="I69" s="1808" t="s">
        <v>2950</v>
      </c>
      <c r="J69" s="602" t="s">
        <v>2599</v>
      </c>
      <c r="K69" s="602" t="s">
        <v>2600</v>
      </c>
      <c r="L69" s="602" t="s">
        <v>2601</v>
      </c>
      <c r="M69" s="602" t="s">
        <v>2602</v>
      </c>
      <c r="N69" s="602" t="s">
        <v>2603</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1">SUMIF($J$69:$N$69,C70,J70:N70)</f>
        <v>0</v>
      </c>
      <c r="E70" s="818">
        <f>ROUND(SUM(D70:D78),4)</f>
        <v>0</v>
      </c>
      <c r="F70" s="2499"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1"/>
        <v>0</v>
      </c>
      <c r="E71" s="823"/>
      <c r="F71" s="2499"/>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1"/>
        <v>0</v>
      </c>
      <c r="E72" s="823"/>
      <c r="F72" s="2499"/>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1"/>
        <v>0</v>
      </c>
      <c r="E73" s="823"/>
      <c r="F73" s="2499"/>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25.5">
      <c r="A74" s="2876" t="s">
        <v>2959</v>
      </c>
      <c r="B74" s="1724" t="str">
        <f>估价对象房地状况!C21</f>
        <v>估价对象所在区域公共配套设施齐备情况</v>
      </c>
      <c r="C74" s="2768"/>
      <c r="D74" s="1285">
        <f t="shared" si="21"/>
        <v>0</v>
      </c>
      <c r="E74" s="823"/>
      <c r="F74" s="2499"/>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v>
      </c>
      <c r="C75" s="2768"/>
      <c r="D75" s="1285">
        <f t="shared" si="21"/>
        <v>0</v>
      </c>
      <c r="E75" s="823"/>
      <c r="F75" s="2499"/>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1"/>
        <v>0</v>
      </c>
      <c r="E76" s="823"/>
      <c r="F76" s="2499"/>
      <c r="G76" s="1283"/>
      <c r="H76" s="1287" t="str">
        <f t="shared" si="22"/>
        <v>——</v>
      </c>
      <c r="I76" s="817">
        <v>0.05</v>
      </c>
      <c r="J76" s="1284">
        <f t="shared" si="23"/>
        <v>0</v>
      </c>
      <c r="K76" s="1284">
        <f t="shared" si="24"/>
        <v>0</v>
      </c>
      <c r="L76" s="1284">
        <v>0</v>
      </c>
      <c r="M76" s="1284">
        <f t="shared" si="25"/>
        <v>0</v>
      </c>
      <c r="N76" s="1284">
        <f t="shared" si="25"/>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1"/>
        <v>0</v>
      </c>
      <c r="E77" s="823"/>
      <c r="F77" s="2499"/>
      <c r="G77" s="1283"/>
      <c r="H77" s="1287" t="str">
        <f t="shared" si="22"/>
        <v>——</v>
      </c>
      <c r="I77" s="817">
        <v>0.15</v>
      </c>
      <c r="J77" s="1284">
        <f t="shared" si="23"/>
        <v>0</v>
      </c>
      <c r="K77" s="1284">
        <f t="shared" si="24"/>
        <v>0</v>
      </c>
      <c r="L77" s="1284">
        <v>0</v>
      </c>
      <c r="M77" s="1284">
        <f t="shared" si="25"/>
        <v>0</v>
      </c>
      <c r="N77" s="1284">
        <f t="shared" si="25"/>
        <v>0</v>
      </c>
      <c r="Z77" s="2718"/>
      <c r="AA77" s="2794"/>
      <c r="AG77" s="1371"/>
      <c r="AK77" s="2794"/>
    </row>
    <row r="78" spans="1:37" ht="24.75" thickBot="1">
      <c r="A78" s="2884" t="s">
        <v>2968</v>
      </c>
      <c r="B78" s="2888"/>
      <c r="C78" s="2768"/>
      <c r="D78" s="1285">
        <f t="shared" si="21"/>
        <v>0</v>
      </c>
      <c r="E78" s="824"/>
      <c r="F78" s="2499"/>
      <c r="G78" s="1283"/>
      <c r="H78" s="1287" t="str">
        <f t="shared" si="22"/>
        <v>——</v>
      </c>
      <c r="I78" s="821">
        <v>0.04</v>
      </c>
      <c r="J78" s="1284">
        <f t="shared" si="23"/>
        <v>0</v>
      </c>
      <c r="K78" s="1284">
        <f t="shared" si="24"/>
        <v>0</v>
      </c>
      <c r="L78" s="1284">
        <v>0</v>
      </c>
      <c r="M78" s="1284">
        <f t="shared" si="25"/>
        <v>0</v>
      </c>
      <c r="N78" s="1284">
        <f t="shared" si="25"/>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8"/>
      <c r="C80" s="1808" t="s">
        <v>2945</v>
      </c>
      <c r="D80" s="1808" t="s">
        <v>2946</v>
      </c>
      <c r="E80" s="816" t="s">
        <v>2947</v>
      </c>
      <c r="F80" s="2877" t="s">
        <v>2963</v>
      </c>
      <c r="G80" s="1808" t="s">
        <v>754</v>
      </c>
      <c r="H80" s="2878" t="s">
        <v>2949</v>
      </c>
      <c r="I80" s="1808" t="s">
        <v>2950</v>
      </c>
      <c r="J80" s="602" t="s">
        <v>2599</v>
      </c>
      <c r="K80" s="602" t="s">
        <v>2600</v>
      </c>
      <c r="L80" s="602" t="s">
        <v>2601</v>
      </c>
      <c r="M80" s="602" t="s">
        <v>2602</v>
      </c>
      <c r="N80" s="602" t="s">
        <v>2603</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6">SUMIF($J$80:$N$80,C81,J81:N81)</f>
        <v>0</v>
      </c>
      <c r="E81" s="818">
        <f>ROUND(SUM(D81:D88),4)</f>
        <v>0</v>
      </c>
      <c r="F81" s="2499"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6"/>
        <v>0</v>
      </c>
      <c r="E82" s="823"/>
      <c r="F82" s="2499"/>
      <c r="G82" s="1283"/>
      <c r="H82" s="1287" t="str">
        <f t="shared" si="27"/>
        <v>——</v>
      </c>
      <c r="I82" s="817">
        <v>0.33</v>
      </c>
      <c r="J82" s="1284">
        <f t="shared" si="28"/>
        <v>0</v>
      </c>
      <c r="K82" s="1284">
        <f t="shared" si="29"/>
        <v>0</v>
      </c>
      <c r="L82" s="1284">
        <v>0</v>
      </c>
      <c r="M82" s="1284">
        <f t="shared" si="30"/>
        <v>0</v>
      </c>
      <c r="N82" s="1284">
        <f t="shared" si="30"/>
        <v>0</v>
      </c>
      <c r="Z82" s="2718"/>
      <c r="AA82" s="2794"/>
      <c r="AG82" s="1371"/>
      <c r="AK82" s="2794"/>
    </row>
    <row r="83" spans="1:37" ht="24">
      <c r="A83" s="2876" t="s">
        <v>2953</v>
      </c>
      <c r="B83" s="2880">
        <f>估价对象房地状况!G17</f>
        <v>0</v>
      </c>
      <c r="C83" s="2768"/>
      <c r="D83" s="1285">
        <f t="shared" si="26"/>
        <v>0</v>
      </c>
      <c r="E83" s="823"/>
      <c r="F83" s="2499"/>
      <c r="G83" s="1283"/>
      <c r="H83" s="1287" t="str">
        <f t="shared" si="27"/>
        <v>——</v>
      </c>
      <c r="I83" s="817">
        <v>0.05</v>
      </c>
      <c r="J83" s="1284">
        <f t="shared" si="28"/>
        <v>0</v>
      </c>
      <c r="K83" s="1284">
        <f t="shared" si="29"/>
        <v>0</v>
      </c>
      <c r="L83" s="1284">
        <v>0</v>
      </c>
      <c r="M83" s="1284">
        <f t="shared" si="30"/>
        <v>0</v>
      </c>
      <c r="N83" s="1284">
        <f t="shared" si="30"/>
        <v>0</v>
      </c>
      <c r="Z83" s="2718"/>
      <c r="AA83" s="2794"/>
      <c r="AG83" s="1371"/>
      <c r="AK83" s="2794"/>
    </row>
    <row r="84" spans="1:37" ht="14.25">
      <c r="A84" s="2876" t="s">
        <v>2967</v>
      </c>
      <c r="B84" s="2880">
        <f>估价对象房地状况!G22</f>
        <v>0</v>
      </c>
      <c r="C84" s="2768"/>
      <c r="D84" s="1285">
        <f t="shared" si="26"/>
        <v>0</v>
      </c>
      <c r="E84" s="823"/>
      <c r="F84" s="2499"/>
      <c r="G84" s="1283"/>
      <c r="H84" s="1287" t="str">
        <f t="shared" si="27"/>
        <v>——</v>
      </c>
      <c r="I84" s="817">
        <v>0.04</v>
      </c>
      <c r="J84" s="1284">
        <f t="shared" si="28"/>
        <v>0</v>
      </c>
      <c r="K84" s="1284">
        <f t="shared" si="29"/>
        <v>0</v>
      </c>
      <c r="L84" s="1284">
        <v>0</v>
      </c>
      <c r="M84" s="1284">
        <f t="shared" si="30"/>
        <v>0</v>
      </c>
      <c r="N84" s="1284">
        <f t="shared" si="30"/>
        <v>0</v>
      </c>
      <c r="Z84" s="2718"/>
      <c r="AA84" s="2794"/>
      <c r="AG84" s="1371"/>
      <c r="AK84" s="2794"/>
    </row>
    <row r="85" spans="1:37" ht="25.5">
      <c r="A85" s="2876" t="s">
        <v>2959</v>
      </c>
      <c r="B85" s="1724" t="str">
        <f>估价对象房地状况!G19</f>
        <v>估价对象所在区域公共配套设施齐备情况</v>
      </c>
      <c r="C85" s="2768"/>
      <c r="D85" s="1285">
        <f t="shared" si="26"/>
        <v>0</v>
      </c>
      <c r="E85" s="823"/>
      <c r="F85" s="2499"/>
      <c r="G85" s="1283"/>
      <c r="H85" s="1287" t="str">
        <f t="shared" si="27"/>
        <v>——</v>
      </c>
      <c r="I85" s="817">
        <v>0.06</v>
      </c>
      <c r="J85" s="1284">
        <f t="shared" si="28"/>
        <v>0</v>
      </c>
      <c r="K85" s="1284">
        <f t="shared" si="29"/>
        <v>0</v>
      </c>
      <c r="L85" s="1284">
        <v>0</v>
      </c>
      <c r="M85" s="1284">
        <f t="shared" si="30"/>
        <v>0</v>
      </c>
      <c r="N85" s="1284">
        <f t="shared" si="30"/>
        <v>0</v>
      </c>
      <c r="Z85" s="2718"/>
      <c r="AA85" s="2794"/>
      <c r="AG85" s="1371"/>
      <c r="AK85" s="2794"/>
    </row>
    <row r="86" spans="1:37" ht="25.5">
      <c r="A86" s="2876" t="s">
        <v>2960</v>
      </c>
      <c r="B86" s="1724" t="str">
        <f>估价对象房地状况!G20</f>
        <v>估价对象所在区域基础设施水平</v>
      </c>
      <c r="C86" s="2768"/>
      <c r="D86" s="1285">
        <f t="shared" si="26"/>
        <v>0</v>
      </c>
      <c r="E86" s="823"/>
      <c r="F86" s="2499"/>
      <c r="G86" s="1283"/>
      <c r="H86" s="1287" t="str">
        <f t="shared" si="27"/>
        <v>——</v>
      </c>
      <c r="I86" s="817">
        <v>0.15</v>
      </c>
      <c r="J86" s="1284">
        <f t="shared" si="28"/>
        <v>0</v>
      </c>
      <c r="K86" s="1284">
        <f t="shared" si="29"/>
        <v>0</v>
      </c>
      <c r="L86" s="1284">
        <v>0</v>
      </c>
      <c r="M86" s="1284">
        <f t="shared" si="30"/>
        <v>0</v>
      </c>
      <c r="N86" s="1284">
        <f t="shared" si="30"/>
        <v>0</v>
      </c>
      <c r="Z86" s="2718"/>
      <c r="AA86" s="2794"/>
      <c r="AG86" s="1371"/>
      <c r="AK86" s="2794"/>
    </row>
    <row r="87" spans="1:37" ht="24">
      <c r="A87" s="2876" t="s">
        <v>2957</v>
      </c>
      <c r="B87" s="2882" t="s">
        <v>2971</v>
      </c>
      <c r="C87" s="2768"/>
      <c r="D87" s="1285">
        <f t="shared" si="26"/>
        <v>0</v>
      </c>
      <c r="E87" s="823"/>
      <c r="F87" s="2499"/>
      <c r="G87" s="1283"/>
      <c r="H87" s="1287" t="str">
        <f t="shared" si="27"/>
        <v>——</v>
      </c>
      <c r="I87" s="817">
        <v>0.05</v>
      </c>
      <c r="J87" s="1284">
        <f t="shared" si="28"/>
        <v>0</v>
      </c>
      <c r="K87" s="1284">
        <f t="shared" si="29"/>
        <v>0</v>
      </c>
      <c r="L87" s="1284">
        <v>0</v>
      </c>
      <c r="M87" s="1284">
        <f t="shared" si="30"/>
        <v>0</v>
      </c>
      <c r="N87" s="1284">
        <f t="shared" si="30"/>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6"/>
        <v>0</v>
      </c>
      <c r="E88" s="824"/>
      <c r="F88" s="2499"/>
      <c r="G88" s="1283"/>
      <c r="H88" s="1287" t="str">
        <f t="shared" si="27"/>
        <v>——</v>
      </c>
      <c r="I88" s="821">
        <v>0.06</v>
      </c>
      <c r="J88" s="1284">
        <f t="shared" si="28"/>
        <v>0</v>
      </c>
      <c r="K88" s="1284">
        <f t="shared" si="29"/>
        <v>0</v>
      </c>
      <c r="L88" s="1284">
        <v>0</v>
      </c>
      <c r="M88" s="1284">
        <f t="shared" si="30"/>
        <v>0</v>
      </c>
      <c r="N88" s="1284">
        <f t="shared" si="30"/>
        <v>0</v>
      </c>
      <c r="Z88" s="2718"/>
      <c r="AA88" s="2794"/>
      <c r="AG88" s="1371"/>
      <c r="AK88" s="2794"/>
    </row>
    <row r="90" spans="1:37">
      <c r="A90" s="3549" t="s">
        <v>2973</v>
      </c>
      <c r="B90" s="3549"/>
      <c r="C90" s="3549"/>
      <c r="D90" s="3549"/>
      <c r="E90" s="3549"/>
      <c r="F90" s="3549"/>
      <c r="G90" s="3549"/>
      <c r="H90" s="3549"/>
      <c r="I90" s="3549"/>
      <c r="J90" s="3549"/>
      <c r="K90" s="2890"/>
      <c r="L90" s="2890"/>
      <c r="M90" s="2890"/>
      <c r="N90" s="2890"/>
    </row>
    <row r="91" spans="1:37">
      <c r="A91" s="3551" t="s">
        <v>2974</v>
      </c>
      <c r="B91" s="3551" t="s">
        <v>2975</v>
      </c>
      <c r="C91" s="2844" t="s">
        <v>2976</v>
      </c>
      <c r="D91" s="2845"/>
      <c r="E91" s="2845"/>
      <c r="F91" s="2845"/>
      <c r="G91" s="2845"/>
      <c r="H91" s="2845"/>
      <c r="I91" s="2845"/>
      <c r="J91" s="2891"/>
      <c r="K91" s="2892"/>
      <c r="L91" s="2892"/>
      <c r="M91" s="2892"/>
      <c r="N91" s="2892"/>
    </row>
    <row r="92" spans="1:37">
      <c r="A92" s="3551"/>
      <c r="B92" s="3551"/>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552"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55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55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55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55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55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553"/>
      <c r="B99" s="2893" t="s">
        <v>2858</v>
      </c>
      <c r="C99" s="2895">
        <f>$I$3</f>
        <v>36</v>
      </c>
      <c r="D99" s="2895">
        <f t="shared" ref="D99:M99" si="31">$I$3</f>
        <v>36</v>
      </c>
      <c r="E99" s="2895">
        <f t="shared" si="31"/>
        <v>36</v>
      </c>
      <c r="F99" s="2895">
        <f t="shared" si="31"/>
        <v>36</v>
      </c>
      <c r="G99" s="2895">
        <f t="shared" si="31"/>
        <v>36</v>
      </c>
      <c r="H99" s="2895">
        <f t="shared" si="31"/>
        <v>36</v>
      </c>
      <c r="I99" s="2895">
        <f t="shared" si="31"/>
        <v>36</v>
      </c>
      <c r="J99" s="2895">
        <f t="shared" si="31"/>
        <v>36</v>
      </c>
      <c r="K99" s="2895">
        <f t="shared" si="31"/>
        <v>36</v>
      </c>
      <c r="L99" s="2895">
        <f t="shared" si="31"/>
        <v>36</v>
      </c>
      <c r="M99" s="2895">
        <f t="shared" si="31"/>
        <v>36</v>
      </c>
      <c r="N99" s="2895">
        <f>$I$3</f>
        <v>36</v>
      </c>
    </row>
    <row r="100" spans="1:14">
      <c r="A100" s="3554"/>
      <c r="B100" s="2893">
        <v>7</v>
      </c>
      <c r="C100" s="2896">
        <f>(-0.163*(C99^2)-0.59*C99+7617)*(10^(-4))</f>
        <v>0.73845119999999997</v>
      </c>
      <c r="D100" s="2896">
        <f>(-0.163*(D99^2)-0.59*D99+7617)*(10^(-4))</f>
        <v>0.73845119999999997</v>
      </c>
      <c r="E100" s="2896">
        <f>(-0.161*(E99^2)-7.509*E99+6533)*(10^(-4))</f>
        <v>0.60540200000000011</v>
      </c>
      <c r="F100" s="2896">
        <f>(-0.161*(F99^2)-7.509*F99+6533)*(10^(-4))</f>
        <v>0.60540200000000011</v>
      </c>
      <c r="G100" s="2896">
        <f>(-0.161*(G99^2)-7.509*G99+6533)*(10^(-4))</f>
        <v>0.60540200000000011</v>
      </c>
      <c r="H100" s="2896">
        <f>(-0.161*(H99^2)-7.509*H99+6533)*(10^(-4))</f>
        <v>0.60540200000000011</v>
      </c>
      <c r="I100" s="2896">
        <f>(-0.161*(I99^2)-7.509*I99+6533)*(10^(-4))</f>
        <v>0.60540200000000011</v>
      </c>
      <c r="J100" s="2896">
        <f>(-0.214*(J99^2)-21.991*J99+4665)*(10^(-4))</f>
        <v>0.35959800000000003</v>
      </c>
      <c r="K100" s="2896">
        <f>(-0.214*(K99^2)-21.991*K99+4665)*(10^(-4))</f>
        <v>0.35959800000000003</v>
      </c>
      <c r="L100" s="2896">
        <f>(-0.214*(L99^2)-21.991*L99+4665)*(10^(-4))</f>
        <v>0.35959800000000003</v>
      </c>
      <c r="M100" s="2896">
        <f>(-0.214*(M99^2)-21.991*M99+4665)*(10^(-4))</f>
        <v>0.35959800000000003</v>
      </c>
      <c r="N100" s="2896">
        <f>(-0.214*(N99^2)-21.991*N99+4665)*(10^(-4))</f>
        <v>0.35959800000000003</v>
      </c>
    </row>
    <row r="101" spans="1:14">
      <c r="A101" s="3552" t="s">
        <v>2978</v>
      </c>
      <c r="B101" s="2897" t="s">
        <v>2979</v>
      </c>
      <c r="C101" s="2898">
        <f>$G$3</f>
        <v>5</v>
      </c>
      <c r="D101" s="2898">
        <f t="shared" ref="D101:N101" si="32">$G$3</f>
        <v>5</v>
      </c>
      <c r="E101" s="2898">
        <f t="shared" si="32"/>
        <v>5</v>
      </c>
      <c r="F101" s="2898">
        <f t="shared" si="32"/>
        <v>5</v>
      </c>
      <c r="G101" s="2898">
        <f t="shared" si="32"/>
        <v>5</v>
      </c>
      <c r="H101" s="2898">
        <f t="shared" si="32"/>
        <v>5</v>
      </c>
      <c r="I101" s="2898">
        <f t="shared" si="32"/>
        <v>5</v>
      </c>
      <c r="J101" s="2898">
        <f t="shared" si="32"/>
        <v>5</v>
      </c>
      <c r="K101" s="2898">
        <f t="shared" si="32"/>
        <v>5</v>
      </c>
      <c r="L101" s="2898">
        <f t="shared" si="32"/>
        <v>5</v>
      </c>
      <c r="M101" s="2898">
        <f t="shared" si="32"/>
        <v>5</v>
      </c>
      <c r="N101" s="2898">
        <f t="shared" si="32"/>
        <v>5</v>
      </c>
    </row>
    <row r="102" spans="1:14">
      <c r="A102" s="3553"/>
      <c r="B102" s="2893">
        <v>1</v>
      </c>
      <c r="C102" s="2894">
        <f>1.9362/C101</f>
        <v>0.38723999999999997</v>
      </c>
      <c r="D102" s="2894">
        <f>1.9362/D101</f>
        <v>0.38723999999999997</v>
      </c>
      <c r="E102" s="2894">
        <f>1.8629/E101</f>
        <v>0.37258000000000002</v>
      </c>
      <c r="F102" s="2894">
        <f>1.8629/F101</f>
        <v>0.37258000000000002</v>
      </c>
      <c r="G102" s="2894">
        <f>1.8629/G101</f>
        <v>0.37258000000000002</v>
      </c>
      <c r="H102" s="2894">
        <f>1.8629/H101</f>
        <v>0.37258000000000002</v>
      </c>
      <c r="I102" s="2894">
        <f>1.8629/I101</f>
        <v>0.37258000000000002</v>
      </c>
      <c r="J102" s="2894">
        <f>1.942/J101</f>
        <v>0.38839999999999997</v>
      </c>
      <c r="K102" s="2894">
        <f>1.942/K101</f>
        <v>0.38839999999999997</v>
      </c>
      <c r="L102" s="2894">
        <f>1.942/L101</f>
        <v>0.38839999999999997</v>
      </c>
      <c r="M102" s="2894">
        <f>1.942/M101</f>
        <v>0.38839999999999997</v>
      </c>
      <c r="N102" s="2894">
        <f>1.942/N101</f>
        <v>0.38839999999999997</v>
      </c>
    </row>
    <row r="103" spans="1:14">
      <c r="A103" s="3553"/>
      <c r="B103" s="2893">
        <v>2</v>
      </c>
      <c r="C103" s="2894">
        <f>1.4198/C101</f>
        <v>0.28395999999999999</v>
      </c>
      <c r="D103" s="2894">
        <f>1.4198/D101</f>
        <v>0.28395999999999999</v>
      </c>
      <c r="E103" s="2894">
        <f>1.3372/E101</f>
        <v>0.26744000000000001</v>
      </c>
      <c r="F103" s="2894">
        <f>1.3372/F101</f>
        <v>0.26744000000000001</v>
      </c>
      <c r="G103" s="2894">
        <f>1.3372/G101</f>
        <v>0.26744000000000001</v>
      </c>
      <c r="H103" s="2894">
        <f>1.3372/H101</f>
        <v>0.26744000000000001</v>
      </c>
      <c r="I103" s="2894">
        <f>1.3372/I101</f>
        <v>0.26744000000000001</v>
      </c>
      <c r="J103" s="2894">
        <f>1.2799/J101</f>
        <v>0.25597999999999999</v>
      </c>
      <c r="K103" s="2894">
        <f>1.2799/K101</f>
        <v>0.25597999999999999</v>
      </c>
      <c r="L103" s="2894">
        <f>1.2799/L101</f>
        <v>0.25597999999999999</v>
      </c>
      <c r="M103" s="2894">
        <f>1.2799/M101</f>
        <v>0.25597999999999999</v>
      </c>
      <c r="N103" s="2894">
        <f>1.2799/N101</f>
        <v>0.25597999999999999</v>
      </c>
    </row>
    <row r="104" spans="1:14">
      <c r="A104" s="3553"/>
      <c r="B104" s="2893">
        <v>3</v>
      </c>
      <c r="C104" s="2894">
        <f>1.1594/C101</f>
        <v>0.23188</v>
      </c>
      <c r="D104" s="2894">
        <f>1.1594/D101</f>
        <v>0.23188</v>
      </c>
      <c r="E104" s="2894">
        <f>1.0788/E101</f>
        <v>0.21576000000000001</v>
      </c>
      <c r="F104" s="2894">
        <f>1.0788/F101</f>
        <v>0.21576000000000001</v>
      </c>
      <c r="G104" s="2894">
        <f>1.0788/G101</f>
        <v>0.21576000000000001</v>
      </c>
      <c r="H104" s="2894">
        <f>1.0788/H101</f>
        <v>0.21576000000000001</v>
      </c>
      <c r="I104" s="2894">
        <f>1.0788/I101</f>
        <v>0.21576000000000001</v>
      </c>
      <c r="J104" s="2894">
        <f>1.0072/J101</f>
        <v>0.20144000000000001</v>
      </c>
      <c r="K104" s="2894">
        <f>1.0072/K101</f>
        <v>0.20144000000000001</v>
      </c>
      <c r="L104" s="2894">
        <f>1.0072/L101</f>
        <v>0.20144000000000001</v>
      </c>
      <c r="M104" s="2894">
        <f>1.0072/M101</f>
        <v>0.20144000000000001</v>
      </c>
      <c r="N104" s="2894">
        <f>1.0072/N101</f>
        <v>0.20144000000000001</v>
      </c>
    </row>
    <row r="105" spans="1:14">
      <c r="A105" s="3553"/>
      <c r="B105" s="2893">
        <v>4</v>
      </c>
      <c r="C105" s="2894">
        <f>0.9622/C101</f>
        <v>0.19244</v>
      </c>
      <c r="D105" s="2894">
        <f>0.9622/D101</f>
        <v>0.19244</v>
      </c>
      <c r="E105" s="2894">
        <f>0.8656/E101</f>
        <v>0.17312</v>
      </c>
      <c r="F105" s="2894">
        <f>0.8656/F101</f>
        <v>0.17312</v>
      </c>
      <c r="G105" s="2894">
        <f>0.8656/G101</f>
        <v>0.17312</v>
      </c>
      <c r="H105" s="2894">
        <f>0.8656/H101</f>
        <v>0.17312</v>
      </c>
      <c r="I105" s="2894">
        <f>0.8656/I101</f>
        <v>0.17312</v>
      </c>
      <c r="J105" s="2894">
        <f>0.7525/J101</f>
        <v>0.15049999999999999</v>
      </c>
      <c r="K105" s="2894">
        <f>0.7525/K101</f>
        <v>0.15049999999999999</v>
      </c>
      <c r="L105" s="2894">
        <f>0.7525/L101</f>
        <v>0.15049999999999999</v>
      </c>
      <c r="M105" s="2894">
        <f>0.7525/M101</f>
        <v>0.15049999999999999</v>
      </c>
      <c r="N105" s="2894">
        <f>0.7525/N101</f>
        <v>0.15049999999999999</v>
      </c>
    </row>
    <row r="106" spans="1:14">
      <c r="A106" s="3553"/>
      <c r="B106" s="2893">
        <v>5</v>
      </c>
      <c r="C106" s="2894">
        <f>0.8417/C101</f>
        <v>0.16833999999999999</v>
      </c>
      <c r="D106" s="2894">
        <f>0.8417/D101</f>
        <v>0.16833999999999999</v>
      </c>
      <c r="E106" s="2894">
        <f>0.7371/E101</f>
        <v>0.14742</v>
      </c>
      <c r="F106" s="2894">
        <f>0.7371/F101</f>
        <v>0.14742</v>
      </c>
      <c r="G106" s="2894">
        <f>0.7371/G101</f>
        <v>0.14742</v>
      </c>
      <c r="H106" s="2894">
        <f>0.7371/H101</f>
        <v>0.14742</v>
      </c>
      <c r="I106" s="2894">
        <f>0.7371/I101</f>
        <v>0.14742</v>
      </c>
      <c r="J106" s="2894">
        <f>0.5659/J101</f>
        <v>0.11317999999999999</v>
      </c>
      <c r="K106" s="2894">
        <f>0.5659/K101</f>
        <v>0.11317999999999999</v>
      </c>
      <c r="L106" s="2894">
        <f>0.5659/L101</f>
        <v>0.11317999999999999</v>
      </c>
      <c r="M106" s="2894">
        <f>0.5659/M101</f>
        <v>0.11317999999999999</v>
      </c>
      <c r="N106" s="2894">
        <f>0.5659/N101</f>
        <v>0.11317999999999999</v>
      </c>
    </row>
    <row r="107" spans="1:14">
      <c r="A107" s="3553"/>
      <c r="B107" s="2893">
        <v>6</v>
      </c>
      <c r="C107" s="2894">
        <f>0.7608/C101</f>
        <v>0.15216000000000002</v>
      </c>
      <c r="D107" s="2894">
        <f>0.7608/D101</f>
        <v>0.15216000000000002</v>
      </c>
      <c r="E107" s="2894">
        <f>0.6482/E101</f>
        <v>0.12964000000000001</v>
      </c>
      <c r="F107" s="2894">
        <f>0.6482/F101</f>
        <v>0.12964000000000001</v>
      </c>
      <c r="G107" s="2894">
        <f>0.6482/G101</f>
        <v>0.12964000000000001</v>
      </c>
      <c r="H107" s="2894">
        <f>0.6482/H101</f>
        <v>0.12964000000000001</v>
      </c>
      <c r="I107" s="2894">
        <f>0.6482/I101</f>
        <v>0.12964000000000001</v>
      </c>
      <c r="J107" s="2894">
        <f>0.4525/J101</f>
        <v>9.0499999999999997E-2</v>
      </c>
      <c r="K107" s="2894">
        <f>0.4525/K101</f>
        <v>9.0499999999999997E-2</v>
      </c>
      <c r="L107" s="2894">
        <f>0.4525/L101</f>
        <v>9.0499999999999997E-2</v>
      </c>
      <c r="M107" s="2894">
        <f>0.4525/M101</f>
        <v>9.0499999999999997E-2</v>
      </c>
      <c r="N107" s="2894">
        <f>0.4525/N101</f>
        <v>9.0499999999999997E-2</v>
      </c>
    </row>
    <row r="108" spans="1:14">
      <c r="A108" s="3553"/>
      <c r="B108" s="3406" t="s">
        <v>2980</v>
      </c>
      <c r="C108" s="2895">
        <f>C99</f>
        <v>36</v>
      </c>
      <c r="D108" s="2895">
        <f t="shared" ref="D108:N108" si="33">D99</f>
        <v>36</v>
      </c>
      <c r="E108" s="2895">
        <f t="shared" si="33"/>
        <v>36</v>
      </c>
      <c r="F108" s="2895">
        <f t="shared" si="33"/>
        <v>36</v>
      </c>
      <c r="G108" s="2895">
        <f t="shared" si="33"/>
        <v>36</v>
      </c>
      <c r="H108" s="2895">
        <f t="shared" si="33"/>
        <v>36</v>
      </c>
      <c r="I108" s="2895">
        <f t="shared" si="33"/>
        <v>36</v>
      </c>
      <c r="J108" s="2895">
        <f t="shared" si="33"/>
        <v>36</v>
      </c>
      <c r="K108" s="2895">
        <f t="shared" si="33"/>
        <v>36</v>
      </c>
      <c r="L108" s="2895">
        <f t="shared" si="33"/>
        <v>36</v>
      </c>
      <c r="M108" s="2895">
        <f t="shared" si="33"/>
        <v>36</v>
      </c>
      <c r="N108" s="2895">
        <f t="shared" si="33"/>
        <v>36</v>
      </c>
    </row>
    <row r="109" spans="1:14">
      <c r="A109" s="3554"/>
      <c r="B109" s="3407"/>
      <c r="C109" s="2896">
        <f>(-0.163*(C108^2)-0.59*C108+7617)*(10^(-4))/C101</f>
        <v>0.14769024</v>
      </c>
      <c r="D109" s="2896">
        <f>(-0.163*(D108^2)-0.59*D108+7617)*(10^(-4))/D101</f>
        <v>0.14769024</v>
      </c>
      <c r="E109" s="2896">
        <f>(-0.161*(E108^2)-7.509*E108+6533)*(10^(-4))/E101</f>
        <v>0.12108040000000002</v>
      </c>
      <c r="F109" s="2896">
        <f>(-0.161*(F108^2)-7.509*F108+6533)*(10^(-4))/F101</f>
        <v>0.12108040000000002</v>
      </c>
      <c r="G109" s="2896">
        <f>(-0.161*(G108^2)-7.509*G108+6533)*(10^(-4))/G101</f>
        <v>0.12108040000000002</v>
      </c>
      <c r="H109" s="2896">
        <f>(-0.161*(H108^2)-7.509*H108+6533)*(10^(-4))/H101</f>
        <v>0.12108040000000002</v>
      </c>
      <c r="I109" s="2896">
        <f>(-0.161*(I108^2)-7.509*I108+6533)*(10^(-4))/I101</f>
        <v>0.12108040000000002</v>
      </c>
      <c r="J109" s="2896">
        <f>(-0.214*(J108^2)-21.991*J108+4665)*(10^(-4))/J101</f>
        <v>7.19196E-2</v>
      </c>
      <c r="K109" s="2896">
        <f>(-0.214*(K108^2)-21.991*K108+4665)*(10^(-4))/K101</f>
        <v>7.19196E-2</v>
      </c>
      <c r="L109" s="2896">
        <f>(-0.214*(L108^2)-21.991*L108+4665)*(10^(-4))/L101</f>
        <v>7.19196E-2</v>
      </c>
      <c r="M109" s="2896">
        <f>(-0.214*(M108^2)-21.991*M108+4665)*(10^(-4))/M101</f>
        <v>7.19196E-2</v>
      </c>
      <c r="N109" s="2896">
        <f>(-0.214*(N108^2)-21.991*N108+4665)*(10^(-4))/N101</f>
        <v>7.19196E-2</v>
      </c>
    </row>
    <row r="110" spans="1:14">
      <c r="A110" s="3550" t="s">
        <v>2981</v>
      </c>
      <c r="B110" s="3550"/>
      <c r="C110" s="3550"/>
      <c r="D110" s="3550"/>
      <c r="E110" s="3550"/>
      <c r="F110" s="3550"/>
      <c r="G110" s="3550"/>
      <c r="H110" s="3550"/>
      <c r="I110" s="3550"/>
      <c r="J110" s="3550"/>
      <c r="K110" s="2899"/>
      <c r="L110" s="2899"/>
      <c r="M110" s="2899"/>
      <c r="N110" s="2899"/>
    </row>
    <row r="112" spans="1:14" ht="13.5" thickBot="1"/>
    <row r="113" spans="1:13" ht="25.5" thickBot="1">
      <c r="A113" s="900" t="s">
        <v>2982</v>
      </c>
      <c r="B113" s="1286">
        <f>G3</f>
        <v>5</v>
      </c>
      <c r="C113" s="901" t="s">
        <v>2983</v>
      </c>
      <c r="D113" s="902">
        <f>SUMPRODUCT((A115:A118=F113)*(B114:M114=H113)*B115:M118)</f>
        <v>0.77859999999999996</v>
      </c>
      <c r="E113" s="2722" t="s">
        <v>2816</v>
      </c>
      <c r="F113" s="2901" t="str">
        <f>E2</f>
        <v>商业</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0.88649999999999995</v>
      </c>
      <c r="C115" s="907">
        <f>B115</f>
        <v>0.88649999999999995</v>
      </c>
      <c r="D115" s="907">
        <f>ROUND(0.8331-0.0109*B113,4)</f>
        <v>0.77859999999999996</v>
      </c>
      <c r="E115" s="907">
        <f>D115</f>
        <v>0.77859999999999996</v>
      </c>
      <c r="F115" s="907">
        <f>E115</f>
        <v>0.77859999999999996</v>
      </c>
      <c r="G115" s="907">
        <f>F115</f>
        <v>0.77859999999999996</v>
      </c>
      <c r="H115" s="907">
        <f>G115</f>
        <v>0.77859999999999996</v>
      </c>
      <c r="I115" s="907">
        <f>ROUND(0.689-0.0155*B113,4)</f>
        <v>0.61150000000000004</v>
      </c>
      <c r="J115" s="907">
        <f t="shared" ref="J115:M118" si="34">I115</f>
        <v>0.61150000000000004</v>
      </c>
      <c r="K115" s="907">
        <f t="shared" si="34"/>
        <v>0.61150000000000004</v>
      </c>
      <c r="L115" s="907">
        <f t="shared" si="34"/>
        <v>0.61150000000000004</v>
      </c>
      <c r="M115" s="908">
        <f t="shared" si="34"/>
        <v>0.61150000000000004</v>
      </c>
    </row>
    <row r="116" spans="1:13">
      <c r="A116" s="906" t="s">
        <v>2881</v>
      </c>
      <c r="B116" s="907">
        <f>ROUND(0.949-0.012*B113,4)</f>
        <v>0.88900000000000001</v>
      </c>
      <c r="C116" s="907">
        <f>B116</f>
        <v>0.88900000000000001</v>
      </c>
      <c r="D116" s="907">
        <f>ROUND(0.8567-0.013*B113,4)</f>
        <v>0.79169999999999996</v>
      </c>
      <c r="E116" s="907">
        <f t="shared" ref="E116:H117" si="35">D116</f>
        <v>0.79169999999999996</v>
      </c>
      <c r="F116" s="907">
        <f t="shared" si="35"/>
        <v>0.79169999999999996</v>
      </c>
      <c r="G116" s="907">
        <f t="shared" si="35"/>
        <v>0.79169999999999996</v>
      </c>
      <c r="H116" s="907">
        <f t="shared" si="35"/>
        <v>0.79169999999999996</v>
      </c>
      <c r="I116" s="907">
        <f>ROUND(0.7694-0.014*B113,4)</f>
        <v>0.69940000000000002</v>
      </c>
      <c r="J116" s="907">
        <f t="shared" si="34"/>
        <v>0.69940000000000002</v>
      </c>
      <c r="K116" s="907">
        <f t="shared" si="34"/>
        <v>0.69940000000000002</v>
      </c>
      <c r="L116" s="907">
        <f t="shared" si="34"/>
        <v>0.69940000000000002</v>
      </c>
      <c r="M116" s="908">
        <f t="shared" si="34"/>
        <v>0.69940000000000002</v>
      </c>
    </row>
    <row r="117" spans="1:13">
      <c r="A117" s="906" t="s">
        <v>2882</v>
      </c>
      <c r="B117" s="907">
        <f>ROUND(0.8808-0.006*B113,4)</f>
        <v>0.8508</v>
      </c>
      <c r="C117" s="907">
        <f>B117</f>
        <v>0.8508</v>
      </c>
      <c r="D117" s="907">
        <f>ROUND(0.8748-0.008*B113,4)</f>
        <v>0.83479999999999999</v>
      </c>
      <c r="E117" s="907">
        <f t="shared" si="35"/>
        <v>0.83479999999999999</v>
      </c>
      <c r="F117" s="907">
        <f t="shared" si="35"/>
        <v>0.83479999999999999</v>
      </c>
      <c r="G117" s="907">
        <f t="shared" si="35"/>
        <v>0.83479999999999999</v>
      </c>
      <c r="H117" s="907">
        <f t="shared" si="35"/>
        <v>0.83479999999999999</v>
      </c>
      <c r="I117" s="907">
        <f>ROUND(0.7412-0.0095*B113,4)</f>
        <v>0.69369999999999998</v>
      </c>
      <c r="J117" s="907">
        <f t="shared" si="34"/>
        <v>0.69369999999999998</v>
      </c>
      <c r="K117" s="907">
        <f t="shared" si="34"/>
        <v>0.69369999999999998</v>
      </c>
      <c r="L117" s="907">
        <f t="shared" si="34"/>
        <v>0.69369999999999998</v>
      </c>
      <c r="M117" s="908">
        <f t="shared" si="34"/>
        <v>0.69369999999999998</v>
      </c>
    </row>
    <row r="118" spans="1:13" ht="13.5" thickBot="1">
      <c r="A118" s="711" t="s">
        <v>2883</v>
      </c>
      <c r="B118" s="909">
        <f>ROUND(0.7275-0.01*B113,4)</f>
        <v>0.67749999999999999</v>
      </c>
      <c r="C118" s="909">
        <f>B118</f>
        <v>0.67749999999999999</v>
      </c>
      <c r="D118" s="909">
        <f>ROUND(0.7043-0.012*B113,4)</f>
        <v>0.64429999999999998</v>
      </c>
      <c r="E118" s="909">
        <f>D118</f>
        <v>0.64429999999999998</v>
      </c>
      <c r="F118" s="909">
        <f>E118</f>
        <v>0.64429999999999998</v>
      </c>
      <c r="G118" s="909">
        <f>ROUND(0.6299-0.0122*B113,4)</f>
        <v>0.56889999999999996</v>
      </c>
      <c r="H118" s="909">
        <f>G118</f>
        <v>0.56889999999999996</v>
      </c>
      <c r="I118" s="909">
        <f>ROUND(0.5667-0.0136*B113,4)</f>
        <v>0.49869999999999998</v>
      </c>
      <c r="J118" s="909">
        <f t="shared" si="34"/>
        <v>0.49869999999999998</v>
      </c>
      <c r="K118" s="909">
        <f t="shared" si="34"/>
        <v>0.49869999999999998</v>
      </c>
      <c r="L118" s="909">
        <f t="shared" si="34"/>
        <v>0.49869999999999998</v>
      </c>
      <c r="M118" s="910">
        <f t="shared" si="34"/>
        <v>0.49869999999999998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558" t="s">
        <v>183</v>
      </c>
      <c r="B18" s="879" t="s">
        <v>560</v>
      </c>
      <c r="C18" s="880" t="s">
        <v>561</v>
      </c>
      <c r="D18" s="881"/>
      <c r="E18" s="879">
        <v>1</v>
      </c>
      <c r="F18" s="882" t="s">
        <v>562</v>
      </c>
      <c r="G18" s="883"/>
      <c r="H18" s="875"/>
      <c r="I18" s="875"/>
    </row>
    <row r="19" spans="1:9" s="884" customFormat="1" ht="19.5" customHeight="1">
      <c r="A19" s="3558"/>
      <c r="B19" s="3558" t="s">
        <v>563</v>
      </c>
      <c r="C19" s="880" t="s">
        <v>564</v>
      </c>
      <c r="D19" s="881"/>
      <c r="E19" s="879">
        <v>0.9</v>
      </c>
      <c r="F19" s="882" t="s">
        <v>565</v>
      </c>
      <c r="G19" s="883"/>
      <c r="H19" s="875"/>
      <c r="I19" s="875"/>
    </row>
    <row r="20" spans="1:9" s="884" customFormat="1" ht="19.5" customHeight="1">
      <c r="A20" s="3558"/>
      <c r="B20" s="3558"/>
      <c r="C20" s="880" t="s">
        <v>566</v>
      </c>
      <c r="D20" s="881"/>
      <c r="E20" s="879">
        <v>1.1000000000000001</v>
      </c>
      <c r="F20" s="882" t="s">
        <v>567</v>
      </c>
      <c r="G20" s="883"/>
      <c r="H20" s="875"/>
      <c r="I20" s="875"/>
    </row>
    <row r="21" spans="1:9" s="884" customFormat="1" ht="19.5" customHeight="1">
      <c r="A21" s="3558"/>
      <c r="B21" s="3558"/>
      <c r="C21" s="880" t="s">
        <v>568</v>
      </c>
      <c r="D21" s="881"/>
      <c r="E21" s="879">
        <v>0.8</v>
      </c>
      <c r="F21" s="882" t="s">
        <v>569</v>
      </c>
      <c r="G21" s="883"/>
      <c r="H21" s="875"/>
      <c r="I21" s="875"/>
    </row>
    <row r="22" spans="1:9" s="884" customFormat="1" ht="19.5" customHeight="1">
      <c r="A22" s="3558"/>
      <c r="B22" s="3558"/>
      <c r="C22" s="880" t="s">
        <v>570</v>
      </c>
      <c r="D22" s="881"/>
      <c r="E22" s="879">
        <v>0.5</v>
      </c>
      <c r="F22" s="882"/>
      <c r="G22" s="883"/>
      <c r="H22" s="875"/>
      <c r="I22" s="875"/>
    </row>
    <row r="23" spans="1:9" s="884" customFormat="1" ht="19.5" customHeight="1">
      <c r="A23" s="3558" t="s">
        <v>184</v>
      </c>
      <c r="B23" s="879" t="s">
        <v>560</v>
      </c>
      <c r="C23" s="880" t="s">
        <v>571</v>
      </c>
      <c r="D23" s="881"/>
      <c r="E23" s="879">
        <v>1</v>
      </c>
      <c r="F23" s="882" t="s">
        <v>572</v>
      </c>
      <c r="G23" s="883"/>
      <c r="H23" s="875"/>
      <c r="I23" s="875"/>
    </row>
    <row r="24" spans="1:9" s="884" customFormat="1" ht="19.5" customHeight="1">
      <c r="A24" s="3558"/>
      <c r="B24" s="3558" t="s">
        <v>563</v>
      </c>
      <c r="C24" s="880" t="s">
        <v>573</v>
      </c>
      <c r="D24" s="881"/>
      <c r="E24" s="879">
        <v>0.5</v>
      </c>
      <c r="F24" s="882"/>
      <c r="G24" s="883"/>
      <c r="H24" s="875"/>
      <c r="I24" s="875"/>
    </row>
    <row r="25" spans="1:9" s="884" customFormat="1" ht="19.5" customHeight="1">
      <c r="A25" s="3558"/>
      <c r="B25" s="3558"/>
      <c r="C25" s="880" t="s">
        <v>574</v>
      </c>
      <c r="D25" s="881"/>
      <c r="E25" s="879">
        <v>1.1000000000000001</v>
      </c>
      <c r="F25" s="882"/>
      <c r="G25" s="883"/>
      <c r="H25" s="875"/>
      <c r="I25" s="875"/>
    </row>
    <row r="26" spans="1:9" s="884" customFormat="1" ht="19.5" customHeight="1">
      <c r="A26" s="3558"/>
      <c r="B26" s="3558"/>
      <c r="C26" s="880" t="s">
        <v>575</v>
      </c>
      <c r="D26" s="881"/>
      <c r="E26" s="879">
        <v>1.1000000000000001</v>
      </c>
      <c r="F26" s="882"/>
      <c r="G26" s="883"/>
      <c r="H26" s="875"/>
      <c r="I26" s="875"/>
    </row>
    <row r="27" spans="1:9" s="884" customFormat="1" ht="19.5" customHeight="1">
      <c r="A27" s="3558"/>
      <c r="B27" s="3558"/>
      <c r="C27" s="880" t="s">
        <v>576</v>
      </c>
      <c r="D27" s="881"/>
      <c r="E27" s="879">
        <v>0.9</v>
      </c>
      <c r="F27" s="882" t="s">
        <v>577</v>
      </c>
      <c r="G27" s="883"/>
      <c r="H27" s="875"/>
      <c r="I27" s="875"/>
    </row>
    <row r="28" spans="1:9" s="884" customFormat="1" ht="19.5" customHeight="1">
      <c r="A28" s="3558"/>
      <c r="B28" s="3558"/>
      <c r="C28" s="880" t="s">
        <v>578</v>
      </c>
      <c r="D28" s="881"/>
      <c r="E28" s="879">
        <v>0.9</v>
      </c>
      <c r="F28" s="882" t="s">
        <v>579</v>
      </c>
      <c r="G28" s="883"/>
      <c r="H28" s="875"/>
      <c r="I28" s="875"/>
    </row>
    <row r="29" spans="1:9" s="884" customFormat="1" ht="19.5" customHeight="1">
      <c r="A29" s="3558"/>
      <c r="B29" s="3558"/>
      <c r="C29" s="880" t="s">
        <v>580</v>
      </c>
      <c r="D29" s="881"/>
      <c r="E29" s="879">
        <v>0.9</v>
      </c>
      <c r="F29" s="882" t="s">
        <v>581</v>
      </c>
      <c r="G29" s="883"/>
      <c r="H29" s="875"/>
      <c r="I29" s="875"/>
    </row>
    <row r="30" spans="1:9" s="884" customFormat="1" ht="19.5" customHeight="1">
      <c r="A30" s="3558"/>
      <c r="B30" s="3558"/>
      <c r="C30" s="880" t="s">
        <v>582</v>
      </c>
      <c r="D30" s="881"/>
      <c r="E30" s="879">
        <v>0.9</v>
      </c>
      <c r="F30" s="882" t="s">
        <v>583</v>
      </c>
      <c r="G30" s="883"/>
      <c r="H30" s="875"/>
      <c r="I30" s="875"/>
    </row>
    <row r="31" spans="1:9" s="884" customFormat="1" ht="19.5" customHeight="1">
      <c r="A31" s="3558"/>
      <c r="B31" s="3558"/>
      <c r="C31" s="880" t="s">
        <v>584</v>
      </c>
      <c r="D31" s="881"/>
      <c r="E31" s="879">
        <v>0.8</v>
      </c>
      <c r="F31" s="882" t="s">
        <v>585</v>
      </c>
      <c r="G31" s="883"/>
      <c r="H31" s="875"/>
      <c r="I31" s="875"/>
    </row>
    <row r="32" spans="1:9" s="884" customFormat="1" ht="19.5" customHeight="1">
      <c r="A32" s="3558"/>
      <c r="B32" s="3558"/>
      <c r="C32" s="880" t="s">
        <v>586</v>
      </c>
      <c r="D32" s="881"/>
      <c r="E32" s="879">
        <v>0.8</v>
      </c>
      <c r="F32" s="882" t="s">
        <v>587</v>
      </c>
      <c r="G32" s="883"/>
      <c r="H32" s="875"/>
      <c r="I32" s="875"/>
    </row>
    <row r="33" spans="1:9" s="884" customFormat="1" ht="19.5" customHeight="1">
      <c r="A33" s="3558" t="s">
        <v>185</v>
      </c>
      <c r="B33" s="879" t="s">
        <v>560</v>
      </c>
      <c r="C33" s="880" t="s">
        <v>588</v>
      </c>
      <c r="D33" s="881"/>
      <c r="E33" s="879">
        <v>1</v>
      </c>
      <c r="F33" s="882" t="s">
        <v>589</v>
      </c>
      <c r="G33" s="883"/>
      <c r="H33" s="875"/>
      <c r="I33" s="875"/>
    </row>
    <row r="34" spans="1:9" s="884" customFormat="1" ht="19.5" customHeight="1">
      <c r="A34" s="3558"/>
      <c r="B34" s="879" t="s">
        <v>563</v>
      </c>
      <c r="C34" s="880" t="s">
        <v>590</v>
      </c>
      <c r="D34" s="881"/>
      <c r="E34" s="879">
        <v>1.5</v>
      </c>
      <c r="F34" s="882" t="s">
        <v>591</v>
      </c>
      <c r="G34" s="883"/>
      <c r="H34" s="875"/>
      <c r="I34" s="875"/>
    </row>
    <row r="35" spans="1:9" s="884" customFormat="1" ht="19.5" customHeight="1">
      <c r="A35" s="3558" t="s">
        <v>186</v>
      </c>
      <c r="B35" s="879" t="s">
        <v>560</v>
      </c>
      <c r="C35" s="880" t="s">
        <v>592</v>
      </c>
      <c r="D35" s="881"/>
      <c r="E35" s="879">
        <v>1</v>
      </c>
      <c r="F35" s="882" t="s">
        <v>593</v>
      </c>
      <c r="G35" s="883"/>
      <c r="H35" s="875"/>
      <c r="I35" s="875"/>
    </row>
    <row r="36" spans="1:9" s="884" customFormat="1" ht="19.5" customHeight="1">
      <c r="A36" s="3558"/>
      <c r="B36" s="3558" t="s">
        <v>563</v>
      </c>
      <c r="C36" s="880" t="s">
        <v>594</v>
      </c>
      <c r="D36" s="881"/>
      <c r="E36" s="879">
        <v>1</v>
      </c>
      <c r="F36" s="882" t="s">
        <v>595</v>
      </c>
      <c r="G36" s="883"/>
      <c r="H36" s="875"/>
      <c r="I36" s="875"/>
    </row>
    <row r="37" spans="1:9" s="884" customFormat="1" ht="19.5" customHeight="1">
      <c r="A37" s="3558"/>
      <c r="B37" s="3558"/>
      <c r="C37" s="880" t="s">
        <v>596</v>
      </c>
      <c r="D37" s="881"/>
      <c r="E37" s="879">
        <v>1.5</v>
      </c>
      <c r="F37" s="882" t="s">
        <v>597</v>
      </c>
      <c r="G37" s="883"/>
      <c r="H37" s="875"/>
      <c r="I37" s="875"/>
    </row>
    <row r="38" spans="1:9" s="884" customFormat="1" ht="19.5" customHeight="1">
      <c r="A38" s="3558"/>
      <c r="B38" s="3558"/>
      <c r="C38" s="880" t="s">
        <v>598</v>
      </c>
      <c r="D38" s="881"/>
      <c r="E38" s="879">
        <v>1</v>
      </c>
      <c r="F38" s="882" t="s">
        <v>599</v>
      </c>
      <c r="G38" s="883"/>
      <c r="H38" s="875"/>
      <c r="I38" s="875"/>
    </row>
    <row r="39" spans="1:9" s="884" customFormat="1" ht="19.5" customHeight="1">
      <c r="A39" s="3558"/>
      <c r="B39" s="355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558" t="s">
        <v>614</v>
      </c>
      <c r="C61" s="815" t="s">
        <v>615</v>
      </c>
      <c r="D61" s="815" t="s">
        <v>616</v>
      </c>
      <c r="E61" s="892">
        <v>0.5</v>
      </c>
      <c r="F61" s="879">
        <v>80</v>
      </c>
    </row>
    <row r="62" spans="1:8" s="875" customFormat="1" ht="24">
      <c r="A62" s="879">
        <v>2</v>
      </c>
      <c r="B62" s="3558"/>
      <c r="C62" s="815" t="s">
        <v>617</v>
      </c>
      <c r="D62" s="815" t="s">
        <v>618</v>
      </c>
      <c r="E62" s="892">
        <v>0.5</v>
      </c>
      <c r="F62" s="879">
        <v>80</v>
      </c>
    </row>
    <row r="63" spans="1:8" s="875" customFormat="1" ht="36">
      <c r="A63" s="879">
        <v>3</v>
      </c>
      <c r="B63" s="3558"/>
      <c r="C63" s="815" t="s">
        <v>619</v>
      </c>
      <c r="D63" s="815" t="s">
        <v>620</v>
      </c>
      <c r="E63" s="892">
        <v>0.5</v>
      </c>
      <c r="F63" s="879">
        <v>80</v>
      </c>
    </row>
    <row r="64" spans="1:8" s="875" customFormat="1" ht="36">
      <c r="A64" s="879">
        <v>4</v>
      </c>
      <c r="B64" s="3558"/>
      <c r="C64" s="815" t="s">
        <v>621</v>
      </c>
      <c r="D64" s="815" t="s">
        <v>622</v>
      </c>
      <c r="E64" s="892">
        <v>0.4</v>
      </c>
      <c r="F64" s="879">
        <v>60</v>
      </c>
    </row>
    <row r="65" spans="1:6" s="875" customFormat="1" ht="36">
      <c r="A65" s="879">
        <v>5</v>
      </c>
      <c r="B65" s="3558"/>
      <c r="C65" s="815" t="s">
        <v>623</v>
      </c>
      <c r="D65" s="815" t="s">
        <v>624</v>
      </c>
      <c r="E65" s="892">
        <v>0.2</v>
      </c>
      <c r="F65" s="879">
        <v>30</v>
      </c>
    </row>
    <row r="66" spans="1:6" s="875" customFormat="1" ht="36">
      <c r="A66" s="879">
        <v>6</v>
      </c>
      <c r="B66" s="3558"/>
      <c r="C66" s="815" t="s">
        <v>625</v>
      </c>
      <c r="D66" s="815" t="s">
        <v>626</v>
      </c>
      <c r="E66" s="892">
        <v>0.3</v>
      </c>
      <c r="F66" s="879">
        <v>50</v>
      </c>
    </row>
    <row r="67" spans="1:6" s="875" customFormat="1" ht="36">
      <c r="A67" s="879">
        <v>7</v>
      </c>
      <c r="B67" s="3558"/>
      <c r="C67" s="815" t="s">
        <v>627</v>
      </c>
      <c r="D67" s="815" t="s">
        <v>628</v>
      </c>
      <c r="E67" s="892">
        <v>0.2</v>
      </c>
      <c r="F67" s="879">
        <v>30</v>
      </c>
    </row>
    <row r="68" spans="1:6" s="875" customFormat="1" ht="36">
      <c r="A68" s="879">
        <v>8</v>
      </c>
      <c r="B68" s="3558"/>
      <c r="C68" s="815" t="s">
        <v>629</v>
      </c>
      <c r="D68" s="815" t="s">
        <v>630</v>
      </c>
      <c r="E68" s="892">
        <v>0.2</v>
      </c>
      <c r="F68" s="879">
        <v>30</v>
      </c>
    </row>
    <row r="69" spans="1:6" s="875" customFormat="1" ht="36">
      <c r="A69" s="879">
        <v>9</v>
      </c>
      <c r="B69" s="3558"/>
      <c r="C69" s="815" t="s">
        <v>631</v>
      </c>
      <c r="D69" s="815" t="s">
        <v>632</v>
      </c>
      <c r="E69" s="892">
        <v>0.2</v>
      </c>
      <c r="F69" s="879">
        <v>30</v>
      </c>
    </row>
    <row r="70" spans="1:6" s="875" customFormat="1" ht="48">
      <c r="A70" s="879">
        <v>10</v>
      </c>
      <c r="B70" s="3558"/>
      <c r="C70" s="815" t="s">
        <v>633</v>
      </c>
      <c r="D70" s="815" t="s">
        <v>634</v>
      </c>
      <c r="E70" s="892">
        <v>0.2</v>
      </c>
      <c r="F70" s="879">
        <v>30</v>
      </c>
    </row>
    <row r="71" spans="1:6" s="875" customFormat="1" ht="48">
      <c r="A71" s="879">
        <v>11</v>
      </c>
      <c r="B71" s="3558"/>
      <c r="C71" s="815" t="s">
        <v>635</v>
      </c>
      <c r="D71" s="815" t="s">
        <v>636</v>
      </c>
      <c r="E71" s="892">
        <v>0.2</v>
      </c>
      <c r="F71" s="879">
        <v>30</v>
      </c>
    </row>
    <row r="72" spans="1:6" s="875" customFormat="1" ht="36">
      <c r="A72" s="879">
        <v>12</v>
      </c>
      <c r="B72" s="3558"/>
      <c r="C72" s="815" t="s">
        <v>637</v>
      </c>
      <c r="D72" s="815" t="s">
        <v>638</v>
      </c>
      <c r="E72" s="892">
        <v>0.5</v>
      </c>
      <c r="F72" s="879">
        <v>80</v>
      </c>
    </row>
    <row r="73" spans="1:6" s="875" customFormat="1" ht="24">
      <c r="A73" s="879">
        <v>13</v>
      </c>
      <c r="B73" s="3558"/>
      <c r="C73" s="815" t="s">
        <v>639</v>
      </c>
      <c r="D73" s="815" t="s">
        <v>640</v>
      </c>
      <c r="E73" s="892">
        <v>0.4</v>
      </c>
      <c r="F73" s="879">
        <v>60</v>
      </c>
    </row>
    <row r="74" spans="1:6" s="875" customFormat="1" ht="24">
      <c r="A74" s="879">
        <v>14</v>
      </c>
      <c r="B74" s="3558"/>
      <c r="C74" s="815" t="s">
        <v>641</v>
      </c>
      <c r="D74" s="815" t="s">
        <v>642</v>
      </c>
      <c r="E74" s="892">
        <v>0.2</v>
      </c>
      <c r="F74" s="879">
        <v>30</v>
      </c>
    </row>
    <row r="75" spans="1:6" s="875" customFormat="1" ht="24">
      <c r="A75" s="879">
        <v>15</v>
      </c>
      <c r="B75" s="3558"/>
      <c r="C75" s="815" t="s">
        <v>643</v>
      </c>
      <c r="D75" s="815" t="s">
        <v>644</v>
      </c>
      <c r="E75" s="892">
        <v>0.2</v>
      </c>
      <c r="F75" s="879">
        <v>30</v>
      </c>
    </row>
    <row r="76" spans="1:6" s="875" customFormat="1" ht="24">
      <c r="A76" s="879">
        <v>16</v>
      </c>
      <c r="B76" s="3558" t="s">
        <v>645</v>
      </c>
      <c r="C76" s="815" t="s">
        <v>646</v>
      </c>
      <c r="D76" s="815" t="s">
        <v>647</v>
      </c>
      <c r="E76" s="892">
        <v>0.5</v>
      </c>
      <c r="F76" s="879">
        <v>80</v>
      </c>
    </row>
    <row r="77" spans="1:6" s="875" customFormat="1" ht="24">
      <c r="A77" s="879">
        <v>17</v>
      </c>
      <c r="B77" s="3558"/>
      <c r="C77" s="815" t="s">
        <v>648</v>
      </c>
      <c r="D77" s="815" t="s">
        <v>649</v>
      </c>
      <c r="E77" s="892">
        <v>0.5</v>
      </c>
      <c r="F77" s="879">
        <v>80</v>
      </c>
    </row>
    <row r="78" spans="1:6" s="875" customFormat="1" ht="24">
      <c r="A78" s="879">
        <v>18</v>
      </c>
      <c r="B78" s="3558"/>
      <c r="C78" s="815" t="s">
        <v>650</v>
      </c>
      <c r="D78" s="815" t="s">
        <v>651</v>
      </c>
      <c r="E78" s="892">
        <v>0.2</v>
      </c>
      <c r="F78" s="879">
        <v>30</v>
      </c>
    </row>
    <row r="79" spans="1:6" s="875" customFormat="1" ht="24">
      <c r="A79" s="879">
        <v>19</v>
      </c>
      <c r="B79" s="3558"/>
      <c r="C79" s="815" t="s">
        <v>652</v>
      </c>
      <c r="D79" s="815" t="s">
        <v>653</v>
      </c>
      <c r="E79" s="892">
        <v>0.5</v>
      </c>
      <c r="F79" s="879">
        <v>80</v>
      </c>
    </row>
    <row r="80" spans="1:6" s="875" customFormat="1" ht="36">
      <c r="A80" s="879">
        <v>20</v>
      </c>
      <c r="B80" s="3558"/>
      <c r="C80" s="815" t="s">
        <v>654</v>
      </c>
      <c r="D80" s="815" t="s">
        <v>655</v>
      </c>
      <c r="E80" s="892">
        <v>0.2</v>
      </c>
      <c r="F80" s="879">
        <v>30</v>
      </c>
    </row>
    <row r="81" spans="1:6" s="875" customFormat="1" ht="36">
      <c r="A81" s="879">
        <v>21</v>
      </c>
      <c r="B81" s="3558"/>
      <c r="C81" s="815" t="s">
        <v>656</v>
      </c>
      <c r="D81" s="815" t="s">
        <v>657</v>
      </c>
      <c r="E81" s="892">
        <v>0.2</v>
      </c>
      <c r="F81" s="879">
        <v>30</v>
      </c>
    </row>
    <row r="82" spans="1:6" s="875" customFormat="1" ht="48">
      <c r="A82" s="879">
        <v>22</v>
      </c>
      <c r="B82" s="3558"/>
      <c r="C82" s="815" t="s">
        <v>658</v>
      </c>
      <c r="D82" s="815" t="s">
        <v>659</v>
      </c>
      <c r="E82" s="892">
        <v>0.2</v>
      </c>
      <c r="F82" s="879">
        <v>30</v>
      </c>
    </row>
    <row r="83" spans="1:6" s="875" customFormat="1" ht="48">
      <c r="A83" s="879">
        <v>23</v>
      </c>
      <c r="B83" s="3558"/>
      <c r="C83" s="815" t="s">
        <v>660</v>
      </c>
      <c r="D83" s="815" t="s">
        <v>661</v>
      </c>
      <c r="E83" s="892">
        <v>0.2</v>
      </c>
      <c r="F83" s="879">
        <v>30</v>
      </c>
    </row>
    <row r="84" spans="1:6" s="875" customFormat="1" ht="36">
      <c r="A84" s="879">
        <v>24</v>
      </c>
      <c r="B84" s="3558"/>
      <c r="C84" s="815" t="s">
        <v>662</v>
      </c>
      <c r="D84" s="815" t="s">
        <v>663</v>
      </c>
      <c r="E84" s="892">
        <v>0.2</v>
      </c>
      <c r="F84" s="879">
        <v>30</v>
      </c>
    </row>
    <row r="85" spans="1:6" s="875" customFormat="1" ht="36">
      <c r="A85" s="879">
        <v>25</v>
      </c>
      <c r="B85" s="3558"/>
      <c r="C85" s="815" t="s">
        <v>664</v>
      </c>
      <c r="D85" s="815" t="s">
        <v>665</v>
      </c>
      <c r="E85" s="892">
        <v>0.5</v>
      </c>
      <c r="F85" s="879">
        <v>80</v>
      </c>
    </row>
    <row r="86" spans="1:6" s="875" customFormat="1" ht="36">
      <c r="A86" s="879">
        <v>26</v>
      </c>
      <c r="B86" s="3558"/>
      <c r="C86" s="815" t="s">
        <v>666</v>
      </c>
      <c r="D86" s="815" t="s">
        <v>667</v>
      </c>
      <c r="E86" s="892">
        <v>0.2</v>
      </c>
      <c r="F86" s="879">
        <v>30</v>
      </c>
    </row>
    <row r="87" spans="1:6" s="875" customFormat="1" ht="36">
      <c r="A87" s="879">
        <v>27</v>
      </c>
      <c r="B87" s="3558"/>
      <c r="C87" s="815" t="s">
        <v>668</v>
      </c>
      <c r="D87" s="815" t="s">
        <v>669</v>
      </c>
      <c r="E87" s="892">
        <v>0.2</v>
      </c>
      <c r="F87" s="879">
        <v>30</v>
      </c>
    </row>
    <row r="88" spans="1:6" s="875" customFormat="1" ht="36">
      <c r="A88" s="879">
        <v>28</v>
      </c>
      <c r="B88" s="3558"/>
      <c r="C88" s="815" t="s">
        <v>670</v>
      </c>
      <c r="D88" s="815" t="s">
        <v>671</v>
      </c>
      <c r="E88" s="892">
        <v>0.2</v>
      </c>
      <c r="F88" s="879">
        <v>30</v>
      </c>
    </row>
    <row r="89" spans="1:6" s="875" customFormat="1" ht="24">
      <c r="A89" s="879">
        <v>29</v>
      </c>
      <c r="B89" s="3558"/>
      <c r="C89" s="815" t="s">
        <v>672</v>
      </c>
      <c r="D89" s="815" t="s">
        <v>673</v>
      </c>
      <c r="E89" s="892">
        <v>0.2</v>
      </c>
      <c r="F89" s="879">
        <v>30</v>
      </c>
    </row>
    <row r="90" spans="1:6" s="875" customFormat="1" ht="24">
      <c r="A90" s="879">
        <v>30</v>
      </c>
      <c r="B90" s="3558"/>
      <c r="C90" s="815" t="s">
        <v>674</v>
      </c>
      <c r="D90" s="815" t="s">
        <v>675</v>
      </c>
      <c r="E90" s="892">
        <v>0.2</v>
      </c>
      <c r="F90" s="879">
        <v>30</v>
      </c>
    </row>
    <row r="91" spans="1:6" s="875" customFormat="1" ht="36">
      <c r="A91" s="879">
        <v>31</v>
      </c>
      <c r="B91" s="3558"/>
      <c r="C91" s="815" t="s">
        <v>676</v>
      </c>
      <c r="D91" s="815" t="s">
        <v>677</v>
      </c>
      <c r="E91" s="892">
        <v>0.2</v>
      </c>
      <c r="F91" s="879">
        <v>30</v>
      </c>
    </row>
    <row r="92" spans="1:6" s="875" customFormat="1" ht="24">
      <c r="A92" s="879">
        <v>32</v>
      </c>
      <c r="B92" s="3558" t="s">
        <v>678</v>
      </c>
      <c r="C92" s="879" t="s">
        <v>679</v>
      </c>
      <c r="D92" s="815" t="s">
        <v>680</v>
      </c>
      <c r="E92" s="892">
        <v>0.2</v>
      </c>
      <c r="F92" s="879">
        <v>30</v>
      </c>
    </row>
    <row r="93" spans="1:6" s="875" customFormat="1" ht="36">
      <c r="A93" s="879">
        <v>33</v>
      </c>
      <c r="B93" s="3558"/>
      <c r="C93" s="879" t="s">
        <v>681</v>
      </c>
      <c r="D93" s="815" t="s">
        <v>682</v>
      </c>
      <c r="E93" s="892">
        <v>0.2</v>
      </c>
      <c r="F93" s="879">
        <v>30</v>
      </c>
    </row>
    <row r="94" spans="1:6" s="875" customFormat="1" ht="48">
      <c r="A94" s="879">
        <v>34</v>
      </c>
      <c r="B94" s="3558"/>
      <c r="C94" s="879" t="s">
        <v>683</v>
      </c>
      <c r="D94" s="815" t="s">
        <v>684</v>
      </c>
      <c r="E94" s="892">
        <v>0.2</v>
      </c>
      <c r="F94" s="879">
        <v>30</v>
      </c>
    </row>
    <row r="95" spans="1:6" s="875" customFormat="1" ht="36">
      <c r="A95" s="879">
        <v>35</v>
      </c>
      <c r="B95" s="3558"/>
      <c r="C95" s="879" t="s">
        <v>685</v>
      </c>
      <c r="D95" s="815" t="s">
        <v>686</v>
      </c>
      <c r="E95" s="892">
        <v>0.2</v>
      </c>
      <c r="F95" s="879">
        <v>30</v>
      </c>
    </row>
    <row r="96" spans="1:6" s="875" customFormat="1" ht="48">
      <c r="A96" s="879">
        <v>36</v>
      </c>
      <c r="B96" s="3558"/>
      <c r="C96" s="815" t="s">
        <v>687</v>
      </c>
      <c r="D96" s="815" t="s">
        <v>688</v>
      </c>
      <c r="E96" s="892">
        <v>0.2</v>
      </c>
      <c r="F96" s="879">
        <v>30</v>
      </c>
    </row>
    <row r="97" spans="1:6" s="875" customFormat="1" ht="36">
      <c r="A97" s="879">
        <v>37</v>
      </c>
      <c r="B97" s="3558"/>
      <c r="C97" s="879" t="s">
        <v>689</v>
      </c>
      <c r="D97" s="815" t="s">
        <v>690</v>
      </c>
      <c r="E97" s="892">
        <v>0.2</v>
      </c>
      <c r="F97" s="879">
        <v>30</v>
      </c>
    </row>
    <row r="98" spans="1:6" s="875" customFormat="1" ht="36">
      <c r="A98" s="879">
        <v>38</v>
      </c>
      <c r="B98" s="3558"/>
      <c r="C98" s="879" t="s">
        <v>691</v>
      </c>
      <c r="D98" s="815" t="s">
        <v>692</v>
      </c>
      <c r="E98" s="892">
        <v>0.2</v>
      </c>
      <c r="F98" s="879">
        <v>30</v>
      </c>
    </row>
    <row r="99" spans="1:6" s="875" customFormat="1" ht="36">
      <c r="A99" s="879">
        <v>39</v>
      </c>
      <c r="B99" s="3558" t="s">
        <v>693</v>
      </c>
      <c r="C99" s="879" t="s">
        <v>694</v>
      </c>
      <c r="D99" s="815" t="s">
        <v>695</v>
      </c>
      <c r="E99" s="892">
        <v>0.3</v>
      </c>
      <c r="F99" s="879">
        <v>50</v>
      </c>
    </row>
    <row r="100" spans="1:6" s="875" customFormat="1" ht="24">
      <c r="A100" s="879">
        <v>40</v>
      </c>
      <c r="B100" s="3558"/>
      <c r="C100" s="879" t="s">
        <v>696</v>
      </c>
      <c r="D100" s="815" t="s">
        <v>697</v>
      </c>
      <c r="E100" s="892">
        <v>0.2</v>
      </c>
      <c r="F100" s="879">
        <v>30</v>
      </c>
    </row>
    <row r="101" spans="1:6" s="875" customFormat="1" ht="36">
      <c r="A101" s="879">
        <v>41</v>
      </c>
      <c r="B101" s="355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558" t="s">
        <v>708</v>
      </c>
      <c r="C105" s="879" t="s">
        <v>709</v>
      </c>
      <c r="D105" s="815" t="s">
        <v>710</v>
      </c>
      <c r="E105" s="892">
        <v>0.2</v>
      </c>
      <c r="F105" s="879">
        <v>30</v>
      </c>
    </row>
    <row r="106" spans="1:6" s="875" customFormat="1" ht="36">
      <c r="A106" s="879">
        <v>46</v>
      </c>
      <c r="B106" s="3558"/>
      <c r="C106" s="879" t="s">
        <v>711</v>
      </c>
      <c r="D106" s="815" t="s">
        <v>712</v>
      </c>
      <c r="E106" s="892">
        <v>0.2</v>
      </c>
      <c r="F106" s="879">
        <v>30</v>
      </c>
    </row>
    <row r="107" spans="1:6" s="875" customFormat="1" ht="36">
      <c r="A107" s="879">
        <v>47</v>
      </c>
      <c r="B107" s="3558" t="s">
        <v>713</v>
      </c>
      <c r="C107" s="879" t="s">
        <v>714</v>
      </c>
      <c r="D107" s="815" t="s">
        <v>715</v>
      </c>
      <c r="E107" s="892">
        <v>0.3</v>
      </c>
      <c r="F107" s="879">
        <v>50</v>
      </c>
    </row>
    <row r="108" spans="1:6" s="875" customFormat="1" ht="36">
      <c r="A108" s="879">
        <v>48</v>
      </c>
      <c r="B108" s="355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558" t="s">
        <v>724</v>
      </c>
      <c r="C111" s="879" t="s">
        <v>725</v>
      </c>
      <c r="D111" s="815" t="s">
        <v>726</v>
      </c>
      <c r="E111" s="892">
        <v>0.2</v>
      </c>
      <c r="F111" s="879">
        <v>30</v>
      </c>
    </row>
    <row r="112" spans="1:6" s="875" customFormat="1" ht="24">
      <c r="A112" s="879">
        <v>52</v>
      </c>
      <c r="B112" s="3558"/>
      <c r="C112" s="879" t="s">
        <v>727</v>
      </c>
      <c r="D112" s="815" t="s">
        <v>728</v>
      </c>
      <c r="E112" s="892">
        <v>0.2</v>
      </c>
      <c r="F112" s="879">
        <v>30</v>
      </c>
    </row>
    <row r="113" spans="1:6" s="875" customFormat="1" ht="24">
      <c r="A113" s="879">
        <v>53</v>
      </c>
      <c r="B113" s="355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558" t="s">
        <v>737</v>
      </c>
      <c r="C116" s="879" t="s">
        <v>738</v>
      </c>
      <c r="D116" s="815" t="s">
        <v>739</v>
      </c>
      <c r="E116" s="892">
        <v>0.2</v>
      </c>
      <c r="F116" s="879">
        <v>30</v>
      </c>
    </row>
    <row r="117" spans="1:6" ht="36">
      <c r="A117" s="879">
        <v>57</v>
      </c>
      <c r="B117" s="355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0.82030000000000003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564" t="s">
        <v>1146</v>
      </c>
      <c r="C1" s="3564"/>
      <c r="D1" s="3564"/>
      <c r="E1" s="3564"/>
      <c r="F1" s="3564"/>
      <c r="G1" s="3563" t="s">
        <v>1147</v>
      </c>
      <c r="H1" s="3563"/>
      <c r="I1" s="3563"/>
      <c r="J1" s="3563"/>
      <c r="K1" s="3563"/>
      <c r="L1" s="3563"/>
      <c r="N1" s="3563" t="s">
        <v>1148</v>
      </c>
      <c r="O1" s="3563"/>
      <c r="P1" s="3563"/>
      <c r="Q1" s="3563"/>
      <c r="R1" s="1445"/>
      <c r="S1" s="3563" t="s">
        <v>1149</v>
      </c>
      <c r="T1" s="3563"/>
      <c r="U1" s="3563"/>
      <c r="V1" s="3563"/>
      <c r="X1" s="3562" t="s">
        <v>1150</v>
      </c>
      <c r="Y1" s="3563"/>
      <c r="Z1" s="3563"/>
      <c r="AA1" s="3563"/>
      <c r="AB1" s="3563"/>
      <c r="AD1" s="3562" t="s">
        <v>1151</v>
      </c>
      <c r="AE1" s="3563"/>
      <c r="AF1" s="3563"/>
      <c r="AG1" s="3563"/>
      <c r="AH1" s="3563"/>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4" customFormat="1" ht="14.25">
      <c r="A3" s="2933" t="s">
        <v>3037</v>
      </c>
      <c r="B3" s="2925"/>
      <c r="C3" s="2925"/>
      <c r="D3" s="2926"/>
      <c r="E3" s="2926"/>
      <c r="F3" s="2925"/>
      <c r="G3" s="2927"/>
      <c r="H3" s="2928"/>
      <c r="I3" s="2929">
        <f>ROUND(AVERAGE($I4:$I25),2)</f>
        <v>2.13</v>
      </c>
      <c r="J3" s="2929">
        <f>ROUND(AVERAGE($J4:$J25),2)</f>
        <v>1.51</v>
      </c>
      <c r="K3" s="2929">
        <f>ROUND(AVERAGE($K4:$K25),2)</f>
        <v>2.34</v>
      </c>
      <c r="L3" s="2929">
        <f>ROUND(AVERAGE($L4:$L25),2)</f>
        <v>1.42</v>
      </c>
      <c r="N3" s="2927"/>
      <c r="O3" s="2930"/>
      <c r="P3" s="2930"/>
      <c r="Q3" s="2930"/>
      <c r="R3" s="2930"/>
      <c r="S3" s="2927"/>
      <c r="T3" s="2930"/>
      <c r="U3" s="2930"/>
      <c r="V3" s="2930"/>
      <c r="W3" s="2922"/>
      <c r="X3" s="2931">
        <f>ROUND(SUMPRODUCT(PRODUCT(1+N3:N$24)),4)</f>
        <v>1.5099</v>
      </c>
      <c r="Y3" s="2931">
        <f>ROUND(SUMPRODUCT(PRODUCT(1+O3:O$24)),4)</f>
        <v>1.3372999999999999</v>
      </c>
      <c r="Z3" s="2931">
        <f t="shared" ref="Z3:Z22" si="0">Y3</f>
        <v>1.3372999999999999</v>
      </c>
      <c r="AA3" s="2931">
        <f>ROUND(SUMPRODUCT(PRODUCT(1+P3:P$24)),4)</f>
        <v>1.5683</v>
      </c>
      <c r="AB3" s="2931">
        <f>ROUND(SUMPRODUCT(PRODUCT(1+Q3:Q$24)),4)</f>
        <v>1.3255999999999999</v>
      </c>
      <c r="AD3" s="2932">
        <f>ROUND(AVERAGE(I3:I$25)/100,4)</f>
        <v>2.1299999999999999E-2</v>
      </c>
      <c r="AE3" s="2932">
        <f>ROUND(AVERAGE(J3:J$25)/100,4)</f>
        <v>1.5100000000000001E-2</v>
      </c>
      <c r="AF3" s="2932">
        <f t="shared" ref="AF3:AF23" si="1">AE3</f>
        <v>1.5100000000000001E-2</v>
      </c>
      <c r="AG3" s="2932">
        <f>ROUND(AVERAGE(K3:K$25)/100,4)</f>
        <v>2.3400000000000001E-2</v>
      </c>
      <c r="AH3" s="2932">
        <f>ROUND(AVERAGE(L3:L$25)/100,4)</f>
        <v>1.4200000000000001E-2</v>
      </c>
    </row>
    <row r="4" spans="1:34" s="1452" customFormat="1" ht="14.25">
      <c r="B4" s="1453"/>
      <c r="C4" s="1453"/>
      <c r="D4" s="1454"/>
      <c r="E4" s="1454"/>
      <c r="F4" s="1453"/>
      <c r="G4" s="1455"/>
      <c r="H4" s="1456"/>
      <c r="I4" s="2919"/>
      <c r="J4" s="2919"/>
      <c r="K4" s="2919"/>
      <c r="L4" s="2919"/>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7">
        <v>2019</v>
      </c>
      <c r="H5" s="1729">
        <v>1</v>
      </c>
      <c r="I5" s="2920">
        <v>0</v>
      </c>
      <c r="J5" s="2920">
        <v>0</v>
      </c>
      <c r="K5" s="2920">
        <v>0</v>
      </c>
      <c r="L5" s="2920">
        <v>0</v>
      </c>
      <c r="N5" s="1466">
        <f>I5/100</f>
        <v>0</v>
      </c>
      <c r="O5" s="1466">
        <f t="shared" ref="O5" si="7">J5/100</f>
        <v>0</v>
      </c>
      <c r="P5" s="1466">
        <f t="shared" ref="P5" si="8">K5/100</f>
        <v>0</v>
      </c>
      <c r="Q5" s="1466">
        <f t="shared" ref="Q5" si="9">L5/100</f>
        <v>0</v>
      </c>
      <c r="R5" s="1731"/>
      <c r="S5" s="1732"/>
      <c r="T5" s="1731"/>
      <c r="U5" s="1731"/>
      <c r="V5" s="1731"/>
      <c r="W5" s="2923" t="s">
        <v>3038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7">
        <f>ROUND(AVERAGE(I5:I$25)/100,4)</f>
        <v>2.1299999999999999E-2</v>
      </c>
      <c r="AE5" s="1467">
        <f>ROUND(AVERAGE(J5:J$25)/100,4)</f>
        <v>1.5100000000000001E-2</v>
      </c>
      <c r="AF5" s="1467">
        <f t="shared" ref="AF5" si="11">AE5</f>
        <v>1.5100000000000001E-2</v>
      </c>
      <c r="AG5" s="1467">
        <f>ROUND(AVERAGE(K5:K$25)/100,4)</f>
        <v>2.3400000000000001E-2</v>
      </c>
      <c r="AH5" s="1467">
        <f>ROUND(AVERAGE(L5:L$25)/100,4)</f>
        <v>1.4200000000000001E-2</v>
      </c>
    </row>
    <row r="6" spans="1:34" s="1465" customFormat="1">
      <c r="A6" s="1460" t="s">
        <v>3051</v>
      </c>
      <c r="B6" s="1476">
        <f t="shared" ref="B6" si="12">B7*(1+N6)</f>
        <v>464.37293017158942</v>
      </c>
      <c r="C6" s="1476">
        <f t="shared" ref="C6" si="13">C7*(1+O6)</f>
        <v>344.73679941385956</v>
      </c>
      <c r="D6" s="1476">
        <f t="shared" ref="D6" si="14">C6</f>
        <v>344.73679941385956</v>
      </c>
      <c r="E6" s="1476">
        <f t="shared" ref="E6" si="15">E7*(1+P6)</f>
        <v>663.2377795103107</v>
      </c>
      <c r="F6" s="1476">
        <f t="shared" ref="F6" si="16">F7*(1+Q6)</f>
        <v>304.75936311478398</v>
      </c>
      <c r="G6" s="3560">
        <v>2018</v>
      </c>
      <c r="H6" s="1463">
        <v>4</v>
      </c>
      <c r="I6" s="2938">
        <v>0.96</v>
      </c>
      <c r="J6" s="2938">
        <v>1.03</v>
      </c>
      <c r="K6" s="2938">
        <v>0.92</v>
      </c>
      <c r="L6" s="2939">
        <v>1.29</v>
      </c>
      <c r="M6" s="1470"/>
      <c r="N6" s="1471">
        <f>I6/100</f>
        <v>9.5999999999999992E-3</v>
      </c>
      <c r="O6" s="1472">
        <f t="shared" ref="O6" si="17">J6/100</f>
        <v>1.03E-2</v>
      </c>
      <c r="P6" s="1472">
        <f t="shared" ref="P6" si="18">K6/100</f>
        <v>9.1999999999999998E-3</v>
      </c>
      <c r="Q6" s="1472">
        <f t="shared" ref="Q6" si="19">L6/100</f>
        <v>1.29E-2</v>
      </c>
      <c r="R6" s="1473"/>
      <c r="S6" s="1471"/>
      <c r="T6" s="1472"/>
      <c r="U6" s="1472"/>
      <c r="V6" s="1472"/>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5" customFormat="1" ht="14.45" customHeight="1">
      <c r="A7" s="1460" t="s">
        <v>3044</v>
      </c>
      <c r="B7" s="1476">
        <f t="shared" ref="B7" si="22">B8*(1+N7)</f>
        <v>459.95733971036987</v>
      </c>
      <c r="C7" s="1476">
        <f t="shared" ref="C7" si="23">C8*(1+O7)</f>
        <v>341.22221064422405</v>
      </c>
      <c r="D7" s="1476">
        <f t="shared" ref="D7" si="24">C7</f>
        <v>341.22221064422405</v>
      </c>
      <c r="E7" s="1476">
        <f t="shared" ref="E7" si="25">E8*(1+P7)</f>
        <v>657.19161663724799</v>
      </c>
      <c r="F7" s="1476">
        <f t="shared" ref="F7" si="26">F8*(1+Q7)</f>
        <v>300.87803644464805</v>
      </c>
      <c r="G7" s="3560"/>
      <c r="H7" s="1463">
        <v>3</v>
      </c>
      <c r="I7" s="1463">
        <v>1.51</v>
      </c>
      <c r="J7" s="1463">
        <v>1.41</v>
      </c>
      <c r="K7" s="1463">
        <v>1.52</v>
      </c>
      <c r="L7" s="1477">
        <v>1.74</v>
      </c>
      <c r="M7" s="1470"/>
      <c r="N7" s="1471">
        <f>I7/100</f>
        <v>1.5100000000000001E-2</v>
      </c>
      <c r="O7" s="1472">
        <f t="shared" ref="O7" si="27">J7/100</f>
        <v>1.41E-2</v>
      </c>
      <c r="P7" s="1472">
        <f t="shared" ref="P7" si="28">K7/100</f>
        <v>1.52E-2</v>
      </c>
      <c r="Q7" s="1472">
        <f t="shared" ref="Q7" si="29">L7/100</f>
        <v>1.7399999999999999E-2</v>
      </c>
      <c r="R7" s="1473"/>
      <c r="S7" s="1471"/>
      <c r="T7" s="1472"/>
      <c r="U7" s="1472"/>
      <c r="V7" s="1472"/>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5" customFormat="1" ht="14.45" customHeight="1">
      <c r="A8" s="1460" t="s">
        <v>3043</v>
      </c>
      <c r="B8" s="1476">
        <f t="shared" ref="B8" si="32">B9*(1+N8)</f>
        <v>453.11529869999993</v>
      </c>
      <c r="C8" s="1476">
        <f t="shared" ref="C8" si="33">C9*(1+O8)</f>
        <v>336.47787264000004</v>
      </c>
      <c r="D8" s="1476">
        <f t="shared" ref="D8" si="34">C8</f>
        <v>336.47787264000004</v>
      </c>
      <c r="E8" s="1476">
        <f t="shared" ref="E8" si="35">E9*(1+P8)</f>
        <v>647.35186823999993</v>
      </c>
      <c r="F8" s="1476">
        <f t="shared" ref="F8" si="36">F9*(1+Q8)</f>
        <v>295.73229452000004</v>
      </c>
      <c r="G8" s="3560"/>
      <c r="H8" s="1463">
        <v>2</v>
      </c>
      <c r="I8" s="1463">
        <v>1.49</v>
      </c>
      <c r="J8" s="1463">
        <v>0.96</v>
      </c>
      <c r="K8" s="1463">
        <v>1.58</v>
      </c>
      <c r="L8" s="1477">
        <v>2.44</v>
      </c>
      <c r="M8" s="1470"/>
      <c r="N8" s="1471">
        <f t="shared" ref="N8" si="37">I8/100</f>
        <v>1.49E-2</v>
      </c>
      <c r="O8" s="1472">
        <f t="shared" ref="O8" si="38">J8/100</f>
        <v>9.5999999999999992E-3</v>
      </c>
      <c r="P8" s="1472">
        <f t="shared" ref="P8" si="39">K8/100</f>
        <v>1.5800000000000002E-2</v>
      </c>
      <c r="Q8" s="1472">
        <f t="shared" ref="Q8" si="40">L8/100</f>
        <v>2.4399999999999998E-2</v>
      </c>
      <c r="R8" s="1473"/>
      <c r="S8" s="1471"/>
      <c r="T8" s="1472"/>
      <c r="U8" s="1472"/>
      <c r="V8" s="1472"/>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5" customFormat="1" ht="15" customHeight="1" thickBot="1">
      <c r="A9" s="1460" t="s">
        <v>3036</v>
      </c>
      <c r="B9" s="1476">
        <f t="shared" ref="B9" si="43">B10*(1+N9)</f>
        <v>446.46299999999997</v>
      </c>
      <c r="C9" s="1476">
        <f t="shared" ref="C9" si="44">C10*(1+O9)</f>
        <v>333.27840000000003</v>
      </c>
      <c r="D9" s="1476">
        <f t="shared" ref="D9" si="45">C9</f>
        <v>333.27840000000003</v>
      </c>
      <c r="E9" s="1476">
        <f t="shared" ref="E9" si="46">E10*(1+P9)</f>
        <v>637.28279999999995</v>
      </c>
      <c r="F9" s="1476">
        <f t="shared" ref="F9" si="47">F10*(1+Q9)</f>
        <v>288.68830000000003</v>
      </c>
      <c r="G9" s="3569"/>
      <c r="H9" s="1463">
        <v>1</v>
      </c>
      <c r="I9" s="1463">
        <v>1.7</v>
      </c>
      <c r="J9" s="1463">
        <v>1.92</v>
      </c>
      <c r="K9" s="1463">
        <v>1.64</v>
      </c>
      <c r="L9" s="1477">
        <v>2.0099999999999998</v>
      </c>
      <c r="M9" s="1470"/>
      <c r="N9" s="1471">
        <f t="shared" ref="N9:N14" si="48">I9/100</f>
        <v>1.7000000000000001E-2</v>
      </c>
      <c r="O9" s="1472">
        <f t="shared" ref="O9" si="49">J9/100</f>
        <v>1.9199999999999998E-2</v>
      </c>
      <c r="P9" s="1472">
        <f t="shared" ref="P9" si="50">K9/100</f>
        <v>1.6399999999999998E-2</v>
      </c>
      <c r="Q9" s="1472">
        <f t="shared" ref="Q9" si="51">L9/100</f>
        <v>2.0099999999999996E-2</v>
      </c>
      <c r="R9" s="1473"/>
      <c r="S9" s="1471">
        <f>B9/B10-1</f>
        <v>1.6999999999999904E-2</v>
      </c>
      <c r="T9" s="1472">
        <f t="shared" ref="T9" si="52">C9/C10-1</f>
        <v>1.9200000000000106E-2</v>
      </c>
      <c r="U9" s="1472">
        <f t="shared" ref="U9" si="53">D9/D10-1</f>
        <v>1.9200000000000106E-2</v>
      </c>
      <c r="V9" s="1472">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0" t="s">
        <v>3033</v>
      </c>
      <c r="B10" s="1468">
        <v>439</v>
      </c>
      <c r="C10" s="1468">
        <v>327</v>
      </c>
      <c r="D10" s="1468">
        <f>C10</f>
        <v>327</v>
      </c>
      <c r="E10" s="1468">
        <v>627</v>
      </c>
      <c r="F10" s="1469">
        <v>283</v>
      </c>
      <c r="G10" s="3565">
        <v>2017</v>
      </c>
      <c r="H10" s="1461">
        <v>4</v>
      </c>
      <c r="I10" s="1461">
        <v>1.71</v>
      </c>
      <c r="J10" s="1461">
        <v>1.78</v>
      </c>
      <c r="K10" s="1461">
        <v>1.71</v>
      </c>
      <c r="L10" s="1462">
        <v>1.43</v>
      </c>
      <c r="N10" s="1471">
        <f t="shared" si="48"/>
        <v>1.7100000000000001E-2</v>
      </c>
      <c r="O10" s="1472">
        <f t="shared" ref="O10" si="57">J10/100</f>
        <v>1.78E-2</v>
      </c>
      <c r="P10" s="1472">
        <f t="shared" ref="P10" si="58">K10/100</f>
        <v>1.7100000000000001E-2</v>
      </c>
      <c r="Q10" s="1472">
        <f t="shared" ref="Q10" si="59">L10/100</f>
        <v>1.43E-2</v>
      </c>
      <c r="R10" s="1473"/>
      <c r="S10" s="1474"/>
      <c r="T10" s="1475"/>
      <c r="U10" s="1475"/>
      <c r="V10" s="1475"/>
      <c r="X10" s="1458">
        <f>ROUND(SUMPRODUCT(PRODUCT(1+N10:N$24)),4)</f>
        <v>1.4274</v>
      </c>
      <c r="Y10" s="1458">
        <f>ROUND(SUMPRODUCT(PRODUCT(1+O10:O$24)),4)</f>
        <v>1.2685</v>
      </c>
      <c r="Z10" s="1458">
        <f t="shared" si="0"/>
        <v>1.2685</v>
      </c>
      <c r="AA10" s="1458">
        <f>ROUND(SUMPRODUCT(PRODUCT(1+P10:P$24)),4)</f>
        <v>1.4825999999999999</v>
      </c>
      <c r="AB10" s="1458">
        <f>ROUND(SUMPRODUCT(PRODUCT(1+Q10:Q$24)),4)</f>
        <v>1.2309000000000001</v>
      </c>
      <c r="AD10" s="1459">
        <f>ROUND(AVERAGE(I10:I$25)/100,4)</f>
        <v>2.4500000000000001E-2</v>
      </c>
      <c r="AE10" s="1459">
        <f>ROUND(AVERAGE(J10:J$25)/100,4)</f>
        <v>1.6500000000000001E-2</v>
      </c>
      <c r="AF10" s="1459">
        <f t="shared" si="1"/>
        <v>1.6500000000000001E-2</v>
      </c>
      <c r="AG10" s="1459">
        <f>ROUND(AVERAGE(K10:K$25)/100,4)</f>
        <v>2.7099999999999999E-2</v>
      </c>
      <c r="AH10" s="1459">
        <f>ROUND(AVERAGE(L10:L$25)/100,4)</f>
        <v>1.3899999999999999E-2</v>
      </c>
    </row>
    <row r="11" spans="1:34" s="1465" customFormat="1" ht="14.45" customHeight="1">
      <c r="A11" s="1460" t="s">
        <v>3034</v>
      </c>
      <c r="B11" s="1476">
        <f t="shared" ref="B11:B12" si="60">B12*(1+N11)</f>
        <v>431.80730811680002</v>
      </c>
      <c r="C11" s="1476">
        <f t="shared" ref="C11:C12" si="61">C12*(1+O11)</f>
        <v>320.57880516480003</v>
      </c>
      <c r="D11" s="1476">
        <f t="shared" ref="D11:D12" si="62">C11</f>
        <v>320.57880516480003</v>
      </c>
      <c r="E11" s="1476">
        <f t="shared" ref="E11:E12" si="63">E12*(1+P11)</f>
        <v>615.96110553196797</v>
      </c>
      <c r="F11" s="1476">
        <f t="shared" ref="F11:F12" si="64">F12*(1+Q11)</f>
        <v>279.46777300108801</v>
      </c>
      <c r="G11" s="3560"/>
      <c r="H11" s="1463">
        <v>3</v>
      </c>
      <c r="I11" s="1463">
        <v>2.98</v>
      </c>
      <c r="J11" s="1463">
        <v>2.11</v>
      </c>
      <c r="K11" s="1463">
        <v>3.24</v>
      </c>
      <c r="L11" s="1477">
        <v>1.72</v>
      </c>
      <c r="M11" s="1470"/>
      <c r="N11" s="1471">
        <f t="shared" si="48"/>
        <v>2.98E-2</v>
      </c>
      <c r="O11" s="1472">
        <f t="shared" ref="O11" si="65">J11/100</f>
        <v>2.1099999999999997E-2</v>
      </c>
      <c r="P11" s="1472">
        <f t="shared" ref="P11" si="66">K11/100</f>
        <v>3.2400000000000005E-2</v>
      </c>
      <c r="Q11" s="1472">
        <f t="shared" ref="Q11" si="67">L11/100</f>
        <v>1.72E-2</v>
      </c>
      <c r="R11" s="1473"/>
      <c r="S11" s="1471"/>
      <c r="T11" s="1472"/>
      <c r="U11" s="1472"/>
      <c r="V11" s="1472"/>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0" t="s">
        <v>1382</v>
      </c>
      <c r="B12" s="1476">
        <f t="shared" si="60"/>
        <v>419.31181600000002</v>
      </c>
      <c r="C12" s="1476">
        <f t="shared" si="61"/>
        <v>313.95436800000004</v>
      </c>
      <c r="D12" s="1476">
        <f t="shared" si="62"/>
        <v>313.95436800000004</v>
      </c>
      <c r="E12" s="1476">
        <f t="shared" si="63"/>
        <v>596.63028431999999</v>
      </c>
      <c r="F12" s="1476">
        <f t="shared" si="64"/>
        <v>274.74220703999998</v>
      </c>
      <c r="G12" s="3560"/>
      <c r="H12" s="1464">
        <v>2</v>
      </c>
      <c r="I12" s="1464">
        <v>3.4</v>
      </c>
      <c r="J12" s="1464">
        <v>2</v>
      </c>
      <c r="K12" s="1464">
        <v>3.82</v>
      </c>
      <c r="L12" s="1478">
        <v>1.68</v>
      </c>
      <c r="M12" s="1470"/>
      <c r="N12" s="1471">
        <f t="shared" si="48"/>
        <v>3.4000000000000002E-2</v>
      </c>
      <c r="O12" s="1472">
        <f t="shared" ref="O12" si="68">J12/100</f>
        <v>0.02</v>
      </c>
      <c r="P12" s="1472">
        <f t="shared" ref="P12" si="69">K12/100</f>
        <v>3.8199999999999998E-2</v>
      </c>
      <c r="Q12" s="1472">
        <f t="shared" ref="Q12" si="70">L12/100</f>
        <v>1.6799999999999999E-2</v>
      </c>
      <c r="R12" s="1473"/>
      <c r="S12" s="1474"/>
      <c r="T12" s="1475"/>
      <c r="U12" s="1475"/>
      <c r="V12" s="1475"/>
      <c r="W12" s="1452"/>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2"/>
      <c r="AD12" s="1788">
        <f>ROUND(AVERAGE(I12:I$25)/100,4)</f>
        <v>2.46E-2</v>
      </c>
      <c r="AE12" s="1788">
        <f>ROUND(AVERAGE(J12:J$25)/100,4)</f>
        <v>1.6E-2</v>
      </c>
      <c r="AF12" s="1788">
        <f t="shared" si="1"/>
        <v>1.6E-2</v>
      </c>
      <c r="AG12" s="1788">
        <f>ROUND(AVERAGE(K12:K$25)/100,4)</f>
        <v>2.75E-2</v>
      </c>
      <c r="AH12" s="1788">
        <f>ROUND(AVERAGE(L12:L$25)/100,4)</f>
        <v>1.37E-2</v>
      </c>
    </row>
    <row r="13" spans="1:34" s="1465" customFormat="1" ht="15" customHeight="1" thickBot="1">
      <c r="A13" s="1460" t="s">
        <v>1157</v>
      </c>
      <c r="B13" s="1476">
        <f>B14*(1+N13)</f>
        <v>405.524</v>
      </c>
      <c r="C13" s="1476">
        <f>C14*(1+O13)</f>
        <v>307.79840000000002</v>
      </c>
      <c r="D13" s="1476">
        <f>C13</f>
        <v>307.79840000000002</v>
      </c>
      <c r="E13" s="1476">
        <f>E14*(1+P13)</f>
        <v>574.67759999999998</v>
      </c>
      <c r="F13" s="1476">
        <f>F14*(1+Q13)</f>
        <v>270.20280000000002</v>
      </c>
      <c r="G13" s="3569"/>
      <c r="H13" s="1463">
        <v>1</v>
      </c>
      <c r="I13" s="1463">
        <v>3.45</v>
      </c>
      <c r="J13" s="1463">
        <v>1.92</v>
      </c>
      <c r="K13" s="1463">
        <v>3.92</v>
      </c>
      <c r="L13" s="1477">
        <v>1.58</v>
      </c>
      <c r="M13" s="1470"/>
      <c r="N13" s="1471">
        <f t="shared" si="48"/>
        <v>3.4500000000000003E-2</v>
      </c>
      <c r="O13" s="1472">
        <f t="shared" ref="O13:Q28" si="71">J13/100</f>
        <v>1.9199999999999998E-2</v>
      </c>
      <c r="P13" s="1472">
        <f t="shared" si="71"/>
        <v>3.9199999999999999E-2</v>
      </c>
      <c r="Q13" s="1472">
        <f t="shared" si="71"/>
        <v>1.5800000000000002E-2</v>
      </c>
      <c r="R13" s="1473"/>
      <c r="S13" s="1471">
        <f>B13/B14-1</f>
        <v>3.4499999999999975E-2</v>
      </c>
      <c r="T13" s="1472">
        <f t="shared" ref="T13:V13" si="72">C13/C14-1</f>
        <v>1.9200000000000106E-2</v>
      </c>
      <c r="U13" s="1472">
        <f t="shared" si="72"/>
        <v>1.9200000000000106E-2</v>
      </c>
      <c r="V13" s="1472">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0" t="s">
        <v>154</v>
      </c>
      <c r="B14" s="1468">
        <v>392</v>
      </c>
      <c r="C14" s="1468">
        <v>302</v>
      </c>
      <c r="D14" s="1468">
        <f>C14</f>
        <v>302</v>
      </c>
      <c r="E14" s="1468">
        <v>553</v>
      </c>
      <c r="F14" s="1469">
        <v>266</v>
      </c>
      <c r="G14" s="3565">
        <v>2016</v>
      </c>
      <c r="H14" s="1461">
        <v>4</v>
      </c>
      <c r="I14" s="1461">
        <v>4.5599999999999996</v>
      </c>
      <c r="J14" s="1461">
        <v>2.15</v>
      </c>
      <c r="K14" s="1461">
        <v>5.32</v>
      </c>
      <c r="L14" s="1462">
        <v>1.57</v>
      </c>
      <c r="N14" s="1471">
        <f t="shared" si="48"/>
        <v>4.5599999999999995E-2</v>
      </c>
      <c r="O14" s="1472">
        <f t="shared" si="71"/>
        <v>2.1499999999999998E-2</v>
      </c>
      <c r="P14" s="1472">
        <f t="shared" si="71"/>
        <v>5.3200000000000004E-2</v>
      </c>
      <c r="Q14" s="1472">
        <f t="shared" si="71"/>
        <v>1.5700000000000002E-2</v>
      </c>
      <c r="R14" s="1473"/>
      <c r="S14" s="1474"/>
      <c r="T14" s="1475"/>
      <c r="U14" s="1475"/>
      <c r="V14" s="1475"/>
      <c r="X14" s="1458">
        <f>ROUND(SUMPRODUCT(PRODUCT(1+N14:N$24)),4)</f>
        <v>1.274</v>
      </c>
      <c r="Y14" s="1458">
        <f>ROUND(SUMPRODUCT(PRODUCT(1+O14:O$24)),4)</f>
        <v>1.1740999999999999</v>
      </c>
      <c r="Z14" s="1458">
        <f t="shared" si="0"/>
        <v>1.1740999999999999</v>
      </c>
      <c r="AA14" s="1458">
        <f>ROUND(SUMPRODUCT(PRODUCT(1+P14:P$24)),4)</f>
        <v>1.3087</v>
      </c>
      <c r="AB14" s="1458">
        <f>ROUND(SUMPRODUCT(PRODUCT(1+Q14:Q$24)),4)</f>
        <v>1.1551</v>
      </c>
      <c r="AD14" s="1459">
        <f>ROUND(AVERAGE(I14:I$25)/100,4)</f>
        <v>2.3E-2</v>
      </c>
      <c r="AE14" s="1459">
        <f>ROUND(AVERAGE(J14:J$25)/100,4)</f>
        <v>1.55E-2</v>
      </c>
      <c r="AF14" s="1459">
        <f t="shared" si="1"/>
        <v>1.55E-2</v>
      </c>
      <c r="AG14" s="1459">
        <f>ROUND(AVERAGE(K14:K$25)/100,4)</f>
        <v>2.5600000000000001E-2</v>
      </c>
      <c r="AH14" s="1459">
        <f>ROUND(AVERAGE(L14:L$25)/100,4)</f>
        <v>1.32E-2</v>
      </c>
    </row>
    <row r="15" spans="1:34">
      <c r="A15" s="1460" t="s">
        <v>153</v>
      </c>
      <c r="B15" s="1476">
        <f t="shared" ref="B15:C17" si="73">B14/(1+N14)</f>
        <v>374.90436113236416</v>
      </c>
      <c r="C15" s="1476">
        <f t="shared" si="73"/>
        <v>295.64366128242779</v>
      </c>
      <c r="D15" s="1476">
        <f t="shared" ref="D15:D74" si="74">C15</f>
        <v>295.64366128242779</v>
      </c>
      <c r="E15" s="1476">
        <f t="shared" ref="E15:F17" si="75">E14/(1+P14)</f>
        <v>525.06646410938095</v>
      </c>
      <c r="F15" s="1476">
        <f t="shared" si="75"/>
        <v>261.88835286009646</v>
      </c>
      <c r="G15" s="3560"/>
      <c r="H15" s="1463">
        <v>3</v>
      </c>
      <c r="I15" s="1463">
        <v>4.12</v>
      </c>
      <c r="J15" s="1463">
        <v>2</v>
      </c>
      <c r="K15" s="1463">
        <v>4.79</v>
      </c>
      <c r="L15" s="1477">
        <v>1.97</v>
      </c>
      <c r="N15" s="1471">
        <f t="shared" ref="N15:Q49" si="76">I15/100</f>
        <v>4.1200000000000001E-2</v>
      </c>
      <c r="O15" s="1472">
        <f t="shared" si="71"/>
        <v>0.02</v>
      </c>
      <c r="P15" s="1472">
        <f t="shared" si="71"/>
        <v>4.7899999999999998E-2</v>
      </c>
      <c r="Q15" s="1472">
        <f t="shared" si="71"/>
        <v>1.9699999999999999E-2</v>
      </c>
      <c r="R15" s="1473"/>
      <c r="S15" s="1471"/>
      <c r="T15" s="1472"/>
      <c r="U15" s="1472"/>
      <c r="V15" s="1472"/>
      <c r="X15" s="1458">
        <f>ROUND(SUMPRODUCT(PRODUCT(1+N15:N$24)),4)</f>
        <v>1.2184999999999999</v>
      </c>
      <c r="Y15" s="1458">
        <f>ROUND(SUMPRODUCT(PRODUCT(1+O15:O$24)),4)</f>
        <v>1.1494</v>
      </c>
      <c r="Z15" s="1458">
        <f t="shared" si="0"/>
        <v>1.1494</v>
      </c>
      <c r="AA15" s="1458">
        <f>ROUND(SUMPRODUCT(PRODUCT(1+P15:P$24)),4)</f>
        <v>1.2425999999999999</v>
      </c>
      <c r="AB15" s="1458">
        <f>ROUND(SUMPRODUCT(PRODUCT(1+Q15:Q$24)),4)</f>
        <v>1.1372</v>
      </c>
      <c r="AD15" s="1459">
        <f>ROUND(AVERAGE(I15:I$25)/100,4)</f>
        <v>2.0899999999999998E-2</v>
      </c>
      <c r="AE15" s="1459">
        <f>ROUND(AVERAGE(J15:J$25)/100,4)</f>
        <v>1.49E-2</v>
      </c>
      <c r="AF15" s="1459">
        <f t="shared" si="1"/>
        <v>1.49E-2</v>
      </c>
      <c r="AG15" s="1459">
        <f>ROUND(AVERAGE(K15:K$25)/100,4)</f>
        <v>2.3099999999999999E-2</v>
      </c>
      <c r="AH15" s="1459">
        <f>ROUND(AVERAGE(L15:L$25)/100,4)</f>
        <v>1.2999999999999999E-2</v>
      </c>
    </row>
    <row r="16" spans="1:34">
      <c r="A16" s="1460" t="s">
        <v>143</v>
      </c>
      <c r="B16" s="1476">
        <f t="shared" si="73"/>
        <v>360.06949782209392</v>
      </c>
      <c r="C16" s="1476">
        <f t="shared" si="73"/>
        <v>289.84672674747821</v>
      </c>
      <c r="D16" s="1476">
        <f t="shared" si="74"/>
        <v>289.84672674747821</v>
      </c>
      <c r="E16" s="1476">
        <f t="shared" si="75"/>
        <v>501.06543001181495</v>
      </c>
      <c r="F16" s="1476">
        <f t="shared" si="75"/>
        <v>256.82882500744967</v>
      </c>
      <c r="G16" s="3560"/>
      <c r="H16" s="1464">
        <v>2</v>
      </c>
      <c r="I16" s="1464">
        <v>3.85</v>
      </c>
      <c r="J16" s="1464">
        <v>1.95</v>
      </c>
      <c r="K16" s="1464">
        <v>4.4800000000000004</v>
      </c>
      <c r="L16" s="1478">
        <v>1.41</v>
      </c>
      <c r="N16" s="1471">
        <f t="shared" si="76"/>
        <v>3.85E-2</v>
      </c>
      <c r="O16" s="1472">
        <f t="shared" si="71"/>
        <v>1.95E-2</v>
      </c>
      <c r="P16" s="1472">
        <f t="shared" si="71"/>
        <v>4.4800000000000006E-2</v>
      </c>
      <c r="Q16" s="1472">
        <f t="shared" si="71"/>
        <v>1.41E-2</v>
      </c>
      <c r="R16" s="1473"/>
      <c r="S16" s="1471"/>
      <c r="T16" s="1472"/>
      <c r="U16" s="1472"/>
      <c r="V16" s="1472"/>
      <c r="X16" s="1458">
        <f>ROUND(SUMPRODUCT(PRODUCT(1+N16:N$24)),4)</f>
        <v>1.1702999999999999</v>
      </c>
      <c r="Y16" s="1458">
        <f>ROUND(SUMPRODUCT(PRODUCT(1+O16:O$24)),4)</f>
        <v>1.1269</v>
      </c>
      <c r="Z16" s="1458">
        <f t="shared" si="0"/>
        <v>1.1269</v>
      </c>
      <c r="AA16" s="1458">
        <f>ROUND(SUMPRODUCT(PRODUCT(1+P16:P$24)),4)</f>
        <v>1.1858</v>
      </c>
      <c r="AB16" s="1458">
        <f>ROUND(SUMPRODUCT(PRODUCT(1+Q16:Q$24)),4)</f>
        <v>1.1152</v>
      </c>
      <c r="AD16" s="1459">
        <f>ROUND(AVERAGE(I16:I$25)/100,4)</f>
        <v>1.89E-2</v>
      </c>
      <c r="AE16" s="1459">
        <f>ROUND(AVERAGE(J16:J$25)/100,4)</f>
        <v>1.44E-2</v>
      </c>
      <c r="AF16" s="1459">
        <f t="shared" si="1"/>
        <v>1.44E-2</v>
      </c>
      <c r="AG16" s="1459">
        <f>ROUND(AVERAGE(K16:K$25)/100,4)</f>
        <v>2.06E-2</v>
      </c>
      <c r="AH16" s="1459">
        <f>ROUND(AVERAGE(L16:L$25)/100,4)</f>
        <v>1.23E-2</v>
      </c>
    </row>
    <row r="17" spans="1:34" ht="13.5" thickBot="1">
      <c r="A17" s="1460" t="s">
        <v>152</v>
      </c>
      <c r="B17" s="1476">
        <f t="shared" si="73"/>
        <v>346.720748986128</v>
      </c>
      <c r="C17" s="1476">
        <f t="shared" si="73"/>
        <v>284.30282172386285</v>
      </c>
      <c r="D17" s="1476">
        <f t="shared" si="74"/>
        <v>284.30282172386285</v>
      </c>
      <c r="E17" s="1476">
        <f t="shared" si="75"/>
        <v>479.58023546306947</v>
      </c>
      <c r="F17" s="1476">
        <f t="shared" si="75"/>
        <v>253.25788877571213</v>
      </c>
      <c r="G17" s="3561"/>
      <c r="H17" s="1463">
        <v>1</v>
      </c>
      <c r="I17" s="1463">
        <v>4.09</v>
      </c>
      <c r="J17" s="1463">
        <v>2.93</v>
      </c>
      <c r="K17" s="1463">
        <v>4.54</v>
      </c>
      <c r="L17" s="1477">
        <v>1.48</v>
      </c>
      <c r="N17" s="1471">
        <f t="shared" si="76"/>
        <v>4.0899999999999999E-2</v>
      </c>
      <c r="O17" s="1472">
        <f t="shared" si="71"/>
        <v>2.9300000000000003E-2</v>
      </c>
      <c r="P17" s="1472">
        <f t="shared" si="71"/>
        <v>4.5400000000000003E-2</v>
      </c>
      <c r="Q17" s="1472">
        <f t="shared" si="71"/>
        <v>1.4800000000000001E-2</v>
      </c>
      <c r="R17" s="1473"/>
      <c r="S17" s="1479">
        <f>B17/B18-1</f>
        <v>4.1203450408792808E-2</v>
      </c>
      <c r="T17" s="1480">
        <f>C17/C18-1</f>
        <v>2.6363977342465095E-2</v>
      </c>
      <c r="U17" s="1480">
        <f>E17/E18-1</f>
        <v>4.4837114298626357E-2</v>
      </c>
      <c r="V17" s="1480">
        <f>F17/F18-1</f>
        <v>1.7099954922538574E-2</v>
      </c>
      <c r="X17" s="1458">
        <f>ROUND(SUMPRODUCT(PRODUCT(1+N17:N$24)),4)</f>
        <v>1.1269</v>
      </c>
      <c r="Y17" s="1458">
        <f>ROUND(SUMPRODUCT(PRODUCT(1+O17:O$24)),4)</f>
        <v>1.1052999999999999</v>
      </c>
      <c r="Z17" s="1458">
        <f t="shared" si="0"/>
        <v>1.1052999999999999</v>
      </c>
      <c r="AA17" s="1458">
        <f>ROUND(SUMPRODUCT(PRODUCT(1+P17:P$24)),4)</f>
        <v>1.1349</v>
      </c>
      <c r="AB17" s="1458">
        <f>ROUND(SUMPRODUCT(PRODUCT(1+Q17:Q$24)),4)</f>
        <v>1.0996999999999999</v>
      </c>
      <c r="AD17" s="1459">
        <f>ROUND(AVERAGE(I17:I$25)/100,4)</f>
        <v>1.67E-2</v>
      </c>
      <c r="AE17" s="1459">
        <f>ROUND(AVERAGE(J17:J$25)/100,4)</f>
        <v>1.38E-2</v>
      </c>
      <c r="AF17" s="1459">
        <f t="shared" si="1"/>
        <v>1.38E-2</v>
      </c>
      <c r="AG17" s="1459">
        <f>ROUND(AVERAGE(K17:K$25)/100,4)</f>
        <v>1.7899999999999999E-2</v>
      </c>
      <c r="AH17" s="1459">
        <f>ROUND(AVERAGE(L17:L$25)/100,4)</f>
        <v>1.21E-2</v>
      </c>
    </row>
    <row r="18" spans="1:34" ht="13.5" thickBot="1">
      <c r="A18" s="1460" t="s">
        <v>151</v>
      </c>
      <c r="B18" s="1468">
        <v>333</v>
      </c>
      <c r="C18" s="1468">
        <v>277</v>
      </c>
      <c r="D18" s="1468">
        <f t="shared" si="74"/>
        <v>277</v>
      </c>
      <c r="E18" s="1468">
        <v>459</v>
      </c>
      <c r="F18" s="1469">
        <v>249</v>
      </c>
      <c r="G18" s="3559">
        <v>2015</v>
      </c>
      <c r="H18" s="1481">
        <v>4</v>
      </c>
      <c r="I18" s="1481">
        <v>1.63</v>
      </c>
      <c r="J18" s="1481">
        <v>1.1100000000000001</v>
      </c>
      <c r="K18" s="1481">
        <v>1.77</v>
      </c>
      <c r="L18" s="1482">
        <v>1.89</v>
      </c>
      <c r="N18" s="1483">
        <f t="shared" si="76"/>
        <v>1.6299999999999999E-2</v>
      </c>
      <c r="O18" s="1484">
        <f t="shared" si="71"/>
        <v>1.11E-2</v>
      </c>
      <c r="P18" s="1484">
        <f t="shared" si="71"/>
        <v>1.77E-2</v>
      </c>
      <c r="Q18" s="1484">
        <f t="shared" si="71"/>
        <v>1.89E-2</v>
      </c>
      <c r="R18" s="1473"/>
      <c r="X18" s="1458">
        <f>ROUND(SUMPRODUCT(PRODUCT(1+N18:N$24)),4)</f>
        <v>1.0826</v>
      </c>
      <c r="Y18" s="1458">
        <f>ROUND(SUMPRODUCT(PRODUCT(1+O18:O$24)),4)</f>
        <v>1.0738000000000001</v>
      </c>
      <c r="Z18" s="1458">
        <f t="shared" si="0"/>
        <v>1.0738000000000001</v>
      </c>
      <c r="AA18" s="1458">
        <f>ROUND(SUMPRODUCT(PRODUCT(1+P18:P$24)),4)</f>
        <v>1.0855999999999999</v>
      </c>
      <c r="AB18" s="1458">
        <f>ROUND(SUMPRODUCT(PRODUCT(1+Q18:Q$24)),4)</f>
        <v>1.0837000000000001</v>
      </c>
      <c r="AD18" s="1459">
        <f>ROUND(AVERAGE(I18:I$25)/100,4)</f>
        <v>1.37E-2</v>
      </c>
      <c r="AE18" s="1459">
        <f>ROUND(AVERAGE(J18:J$25)/100,4)</f>
        <v>1.1900000000000001E-2</v>
      </c>
      <c r="AF18" s="1459">
        <f t="shared" si="1"/>
        <v>1.1900000000000001E-2</v>
      </c>
      <c r="AG18" s="1459">
        <f>ROUND(AVERAGE(K18:K$25)/100,4)</f>
        <v>1.4500000000000001E-2</v>
      </c>
      <c r="AH18" s="1459">
        <f>ROUND(AVERAGE(L18:L$25)/100,4)</f>
        <v>1.18E-2</v>
      </c>
    </row>
    <row r="19" spans="1:34">
      <c r="A19" s="1460" t="s">
        <v>150</v>
      </c>
      <c r="B19" s="1476">
        <f t="shared" ref="B19:C21" si="77">B18/(1+N18)</f>
        <v>327.65915576109415</v>
      </c>
      <c r="C19" s="1476">
        <f t="shared" si="77"/>
        <v>273.95905449510434</v>
      </c>
      <c r="D19" s="1476">
        <f t="shared" si="74"/>
        <v>273.95905449510434</v>
      </c>
      <c r="E19" s="1476">
        <f t="shared" ref="E19:F21" si="78">E18/(1+P18)</f>
        <v>451.01699911565294</v>
      </c>
      <c r="F19" s="1476">
        <f t="shared" si="78"/>
        <v>244.38119540681129</v>
      </c>
      <c r="G19" s="3560"/>
      <c r="H19" s="1486">
        <v>3</v>
      </c>
      <c r="I19" s="1486">
        <v>1.65</v>
      </c>
      <c r="J19" s="1486">
        <v>0.92</v>
      </c>
      <c r="K19" s="1486">
        <v>1.88</v>
      </c>
      <c r="L19" s="1487">
        <v>1.26</v>
      </c>
      <c r="N19" s="1471">
        <f t="shared" si="76"/>
        <v>1.6500000000000001E-2</v>
      </c>
      <c r="O19" s="1488">
        <f t="shared" si="71"/>
        <v>9.1999999999999998E-3</v>
      </c>
      <c r="P19" s="1488">
        <f t="shared" si="71"/>
        <v>1.8799999999999997E-2</v>
      </c>
      <c r="Q19" s="1488">
        <f t="shared" si="71"/>
        <v>1.26E-2</v>
      </c>
      <c r="R19" s="1473"/>
      <c r="S19" s="1471"/>
      <c r="T19" s="1472"/>
      <c r="U19" s="1472"/>
      <c r="V19" s="1472"/>
      <c r="X19" s="1458">
        <f>ROUND(SUMPRODUCT(PRODUCT(1+N19:N$24)),4)</f>
        <v>1.0651999999999999</v>
      </c>
      <c r="Y19" s="1458">
        <f>ROUND(SUMPRODUCT(PRODUCT(1+O19:O$24)),4)</f>
        <v>1.0621</v>
      </c>
      <c r="Z19" s="1458">
        <f t="shared" si="0"/>
        <v>1.0621</v>
      </c>
      <c r="AA19" s="1458">
        <f>ROUND(SUMPRODUCT(PRODUCT(1+P19:P$24)),4)</f>
        <v>1.0668</v>
      </c>
      <c r="AB19" s="1458">
        <f>ROUND(SUMPRODUCT(PRODUCT(1+Q19:Q$24)),4)</f>
        <v>1.0636000000000001</v>
      </c>
      <c r="AD19" s="1459">
        <f>ROUND(AVERAGE(I19:I$25)/100,4)</f>
        <v>1.3299999999999999E-2</v>
      </c>
      <c r="AE19" s="1459">
        <f>ROUND(AVERAGE(J19:J$25)/100,4)</f>
        <v>1.2E-2</v>
      </c>
      <c r="AF19" s="1459">
        <f t="shared" si="1"/>
        <v>1.2E-2</v>
      </c>
      <c r="AG19" s="1459">
        <f>ROUND(AVERAGE(K19:K$25)/100,4)</f>
        <v>1.4E-2</v>
      </c>
      <c r="AH19" s="1459">
        <f>ROUND(AVERAGE(L19:L$25)/100,4)</f>
        <v>1.0800000000000001E-2</v>
      </c>
    </row>
    <row r="20" spans="1:34">
      <c r="A20" s="1460" t="s">
        <v>149</v>
      </c>
      <c r="B20" s="1476">
        <f t="shared" si="77"/>
        <v>322.34053690220776</v>
      </c>
      <c r="C20" s="1476">
        <f t="shared" si="77"/>
        <v>271.46160770422546</v>
      </c>
      <c r="D20" s="1476">
        <f t="shared" si="74"/>
        <v>271.46160770422546</v>
      </c>
      <c r="E20" s="1476">
        <f t="shared" si="78"/>
        <v>442.69434542172456</v>
      </c>
      <c r="F20" s="1476">
        <f t="shared" si="78"/>
        <v>241.34030753190925</v>
      </c>
      <c r="G20" s="3560"/>
      <c r="H20" s="1464">
        <v>2</v>
      </c>
      <c r="I20" s="1464">
        <v>0.77</v>
      </c>
      <c r="J20" s="1464">
        <v>0.69</v>
      </c>
      <c r="K20" s="1464">
        <v>0.8</v>
      </c>
      <c r="L20" s="1478">
        <v>0.88</v>
      </c>
      <c r="N20" s="1471">
        <f t="shared" si="76"/>
        <v>7.7000000000000002E-3</v>
      </c>
      <c r="O20" s="1488">
        <f t="shared" si="71"/>
        <v>6.8999999999999999E-3</v>
      </c>
      <c r="P20" s="1488">
        <f t="shared" si="71"/>
        <v>8.0000000000000002E-3</v>
      </c>
      <c r="Q20" s="1488">
        <f t="shared" si="71"/>
        <v>8.8000000000000005E-3</v>
      </c>
      <c r="R20" s="1473"/>
      <c r="S20" s="1471"/>
      <c r="T20" s="1472"/>
      <c r="U20" s="1472"/>
      <c r="V20" s="1472"/>
      <c r="X20" s="1458">
        <f>ROUND(SUMPRODUCT(PRODUCT(1+N20:N$24)),4)</f>
        <v>1.048</v>
      </c>
      <c r="Y20" s="1458">
        <f>ROUND(SUMPRODUCT(PRODUCT(1+O20:O$24)),4)</f>
        <v>1.0524</v>
      </c>
      <c r="Z20" s="1458">
        <f t="shared" si="0"/>
        <v>1.0524</v>
      </c>
      <c r="AA20" s="1458">
        <f>ROUND(SUMPRODUCT(PRODUCT(1+P20:P$24)),4)</f>
        <v>1.0470999999999999</v>
      </c>
      <c r="AB20" s="1458">
        <f>ROUND(SUMPRODUCT(PRODUCT(1+Q20:Q$24)),4)</f>
        <v>1.0504</v>
      </c>
      <c r="AD20" s="1459">
        <f>ROUND(AVERAGE(I20:I$25)/100,4)</f>
        <v>1.2800000000000001E-2</v>
      </c>
      <c r="AE20" s="1459">
        <f>ROUND(AVERAGE(J20:J$25)/100,4)</f>
        <v>1.2500000000000001E-2</v>
      </c>
      <c r="AF20" s="1459">
        <f t="shared" si="1"/>
        <v>1.2500000000000001E-2</v>
      </c>
      <c r="AG20" s="1459">
        <f>ROUND(AVERAGE(K20:K$25)/100,4)</f>
        <v>1.32E-2</v>
      </c>
      <c r="AH20" s="1459">
        <f>ROUND(AVERAGE(L20:L$25)/100,4)</f>
        <v>1.0500000000000001E-2</v>
      </c>
    </row>
    <row r="21" spans="1:34">
      <c r="A21" s="1460" t="s">
        <v>148</v>
      </c>
      <c r="B21" s="1476">
        <f t="shared" si="77"/>
        <v>319.87748030386797</v>
      </c>
      <c r="C21" s="1476">
        <f t="shared" si="77"/>
        <v>269.60135833173649</v>
      </c>
      <c r="D21" s="1476">
        <f t="shared" si="74"/>
        <v>269.60135833173649</v>
      </c>
      <c r="E21" s="1476">
        <f t="shared" si="78"/>
        <v>439.18089823583784</v>
      </c>
      <c r="F21" s="1476">
        <f t="shared" si="78"/>
        <v>239.23503918706311</v>
      </c>
      <c r="G21" s="3561"/>
      <c r="H21" s="1463">
        <v>1</v>
      </c>
      <c r="I21" s="1463">
        <v>0.51</v>
      </c>
      <c r="J21" s="1463">
        <v>0.54</v>
      </c>
      <c r="K21" s="1463">
        <v>0.48</v>
      </c>
      <c r="L21" s="1477">
        <v>0.93</v>
      </c>
      <c r="N21" s="1479">
        <f t="shared" si="76"/>
        <v>5.1000000000000004E-3</v>
      </c>
      <c r="O21" s="1480">
        <f t="shared" si="71"/>
        <v>5.4000000000000003E-3</v>
      </c>
      <c r="P21" s="1480">
        <f t="shared" si="71"/>
        <v>4.7999999999999996E-3</v>
      </c>
      <c r="Q21" s="1480">
        <f t="shared" si="71"/>
        <v>9.300000000000001E-3</v>
      </c>
      <c r="R21" s="1473"/>
      <c r="S21" s="1479">
        <f>B21/B22-1</f>
        <v>5.9040261127922822E-3</v>
      </c>
      <c r="T21" s="1480">
        <f>C21/C22-1</f>
        <v>5.9752176557332781E-3</v>
      </c>
      <c r="U21" s="1480">
        <f>E21/E22-1</f>
        <v>4.9906138119859556E-3</v>
      </c>
      <c r="V21" s="1480">
        <f>F21/F22-1</f>
        <v>9.4305450930933787E-3</v>
      </c>
      <c r="X21" s="1458">
        <f>ROUND(SUMPRODUCT(PRODUCT(1+N21:N$24)),4)</f>
        <v>1.0399</v>
      </c>
      <c r="Y21" s="1458">
        <f>ROUND(SUMPRODUCT(PRODUCT(1+O21:O$24)),4)</f>
        <v>1.0451999999999999</v>
      </c>
      <c r="Z21" s="1458">
        <f t="shared" si="0"/>
        <v>1.0451999999999999</v>
      </c>
      <c r="AA21" s="1458">
        <f>ROUND(SUMPRODUCT(PRODUCT(1+P21:P$24)),4)</f>
        <v>1.0387999999999999</v>
      </c>
      <c r="AB21" s="1458">
        <f>ROUND(SUMPRODUCT(PRODUCT(1+Q21:Q$24)),4)</f>
        <v>1.0411999999999999</v>
      </c>
      <c r="AD21" s="1459">
        <f>ROUND(AVERAGE(I21:I$25)/100,4)</f>
        <v>1.38E-2</v>
      </c>
      <c r="AE21" s="1459">
        <f>ROUND(AVERAGE(J21:J$25)/100,4)</f>
        <v>1.3599999999999999E-2</v>
      </c>
      <c r="AF21" s="1459">
        <f t="shared" si="1"/>
        <v>1.3599999999999999E-2</v>
      </c>
      <c r="AG21" s="1459">
        <f>ROUND(AVERAGE(K21:K$25)/100,4)</f>
        <v>1.4200000000000001E-2</v>
      </c>
      <c r="AH21" s="1459">
        <f>ROUND(AVERAGE(L21:L$25)/100,4)</f>
        <v>1.0800000000000001E-2</v>
      </c>
    </row>
    <row r="22" spans="1:34" ht="13.5" thickBot="1">
      <c r="A22" s="1460" t="s">
        <v>147</v>
      </c>
      <c r="B22" s="1489">
        <v>318</v>
      </c>
      <c r="C22" s="1489">
        <v>268</v>
      </c>
      <c r="D22" s="1489">
        <f t="shared" si="74"/>
        <v>268</v>
      </c>
      <c r="E22" s="1489">
        <v>437</v>
      </c>
      <c r="F22" s="1490">
        <v>237</v>
      </c>
      <c r="G22" s="3559">
        <v>2014</v>
      </c>
      <c r="H22" s="1481">
        <v>4</v>
      </c>
      <c r="I22" s="1481">
        <v>0.21</v>
      </c>
      <c r="J22" s="1481">
        <v>0.41</v>
      </c>
      <c r="K22" s="1481">
        <v>0.12</v>
      </c>
      <c r="L22" s="1482">
        <v>0.89</v>
      </c>
      <c r="N22" s="1471">
        <f t="shared" si="76"/>
        <v>2.0999999999999999E-3</v>
      </c>
      <c r="O22" s="1472">
        <f t="shared" si="71"/>
        <v>4.0999999999999995E-3</v>
      </c>
      <c r="P22" s="1472">
        <f t="shared" si="71"/>
        <v>1.1999999999999999E-3</v>
      </c>
      <c r="Q22" s="1472">
        <f t="shared" si="71"/>
        <v>8.8999999999999999E-3</v>
      </c>
      <c r="R22" s="1473"/>
      <c r="S22" s="1474"/>
      <c r="T22" s="1475"/>
      <c r="U22" s="1475"/>
      <c r="V22" s="1475"/>
      <c r="X22" s="1458">
        <f>ROUND(SUMPRODUCT(PRODUCT(1+N22:N$24)),4)</f>
        <v>1.0347</v>
      </c>
      <c r="Y22" s="1458">
        <f>ROUND(SUMPRODUCT(PRODUCT(1+O22:O$24)),4)</f>
        <v>1.0395000000000001</v>
      </c>
      <c r="Z22" s="1458">
        <f t="shared" si="0"/>
        <v>1.0395000000000001</v>
      </c>
      <c r="AA22" s="1458">
        <f>ROUND(SUMPRODUCT(PRODUCT(1+P22:P$24)),4)</f>
        <v>1.0338000000000001</v>
      </c>
      <c r="AB22" s="1458">
        <f>ROUND(SUMPRODUCT(PRODUCT(1+Q22:Q$24)),4)</f>
        <v>1.0316000000000001</v>
      </c>
      <c r="AD22" s="1459">
        <f>ROUND(AVERAGE(I22:I$25)/100,4)</f>
        <v>1.6E-2</v>
      </c>
      <c r="AE22" s="1459">
        <f>ROUND(AVERAGE(J22:J$25)/100,4)</f>
        <v>1.5599999999999999E-2</v>
      </c>
      <c r="AF22" s="1459">
        <f t="shared" si="1"/>
        <v>1.5599999999999999E-2</v>
      </c>
      <c r="AG22" s="1459">
        <f>ROUND(AVERAGE(K22:K$25)/100,4)</f>
        <v>1.66E-2</v>
      </c>
      <c r="AH22" s="1459">
        <f>ROUND(AVERAGE(L22:L$25)/100,4)</f>
        <v>1.12E-2</v>
      </c>
    </row>
    <row r="23" spans="1:34">
      <c r="A23" s="1460" t="s">
        <v>146</v>
      </c>
      <c r="B23" s="1476">
        <f t="shared" ref="B23:C25" si="79">B22/(1+N22)</f>
        <v>317.33359944117353</v>
      </c>
      <c r="C23" s="1476">
        <f t="shared" si="79"/>
        <v>266.90568668459315</v>
      </c>
      <c r="D23" s="1476">
        <f t="shared" si="74"/>
        <v>266.90568668459315</v>
      </c>
      <c r="E23" s="1476">
        <f t="shared" ref="E23:F25" si="80">E22/(1+P22)</f>
        <v>436.47622852576905</v>
      </c>
      <c r="F23" s="1476">
        <f t="shared" si="80"/>
        <v>234.90930716622066</v>
      </c>
      <c r="G23" s="3560"/>
      <c r="H23" s="1491">
        <v>3</v>
      </c>
      <c r="I23" s="1491">
        <v>0.83</v>
      </c>
      <c r="J23" s="1491">
        <v>1.47</v>
      </c>
      <c r="K23" s="1491">
        <v>0.65</v>
      </c>
      <c r="L23" s="1492">
        <v>0.72</v>
      </c>
      <c r="N23" s="1471">
        <f t="shared" si="76"/>
        <v>8.3000000000000001E-3</v>
      </c>
      <c r="O23" s="1472">
        <f t="shared" si="71"/>
        <v>1.47E-2</v>
      </c>
      <c r="P23" s="1472">
        <f t="shared" si="71"/>
        <v>6.5000000000000006E-3</v>
      </c>
      <c r="Q23" s="1472">
        <f t="shared" si="71"/>
        <v>7.1999999999999998E-3</v>
      </c>
      <c r="R23" s="1473"/>
      <c r="S23" s="1471"/>
      <c r="T23" s="1472"/>
      <c r="U23" s="1472"/>
      <c r="V23" s="1472"/>
      <c r="X23" s="1458">
        <f>ROUND(SUMPRODUCT(PRODUCT(1+N23:N$24)),4)</f>
        <v>1.0325</v>
      </c>
      <c r="Y23" s="1458">
        <f>ROUND(SUMPRODUCT(PRODUCT(1+O23:O$24)),4)</f>
        <v>1.0353000000000001</v>
      </c>
      <c r="Z23" s="1458">
        <f t="shared" ref="Z23:Z24" si="81">Y23</f>
        <v>1.0353000000000001</v>
      </c>
      <c r="AA23" s="1458">
        <f>ROUND(SUMPRODUCT(PRODUCT(1+P23:P$24)),4)</f>
        <v>1.0326</v>
      </c>
      <c r="AB23" s="1458">
        <f>ROUND(SUMPRODUCT(PRODUCT(1+Q23:Q$24)),4)</f>
        <v>1.0225</v>
      </c>
      <c r="AD23" s="1459">
        <f>ROUND(AVERAGE(I23:I$25)/100,4)</f>
        <v>2.07E-2</v>
      </c>
      <c r="AE23" s="1459">
        <f>ROUND(AVERAGE(J23:J$25)/100,4)</f>
        <v>1.95E-2</v>
      </c>
      <c r="AF23" s="1459">
        <f t="shared" si="1"/>
        <v>1.95E-2</v>
      </c>
      <c r="AG23" s="1459">
        <f>ROUND(AVERAGE(K23:K$25)/100,4)</f>
        <v>2.1700000000000001E-2</v>
      </c>
      <c r="AH23" s="1459">
        <f>ROUND(AVERAGE(L23:L$25)/100,4)</f>
        <v>1.2E-2</v>
      </c>
    </row>
    <row r="24" spans="1:34" ht="13.5" thickBot="1">
      <c r="A24" s="1460" t="s">
        <v>145</v>
      </c>
      <c r="B24" s="1476">
        <f t="shared" si="79"/>
        <v>314.72141172386546</v>
      </c>
      <c r="C24" s="1476">
        <f t="shared" si="79"/>
        <v>263.03901319069001</v>
      </c>
      <c r="D24" s="1476">
        <f t="shared" si="74"/>
        <v>263.03901319069001</v>
      </c>
      <c r="E24" s="1476">
        <f t="shared" si="80"/>
        <v>433.65745506782821</v>
      </c>
      <c r="F24" s="1476">
        <f t="shared" si="80"/>
        <v>233.23005080045735</v>
      </c>
      <c r="G24" s="3560"/>
      <c r="H24" s="1481">
        <v>2</v>
      </c>
      <c r="I24" s="1481">
        <v>2.4</v>
      </c>
      <c r="J24" s="1481">
        <v>2.0299999999999998</v>
      </c>
      <c r="K24" s="1481">
        <v>2.59</v>
      </c>
      <c r="L24" s="1482">
        <v>1.52</v>
      </c>
      <c r="N24" s="1471">
        <f t="shared" si="76"/>
        <v>2.4E-2</v>
      </c>
      <c r="O24" s="1472">
        <f t="shared" si="71"/>
        <v>2.0299999999999999E-2</v>
      </c>
      <c r="P24" s="1472">
        <f t="shared" si="71"/>
        <v>2.5899999999999999E-2</v>
      </c>
      <c r="Q24" s="1472">
        <f t="shared" si="71"/>
        <v>1.52E-2</v>
      </c>
      <c r="R24" s="1473"/>
      <c r="S24" s="1471"/>
      <c r="T24" s="1472"/>
      <c r="U24" s="1472"/>
      <c r="V24" s="1472"/>
      <c r="X24" s="1458">
        <f>1+N24</f>
        <v>1.024</v>
      </c>
      <c r="Y24" s="1458">
        <f>1+O24</f>
        <v>1.0203</v>
      </c>
      <c r="Z24" s="1458">
        <f t="shared" si="81"/>
        <v>1.0203</v>
      </c>
      <c r="AA24" s="1458">
        <f>1+P24</f>
        <v>1.0259</v>
      </c>
      <c r="AB24" s="1458">
        <f>1+Q24</f>
        <v>1.0152000000000001</v>
      </c>
      <c r="AD24" s="1459">
        <f>ROUND(AVERAGE(I24:I$25)/100,4)</f>
        <v>2.69E-2</v>
      </c>
      <c r="AE24" s="1459">
        <f>ROUND(AVERAGE(J24:J$25)/100,4)</f>
        <v>2.1899999999999999E-2</v>
      </c>
      <c r="AF24" s="1459">
        <f t="shared" ref="AF24" si="82">AE24</f>
        <v>2.1899999999999999E-2</v>
      </c>
      <c r="AG24" s="1459">
        <f>ROUND(AVERAGE(K24:K$25)/100,4)</f>
        <v>2.9399999999999999E-2</v>
      </c>
      <c r="AH24" s="1459">
        <f>ROUND(AVERAGE(L24:L$25)/100,4)</f>
        <v>1.44E-2</v>
      </c>
    </row>
    <row r="25" spans="1:34" s="1497" customFormat="1" ht="13.5" thickBot="1">
      <c r="A25" s="1493" t="s">
        <v>144</v>
      </c>
      <c r="B25" s="1494">
        <f t="shared" si="79"/>
        <v>307.34512863658733</v>
      </c>
      <c r="C25" s="1494">
        <f t="shared" si="79"/>
        <v>257.80556031626975</v>
      </c>
      <c r="D25" s="1494">
        <f t="shared" si="74"/>
        <v>257.80556031626975</v>
      </c>
      <c r="E25" s="1494">
        <f t="shared" si="80"/>
        <v>422.70928459677179</v>
      </c>
      <c r="F25" s="1494">
        <f t="shared" si="80"/>
        <v>229.73803270336617</v>
      </c>
      <c r="G25" s="3561"/>
      <c r="H25" s="1495">
        <v>1</v>
      </c>
      <c r="I25" s="1495">
        <v>2.97</v>
      </c>
      <c r="J25" s="1495">
        <v>2.34</v>
      </c>
      <c r="K25" s="1495">
        <v>3.28</v>
      </c>
      <c r="L25" s="1496">
        <v>1.36</v>
      </c>
      <c r="N25" s="1498">
        <f t="shared" si="76"/>
        <v>2.9700000000000001E-2</v>
      </c>
      <c r="O25" s="1499">
        <f t="shared" si="71"/>
        <v>2.3399999999999997E-2</v>
      </c>
      <c r="P25" s="1499">
        <f t="shared" si="71"/>
        <v>3.2799999999999996E-2</v>
      </c>
      <c r="Q25" s="1499">
        <f t="shared" si="71"/>
        <v>1.3600000000000001E-2</v>
      </c>
      <c r="R25" s="1500"/>
      <c r="S25" s="1501">
        <f>B25/B26-1</f>
        <v>2.7910129219355539E-2</v>
      </c>
      <c r="T25" s="1502">
        <f>C25/C26-1</f>
        <v>2.3037937762975247E-2</v>
      </c>
      <c r="U25" s="1502">
        <f>E25/E26-1</f>
        <v>3.3519033243940788E-2</v>
      </c>
      <c r="V25" s="1502">
        <f>F25/F26-1</f>
        <v>1.2061818076502862E-2</v>
      </c>
      <c r="W25" s="1503" t="s">
        <v>1158</v>
      </c>
      <c r="X25" s="1504">
        <v>1</v>
      </c>
      <c r="Y25" s="1504">
        <v>1</v>
      </c>
      <c r="Z25" s="1504">
        <v>1</v>
      </c>
      <c r="AA25" s="1504">
        <v>1</v>
      </c>
      <c r="AB25" s="1504">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0" t="s">
        <v>1159</v>
      </c>
      <c r="B26" s="1468">
        <v>299</v>
      </c>
      <c r="C26" s="1468">
        <v>252</v>
      </c>
      <c r="D26" s="1468">
        <f t="shared" si="74"/>
        <v>252</v>
      </c>
      <c r="E26" s="1468">
        <v>409</v>
      </c>
      <c r="F26" s="1469">
        <v>227</v>
      </c>
      <c r="G26" s="3566">
        <v>2013</v>
      </c>
      <c r="H26" s="1505">
        <v>4</v>
      </c>
      <c r="I26" s="1505">
        <v>1.83</v>
      </c>
      <c r="J26" s="1505">
        <v>1.68</v>
      </c>
      <c r="K26" s="1505">
        <v>1.97</v>
      </c>
      <c r="L26" s="1506">
        <v>0.87</v>
      </c>
      <c r="N26" s="1483">
        <f t="shared" si="76"/>
        <v>1.83E-2</v>
      </c>
      <c r="O26" s="1484">
        <f t="shared" si="71"/>
        <v>1.6799999999999999E-2</v>
      </c>
      <c r="P26" s="1484">
        <f t="shared" si="71"/>
        <v>1.9699999999999999E-2</v>
      </c>
      <c r="Q26" s="1484">
        <f t="shared" si="71"/>
        <v>8.6999999999999994E-3</v>
      </c>
      <c r="R26" s="1473"/>
      <c r="S26" s="1474"/>
      <c r="T26" s="1475"/>
      <c r="U26" s="1475"/>
      <c r="V26" s="1475"/>
      <c r="X26" s="1475"/>
      <c r="Y26" s="1475"/>
      <c r="Z26" s="1475"/>
    </row>
    <row r="27" spans="1:34">
      <c r="A27" s="1460" t="s">
        <v>1160</v>
      </c>
      <c r="B27" s="1476">
        <f t="shared" ref="B27:C29" si="83">B26/(1+N26)</f>
        <v>293.62663262299913</v>
      </c>
      <c r="C27" s="1476">
        <f t="shared" si="83"/>
        <v>247.83634933123525</v>
      </c>
      <c r="D27" s="1476">
        <f t="shared" si="74"/>
        <v>247.83634933123525</v>
      </c>
      <c r="E27" s="1476">
        <f t="shared" ref="E27:F29" si="84">E26/(1+P26)</f>
        <v>401.09836226341076</v>
      </c>
      <c r="F27" s="1476">
        <f t="shared" si="84"/>
        <v>225.04213343908003</v>
      </c>
      <c r="G27" s="3567"/>
      <c r="H27" s="1486">
        <v>3</v>
      </c>
      <c r="I27" s="1486">
        <v>1.86</v>
      </c>
      <c r="J27" s="1486">
        <v>1.72</v>
      </c>
      <c r="K27" s="1486">
        <v>1.98</v>
      </c>
      <c r="L27" s="1487">
        <v>0.88</v>
      </c>
      <c r="N27" s="1471">
        <f t="shared" si="76"/>
        <v>1.8600000000000002E-2</v>
      </c>
      <c r="O27" s="1488">
        <f t="shared" si="71"/>
        <v>1.72E-2</v>
      </c>
      <c r="P27" s="1488">
        <f t="shared" si="71"/>
        <v>1.9799999999999998E-2</v>
      </c>
      <c r="Q27" s="1488">
        <f t="shared" si="71"/>
        <v>8.8000000000000005E-3</v>
      </c>
      <c r="R27" s="1473"/>
      <c r="S27" s="1471"/>
      <c r="T27" s="1472"/>
      <c r="U27" s="1472"/>
      <c r="V27" s="1472"/>
    </row>
    <row r="28" spans="1:34">
      <c r="A28" s="1460" t="s">
        <v>1161</v>
      </c>
      <c r="B28" s="1476">
        <f t="shared" si="83"/>
        <v>288.2649053828776</v>
      </c>
      <c r="C28" s="1476">
        <f t="shared" si="83"/>
        <v>243.64564425013293</v>
      </c>
      <c r="D28" s="1476">
        <f t="shared" si="74"/>
        <v>243.64564425013293</v>
      </c>
      <c r="E28" s="1476">
        <f t="shared" si="84"/>
        <v>393.31080825986544</v>
      </c>
      <c r="F28" s="1476">
        <f t="shared" si="84"/>
        <v>223.07903790551154</v>
      </c>
      <c r="G28" s="3567"/>
      <c r="H28" s="1464">
        <v>2</v>
      </c>
      <c r="I28" s="1464">
        <v>2.04</v>
      </c>
      <c r="J28" s="1464">
        <v>2.33</v>
      </c>
      <c r="K28" s="1464">
        <v>2.0699999999999998</v>
      </c>
      <c r="L28" s="1478">
        <v>0.69</v>
      </c>
      <c r="N28" s="1471">
        <f t="shared" si="76"/>
        <v>2.0400000000000001E-2</v>
      </c>
      <c r="O28" s="1488">
        <f t="shared" si="71"/>
        <v>2.3300000000000001E-2</v>
      </c>
      <c r="P28" s="1488">
        <f t="shared" si="71"/>
        <v>2.07E-2</v>
      </c>
      <c r="Q28" s="1488">
        <f t="shared" si="71"/>
        <v>6.8999999999999999E-3</v>
      </c>
      <c r="R28" s="1473"/>
      <c r="S28" s="1471"/>
      <c r="T28" s="1472"/>
      <c r="U28" s="1472"/>
      <c r="V28" s="1472"/>
      <c r="X28" s="1507"/>
      <c r="Y28" s="1508"/>
    </row>
    <row r="29" spans="1:34">
      <c r="A29" s="1460" t="s">
        <v>1162</v>
      </c>
      <c r="B29" s="1476">
        <f t="shared" si="83"/>
        <v>282.50186729015837</v>
      </c>
      <c r="C29" s="1476">
        <f t="shared" si="83"/>
        <v>238.09796174155468</v>
      </c>
      <c r="D29" s="1476">
        <f t="shared" si="74"/>
        <v>238.09796174155468</v>
      </c>
      <c r="E29" s="1476">
        <f t="shared" si="84"/>
        <v>385.33438646014054</v>
      </c>
      <c r="F29" s="1476">
        <f t="shared" si="84"/>
        <v>221.55034055567739</v>
      </c>
      <c r="G29" s="3568"/>
      <c r="H29" s="1463">
        <v>1</v>
      </c>
      <c r="I29" s="1463">
        <v>1.67</v>
      </c>
      <c r="J29" s="1463">
        <v>1.31</v>
      </c>
      <c r="K29" s="1463">
        <v>1.85</v>
      </c>
      <c r="L29" s="1477">
        <v>0.96</v>
      </c>
      <c r="N29" s="1479">
        <f t="shared" si="76"/>
        <v>1.67E-2</v>
      </c>
      <c r="O29" s="1480">
        <f t="shared" si="76"/>
        <v>1.3100000000000001E-2</v>
      </c>
      <c r="P29" s="1480">
        <f t="shared" si="76"/>
        <v>1.8500000000000003E-2</v>
      </c>
      <c r="Q29" s="1480">
        <f t="shared" si="76"/>
        <v>9.5999999999999992E-3</v>
      </c>
      <c r="R29" s="1473"/>
      <c r="S29" s="1479">
        <f>B29/B30-1</f>
        <v>1.6193767230785472E-2</v>
      </c>
      <c r="T29" s="1480">
        <f>C29/C30-1</f>
        <v>1.7512657015190891E-2</v>
      </c>
      <c r="U29" s="1480">
        <f>E29/E30-1</f>
        <v>1.6713420739157048E-2</v>
      </c>
      <c r="V29" s="1480">
        <f>F29/F30-1</f>
        <v>7.0470025258062563E-3</v>
      </c>
      <c r="X29" s="1509"/>
      <c r="Y29" s="1459"/>
      <c r="Z29" s="1459"/>
    </row>
    <row r="30" spans="1:34" ht="13.5" thickBot="1">
      <c r="A30" s="1460" t="s">
        <v>1163</v>
      </c>
      <c r="B30" s="1510">
        <v>278</v>
      </c>
      <c r="C30" s="1510">
        <v>234</v>
      </c>
      <c r="D30" s="1510">
        <f t="shared" si="74"/>
        <v>234</v>
      </c>
      <c r="E30" s="1510">
        <v>379</v>
      </c>
      <c r="F30" s="1511">
        <v>220</v>
      </c>
      <c r="G30" s="3559">
        <v>2012</v>
      </c>
      <c r="H30" s="1481">
        <v>4</v>
      </c>
      <c r="I30" s="1481">
        <v>0.91</v>
      </c>
      <c r="J30" s="1481">
        <v>0.68</v>
      </c>
      <c r="K30" s="1481">
        <v>0.98</v>
      </c>
      <c r="L30" s="1482">
        <v>0.9</v>
      </c>
      <c r="N30" s="1471">
        <f t="shared" si="76"/>
        <v>9.1000000000000004E-3</v>
      </c>
      <c r="O30" s="1472">
        <f t="shared" si="76"/>
        <v>6.8000000000000005E-3</v>
      </c>
      <c r="P30" s="1472">
        <f t="shared" si="76"/>
        <v>9.7999999999999997E-3</v>
      </c>
      <c r="Q30" s="1472">
        <f t="shared" si="76"/>
        <v>9.0000000000000011E-3</v>
      </c>
      <c r="R30" s="1473"/>
      <c r="S30" s="1474"/>
      <c r="T30" s="1475"/>
      <c r="U30" s="1475"/>
      <c r="V30" s="1475"/>
      <c r="X30" s="1475"/>
      <c r="Y30" s="1475"/>
      <c r="Z30" s="1475"/>
    </row>
    <row r="31" spans="1:34">
      <c r="A31" s="1460" t="s">
        <v>1164</v>
      </c>
      <c r="B31" s="1476">
        <f>B30/(1+N30)</f>
        <v>275.49301357645425</v>
      </c>
      <c r="C31" s="1476">
        <f>C30/(1+O30)</f>
        <v>232.41954707985698</v>
      </c>
      <c r="D31" s="1476">
        <f t="shared" si="74"/>
        <v>232.41954707985698</v>
      </c>
      <c r="E31" s="1476">
        <f t="shared" ref="E31:F33" si="85">E30/(1+P30)</f>
        <v>375.32184591008121</v>
      </c>
      <c r="F31" s="1476">
        <f t="shared" si="85"/>
        <v>218.03766105054513</v>
      </c>
      <c r="G31" s="3560"/>
      <c r="H31" s="1486">
        <v>3</v>
      </c>
      <c r="I31" s="1486">
        <v>0.09</v>
      </c>
      <c r="J31" s="1486">
        <v>0.28999999999999998</v>
      </c>
      <c r="K31" s="1486">
        <v>-0.01</v>
      </c>
      <c r="L31" s="1487">
        <v>0.57999999999999996</v>
      </c>
      <c r="N31" s="1471">
        <f t="shared" si="76"/>
        <v>8.9999999999999998E-4</v>
      </c>
      <c r="O31" s="1472">
        <f t="shared" si="76"/>
        <v>2.8999999999999998E-3</v>
      </c>
      <c r="P31" s="1472">
        <f t="shared" si="76"/>
        <v>-1E-4</v>
      </c>
      <c r="Q31" s="1472">
        <f t="shared" si="76"/>
        <v>5.7999999999999996E-3</v>
      </c>
      <c r="R31" s="1473"/>
      <c r="S31" s="1471"/>
      <c r="T31" s="1472"/>
      <c r="U31" s="1472"/>
      <c r="V31" s="1472"/>
    </row>
    <row r="32" spans="1:34">
      <c r="A32" s="1460" t="s">
        <v>1165</v>
      </c>
      <c r="B32" s="1476">
        <f>B31/(1+N31)</f>
        <v>275.24529281292263</v>
      </c>
      <c r="C32" s="1476">
        <f>C31/(1+O31)</f>
        <v>231.74747938962707</v>
      </c>
      <c r="D32" s="1476">
        <f t="shared" si="74"/>
        <v>231.74747938962707</v>
      </c>
      <c r="E32" s="1476">
        <f t="shared" si="85"/>
        <v>375.35938184826603</v>
      </c>
      <c r="F32" s="1476">
        <f t="shared" si="85"/>
        <v>216.78033510692495</v>
      </c>
      <c r="G32" s="3560"/>
      <c r="H32" s="1464">
        <v>2</v>
      </c>
      <c r="I32" s="1464">
        <v>0.02</v>
      </c>
      <c r="J32" s="1464">
        <v>0.12</v>
      </c>
      <c r="K32" s="1464">
        <v>-0.08</v>
      </c>
      <c r="L32" s="1478">
        <v>1.24</v>
      </c>
      <c r="N32" s="1471">
        <f t="shared" si="76"/>
        <v>2.0000000000000001E-4</v>
      </c>
      <c r="O32" s="1472">
        <f t="shared" si="76"/>
        <v>1.1999999999999999E-3</v>
      </c>
      <c r="P32" s="1472">
        <f t="shared" si="76"/>
        <v>-8.0000000000000004E-4</v>
      </c>
      <c r="Q32" s="1472">
        <f t="shared" si="76"/>
        <v>1.24E-2</v>
      </c>
      <c r="R32" s="1473"/>
      <c r="S32" s="1471"/>
      <c r="T32" s="1472"/>
      <c r="U32" s="1472"/>
      <c r="V32" s="1472"/>
    </row>
    <row r="33" spans="1:26" ht="13.5" thickBot="1">
      <c r="A33" s="1460" t="s">
        <v>1166</v>
      </c>
      <c r="B33" s="1476">
        <f>B32/(1+N32)</f>
        <v>275.19025476197027</v>
      </c>
      <c r="C33" s="1512">
        <v>232</v>
      </c>
      <c r="D33" s="1512">
        <f t="shared" si="74"/>
        <v>232</v>
      </c>
      <c r="E33" s="1476">
        <f t="shared" si="85"/>
        <v>375.65990977608692</v>
      </c>
      <c r="F33" s="1476">
        <f t="shared" si="85"/>
        <v>214.12518283971252</v>
      </c>
      <c r="G33" s="3561"/>
      <c r="H33" s="1463">
        <v>1</v>
      </c>
      <c r="I33" s="1463">
        <v>0.02</v>
      </c>
      <c r="J33" s="1463">
        <v>0.13</v>
      </c>
      <c r="K33" s="1463">
        <v>-0.04</v>
      </c>
      <c r="L33" s="1477">
        <v>0.46</v>
      </c>
      <c r="N33" s="1471">
        <f t="shared" si="76"/>
        <v>2.0000000000000001E-4</v>
      </c>
      <c r="O33" s="1472">
        <f t="shared" si="76"/>
        <v>1.2999999999999999E-3</v>
      </c>
      <c r="P33" s="1472">
        <f t="shared" si="76"/>
        <v>-4.0000000000000002E-4</v>
      </c>
      <c r="Q33" s="1472">
        <f t="shared" si="76"/>
        <v>4.5999999999999999E-3</v>
      </c>
      <c r="R33" s="1473"/>
      <c r="S33" s="1479">
        <f>B33/B34-1</f>
        <v>6.9183549807361189E-4</v>
      </c>
      <c r="T33" s="1480">
        <f>C33/C34-1</f>
        <v>0</v>
      </c>
      <c r="U33" s="1480">
        <f>E33/E34-1</f>
        <v>-9.0449527636460303E-4</v>
      </c>
      <c r="V33" s="1480">
        <f>F33/F34-1</f>
        <v>5.2825485432512753E-3</v>
      </c>
      <c r="X33" s="1459"/>
      <c r="Y33" s="1459"/>
      <c r="Z33" s="1459"/>
    </row>
    <row r="34" spans="1:26" ht="13.5" thickBot="1">
      <c r="A34" s="1460" t="s">
        <v>1167</v>
      </c>
      <c r="B34" s="1468">
        <v>275</v>
      </c>
      <c r="C34" s="1468">
        <v>232</v>
      </c>
      <c r="D34" s="1468">
        <f t="shared" si="74"/>
        <v>232</v>
      </c>
      <c r="E34" s="1468">
        <v>376</v>
      </c>
      <c r="F34" s="1469">
        <v>213</v>
      </c>
      <c r="G34" s="3559">
        <v>2011</v>
      </c>
      <c r="H34" s="1481">
        <v>4</v>
      </c>
      <c r="I34" s="1481">
        <v>-0.2</v>
      </c>
      <c r="J34" s="1481">
        <v>0.04</v>
      </c>
      <c r="K34" s="1481">
        <v>-0.34</v>
      </c>
      <c r="L34" s="1482">
        <v>0.46</v>
      </c>
      <c r="N34" s="1483">
        <f t="shared" si="76"/>
        <v>-2E-3</v>
      </c>
      <c r="O34" s="1484">
        <f t="shared" si="76"/>
        <v>4.0000000000000002E-4</v>
      </c>
      <c r="P34" s="1484">
        <f t="shared" si="76"/>
        <v>-3.4000000000000002E-3</v>
      </c>
      <c r="Q34" s="1484">
        <f t="shared" si="76"/>
        <v>4.5999999999999999E-3</v>
      </c>
      <c r="R34" s="1473"/>
      <c r="S34" s="1474"/>
      <c r="T34" s="1475"/>
      <c r="U34" s="1475"/>
      <c r="V34" s="1475"/>
      <c r="X34" s="1475"/>
      <c r="Y34" s="1475"/>
      <c r="Z34" s="1475"/>
    </row>
    <row r="35" spans="1:26">
      <c r="A35" s="1460" t="s">
        <v>1168</v>
      </c>
      <c r="B35" s="1476">
        <f t="shared" ref="B35:C37" si="86">B34/(1+N34)</f>
        <v>275.55110220440883</v>
      </c>
      <c r="C35" s="1476">
        <f t="shared" si="86"/>
        <v>231.90723710515795</v>
      </c>
      <c r="D35" s="1476">
        <f t="shared" si="74"/>
        <v>231.90723710515795</v>
      </c>
      <c r="E35" s="1476">
        <f t="shared" ref="E35:F37" si="87">E34/(1+P34)</f>
        <v>377.28276138872161</v>
      </c>
      <c r="F35" s="1476">
        <f t="shared" si="87"/>
        <v>212.02468644236512</v>
      </c>
      <c r="G35" s="3560">
        <v>2011</v>
      </c>
      <c r="H35" s="1486">
        <v>3</v>
      </c>
      <c r="I35" s="1486">
        <v>0.13</v>
      </c>
      <c r="J35" s="1486">
        <v>0.75</v>
      </c>
      <c r="K35" s="1486">
        <v>-0.08</v>
      </c>
      <c r="L35" s="1487">
        <v>0.53</v>
      </c>
      <c r="N35" s="1471">
        <f t="shared" si="76"/>
        <v>1.2999999999999999E-3</v>
      </c>
      <c r="O35" s="1488">
        <f t="shared" si="76"/>
        <v>7.4999999999999997E-3</v>
      </c>
      <c r="P35" s="1488">
        <f t="shared" si="76"/>
        <v>-8.0000000000000004E-4</v>
      </c>
      <c r="Q35" s="1488">
        <f t="shared" si="76"/>
        <v>5.3E-3</v>
      </c>
      <c r="R35" s="1473"/>
      <c r="S35" s="1471"/>
      <c r="T35" s="1472"/>
      <c r="U35" s="1472"/>
      <c r="V35" s="1472"/>
    </row>
    <row r="36" spans="1:26">
      <c r="A36" s="1460" t="s">
        <v>1169</v>
      </c>
      <c r="B36" s="1476">
        <f t="shared" si="86"/>
        <v>275.19335084830601</v>
      </c>
      <c r="C36" s="1476">
        <f t="shared" si="86"/>
        <v>230.18088050139744</v>
      </c>
      <c r="D36" s="1476">
        <f t="shared" si="74"/>
        <v>230.18088050139744</v>
      </c>
      <c r="E36" s="1476">
        <f t="shared" si="87"/>
        <v>377.58482925212331</v>
      </c>
      <c r="F36" s="1476">
        <f t="shared" si="87"/>
        <v>210.90687997847917</v>
      </c>
      <c r="G36" s="3560">
        <v>2011</v>
      </c>
      <c r="H36" s="1464">
        <v>2</v>
      </c>
      <c r="I36" s="1464">
        <v>-0.4</v>
      </c>
      <c r="J36" s="1464">
        <v>0.17</v>
      </c>
      <c r="K36" s="1464">
        <v>-0.57999999999999996</v>
      </c>
      <c r="L36" s="1478">
        <v>-0.2</v>
      </c>
      <c r="N36" s="1471">
        <f t="shared" si="76"/>
        <v>-4.0000000000000001E-3</v>
      </c>
      <c r="O36" s="1488">
        <f t="shared" si="76"/>
        <v>1.7000000000000001E-3</v>
      </c>
      <c r="P36" s="1488">
        <f t="shared" si="76"/>
        <v>-5.7999999999999996E-3</v>
      </c>
      <c r="Q36" s="1488">
        <f t="shared" si="76"/>
        <v>-2E-3</v>
      </c>
      <c r="R36" s="1473"/>
      <c r="S36" s="1471"/>
      <c r="T36" s="1472"/>
      <c r="U36" s="1472"/>
      <c r="V36" s="1472"/>
    </row>
    <row r="37" spans="1:26" ht="13.5" thickBot="1">
      <c r="A37" s="1460" t="s">
        <v>1170</v>
      </c>
      <c r="B37" s="1476">
        <f t="shared" si="86"/>
        <v>276.29854502841971</v>
      </c>
      <c r="C37" s="1476">
        <f t="shared" si="86"/>
        <v>229.79023709833027</v>
      </c>
      <c r="D37" s="1476">
        <f t="shared" si="74"/>
        <v>229.79023709833027</v>
      </c>
      <c r="E37" s="1476">
        <f t="shared" si="87"/>
        <v>379.78759731655936</v>
      </c>
      <c r="F37" s="1476">
        <f t="shared" si="87"/>
        <v>211.32953905659235</v>
      </c>
      <c r="G37" s="3561">
        <v>2011</v>
      </c>
      <c r="H37" s="1463">
        <v>1</v>
      </c>
      <c r="I37" s="1463">
        <v>2.65</v>
      </c>
      <c r="J37" s="1463">
        <v>3.76</v>
      </c>
      <c r="K37" s="1463">
        <v>1.89</v>
      </c>
      <c r="L37" s="1477">
        <v>7.95</v>
      </c>
      <c r="N37" s="1479">
        <f t="shared" si="76"/>
        <v>2.6499999999999999E-2</v>
      </c>
      <c r="O37" s="1480">
        <f t="shared" si="76"/>
        <v>3.7599999999999995E-2</v>
      </c>
      <c r="P37" s="1480">
        <f t="shared" si="76"/>
        <v>1.89E-2</v>
      </c>
      <c r="Q37" s="1480">
        <f t="shared" si="76"/>
        <v>7.9500000000000001E-2</v>
      </c>
      <c r="R37" s="1473"/>
      <c r="S37" s="1479">
        <f>B37/B38-1</f>
        <v>2.713213765211786E-2</v>
      </c>
      <c r="T37" s="1480">
        <f>C37/C38-1</f>
        <v>3.9774828499231862E-2</v>
      </c>
      <c r="U37" s="1480">
        <f>E37/E38-1</f>
        <v>1.8197311840641772E-2</v>
      </c>
      <c r="V37" s="1480">
        <f>F37/F38-1</f>
        <v>7.8211933962205826E-2</v>
      </c>
      <c r="X37" s="1459"/>
      <c r="Y37" s="1459"/>
      <c r="Z37" s="1459"/>
    </row>
    <row r="38" spans="1:26" ht="13.5" thickBot="1">
      <c r="A38" s="1460" t="s">
        <v>1171</v>
      </c>
      <c r="B38" s="1468">
        <v>269</v>
      </c>
      <c r="C38" s="1468">
        <v>221</v>
      </c>
      <c r="D38" s="1468">
        <f t="shared" si="74"/>
        <v>221</v>
      </c>
      <c r="E38" s="1468">
        <v>373</v>
      </c>
      <c r="F38" s="1469">
        <v>196</v>
      </c>
      <c r="G38" s="3559">
        <v>2010</v>
      </c>
      <c r="H38" s="1481">
        <v>4</v>
      </c>
      <c r="I38" s="1481">
        <v>5.72</v>
      </c>
      <c r="J38" s="1481">
        <v>6.57</v>
      </c>
      <c r="K38" s="1481">
        <v>5.72</v>
      </c>
      <c r="L38" s="1482">
        <v>2.72</v>
      </c>
      <c r="N38" s="1471">
        <f t="shared" si="76"/>
        <v>5.7200000000000001E-2</v>
      </c>
      <c r="O38" s="1472">
        <f t="shared" si="76"/>
        <v>6.5700000000000008E-2</v>
      </c>
      <c r="P38" s="1472">
        <f t="shared" si="76"/>
        <v>5.7200000000000001E-2</v>
      </c>
      <c r="Q38" s="1472">
        <f t="shared" si="76"/>
        <v>2.7200000000000002E-2</v>
      </c>
      <c r="R38" s="1473"/>
      <c r="S38" s="1474"/>
      <c r="T38" s="1475"/>
      <c r="U38" s="1475"/>
      <c r="V38" s="1475"/>
      <c r="X38" s="1475"/>
      <c r="Y38" s="1475"/>
      <c r="Z38" s="1475"/>
    </row>
    <row r="39" spans="1:26">
      <c r="A39" s="1460" t="s">
        <v>1172</v>
      </c>
      <c r="B39" s="1476">
        <f t="shared" ref="B39:C41" si="88">B38/(1+N38)</f>
        <v>254.44570563753314</v>
      </c>
      <c r="C39" s="1476">
        <f t="shared" si="88"/>
        <v>207.37543398705074</v>
      </c>
      <c r="D39" s="1476">
        <f t="shared" si="74"/>
        <v>207.37543398705074</v>
      </c>
      <c r="E39" s="1476">
        <f t="shared" ref="E39:F41" si="89">E38/(1+P38)</f>
        <v>352.81876655315932</v>
      </c>
      <c r="F39" s="1476">
        <f t="shared" si="89"/>
        <v>190.809968847352</v>
      </c>
      <c r="G39" s="3560">
        <v>2010</v>
      </c>
      <c r="H39" s="1486">
        <v>3</v>
      </c>
      <c r="I39" s="1486">
        <v>4.7300000000000004</v>
      </c>
      <c r="J39" s="1486">
        <v>3.9</v>
      </c>
      <c r="K39" s="1486">
        <v>5.03</v>
      </c>
      <c r="L39" s="1487">
        <v>4.21</v>
      </c>
      <c r="N39" s="1471">
        <f t="shared" si="76"/>
        <v>4.7300000000000002E-2</v>
      </c>
      <c r="O39" s="1472">
        <f t="shared" si="76"/>
        <v>3.9E-2</v>
      </c>
      <c r="P39" s="1472">
        <f t="shared" si="76"/>
        <v>5.0300000000000004E-2</v>
      </c>
      <c r="Q39" s="1472">
        <f t="shared" si="76"/>
        <v>4.2099999999999999E-2</v>
      </c>
      <c r="R39" s="1473"/>
      <c r="S39" s="1471"/>
      <c r="T39" s="1472"/>
      <c r="U39" s="1472"/>
      <c r="V39" s="1472"/>
    </row>
    <row r="40" spans="1:26">
      <c r="A40" s="1460" t="s">
        <v>1173</v>
      </c>
      <c r="B40" s="1476">
        <f t="shared" si="88"/>
        <v>242.95398227588385</v>
      </c>
      <c r="C40" s="1476">
        <f t="shared" si="88"/>
        <v>199.59137053614126</v>
      </c>
      <c r="D40" s="1476">
        <f t="shared" si="74"/>
        <v>199.59137053614126</v>
      </c>
      <c r="E40" s="1476">
        <f t="shared" si="89"/>
        <v>335.92189522342125</v>
      </c>
      <c r="F40" s="1476">
        <f t="shared" si="89"/>
        <v>183.10139991109489</v>
      </c>
      <c r="G40" s="3560">
        <v>2010</v>
      </c>
      <c r="H40" s="1464">
        <v>2</v>
      </c>
      <c r="I40" s="1464">
        <v>4.6900000000000004</v>
      </c>
      <c r="J40" s="1464">
        <v>3.55</v>
      </c>
      <c r="K40" s="1464">
        <v>5.07</v>
      </c>
      <c r="L40" s="1478">
        <v>4.2300000000000004</v>
      </c>
      <c r="N40" s="1471">
        <f t="shared" si="76"/>
        <v>4.6900000000000004E-2</v>
      </c>
      <c r="O40" s="1472">
        <f t="shared" si="76"/>
        <v>3.5499999999999997E-2</v>
      </c>
      <c r="P40" s="1472">
        <f t="shared" si="76"/>
        <v>5.0700000000000002E-2</v>
      </c>
      <c r="Q40" s="1472">
        <f t="shared" si="76"/>
        <v>4.2300000000000004E-2</v>
      </c>
      <c r="R40" s="1473"/>
      <c r="S40" s="1471"/>
      <c r="T40" s="1472"/>
      <c r="U40" s="1472"/>
      <c r="V40" s="1472"/>
    </row>
    <row r="41" spans="1:26" ht="13.5" thickBot="1">
      <c r="A41" s="1460" t="s">
        <v>1174</v>
      </c>
      <c r="B41" s="1476">
        <f t="shared" si="88"/>
        <v>232.06990378821649</v>
      </c>
      <c r="C41" s="1476">
        <f t="shared" si="88"/>
        <v>192.74878854286936</v>
      </c>
      <c r="D41" s="1476">
        <f t="shared" si="74"/>
        <v>192.74878854286936</v>
      </c>
      <c r="E41" s="1476">
        <f t="shared" si="89"/>
        <v>319.71247284992984</v>
      </c>
      <c r="F41" s="1476">
        <f t="shared" si="89"/>
        <v>175.67053622862409</v>
      </c>
      <c r="G41" s="3561">
        <v>2010</v>
      </c>
      <c r="H41" s="1463">
        <v>1</v>
      </c>
      <c r="I41" s="1463">
        <v>5.4</v>
      </c>
      <c r="J41" s="1463">
        <v>3.2</v>
      </c>
      <c r="K41" s="1463">
        <v>6.16</v>
      </c>
      <c r="L41" s="1477">
        <v>4.51</v>
      </c>
      <c r="N41" s="1471">
        <f t="shared" si="76"/>
        <v>5.4000000000000006E-2</v>
      </c>
      <c r="O41" s="1472">
        <f t="shared" si="76"/>
        <v>3.2000000000000001E-2</v>
      </c>
      <c r="P41" s="1472">
        <f t="shared" si="76"/>
        <v>6.1600000000000002E-2</v>
      </c>
      <c r="Q41" s="1472">
        <f t="shared" si="76"/>
        <v>4.5100000000000001E-2</v>
      </c>
      <c r="R41" s="1473"/>
      <c r="S41" s="1479">
        <f>B41/B42-1</f>
        <v>5.4863199037347599E-2</v>
      </c>
      <c r="T41" s="1480">
        <f>C41/C42-1</f>
        <v>3.0742184721226584E-2</v>
      </c>
      <c r="U41" s="1480">
        <f>E41/E42-1</f>
        <v>6.2167683886810154E-2</v>
      </c>
      <c r="V41" s="1480">
        <f>F41/F42-1</f>
        <v>4.5657953741810031E-2</v>
      </c>
      <c r="X41" s="1459"/>
      <c r="Y41" s="1459"/>
      <c r="Z41" s="1459"/>
    </row>
    <row r="42" spans="1:26" ht="13.5" thickBot="1">
      <c r="A42" s="1460" t="s">
        <v>1175</v>
      </c>
      <c r="B42" s="1468">
        <v>220</v>
      </c>
      <c r="C42" s="1468">
        <v>187</v>
      </c>
      <c r="D42" s="1468">
        <f t="shared" si="74"/>
        <v>187</v>
      </c>
      <c r="E42" s="1468">
        <v>301</v>
      </c>
      <c r="F42" s="1469">
        <v>168</v>
      </c>
      <c r="G42" s="3559">
        <v>2009</v>
      </c>
      <c r="H42" s="1481">
        <v>4</v>
      </c>
      <c r="I42" s="1481">
        <v>2.2999999999999998</v>
      </c>
      <c r="J42" s="1481">
        <v>1.04</v>
      </c>
      <c r="K42" s="1481">
        <v>2.84</v>
      </c>
      <c r="L42" s="1482">
        <v>0.67</v>
      </c>
      <c r="N42" s="1483">
        <f t="shared" si="76"/>
        <v>2.3E-2</v>
      </c>
      <c r="O42" s="1484">
        <f t="shared" si="76"/>
        <v>1.04E-2</v>
      </c>
      <c r="P42" s="1484">
        <f t="shared" si="76"/>
        <v>2.8399999999999998E-2</v>
      </c>
      <c r="Q42" s="1484">
        <f t="shared" si="76"/>
        <v>6.7000000000000002E-3</v>
      </c>
      <c r="R42" s="1473"/>
      <c r="S42" s="1474"/>
      <c r="T42" s="1475"/>
      <c r="U42" s="1475"/>
      <c r="V42" s="1475"/>
      <c r="X42" s="1475"/>
      <c r="Y42" s="1475"/>
      <c r="Z42" s="1475"/>
    </row>
    <row r="43" spans="1:26">
      <c r="A43" s="1460" t="s">
        <v>1176</v>
      </c>
      <c r="B43" s="1476">
        <f t="shared" ref="B43:C45" si="90">B42/(1+N42)</f>
        <v>215.05376344086022</v>
      </c>
      <c r="C43" s="1476">
        <f t="shared" si="90"/>
        <v>185.0752177355503</v>
      </c>
      <c r="D43" s="1476">
        <f t="shared" si="74"/>
        <v>185.0752177355503</v>
      </c>
      <c r="E43" s="1476">
        <f t="shared" ref="E43:F45" si="91">E42/(1+P42)</f>
        <v>292.68767016725008</v>
      </c>
      <c r="F43" s="1476">
        <f t="shared" si="91"/>
        <v>166.88189132810174</v>
      </c>
      <c r="G43" s="3560">
        <v>2009</v>
      </c>
      <c r="H43" s="1486">
        <v>3</v>
      </c>
      <c r="I43" s="1486">
        <v>2.1</v>
      </c>
      <c r="J43" s="1486">
        <v>1.86</v>
      </c>
      <c r="K43" s="1486">
        <v>2.29</v>
      </c>
      <c r="L43" s="1487">
        <v>0.85</v>
      </c>
      <c r="N43" s="1471">
        <f t="shared" si="76"/>
        <v>2.1000000000000001E-2</v>
      </c>
      <c r="O43" s="1488">
        <f t="shared" si="76"/>
        <v>1.8600000000000002E-2</v>
      </c>
      <c r="P43" s="1488">
        <f t="shared" si="76"/>
        <v>2.29E-2</v>
      </c>
      <c r="Q43" s="1488">
        <f t="shared" si="76"/>
        <v>8.5000000000000006E-3</v>
      </c>
      <c r="R43" s="1473"/>
      <c r="S43" s="1471"/>
      <c r="T43" s="1472"/>
      <c r="U43" s="1472"/>
      <c r="V43" s="1472"/>
    </row>
    <row r="44" spans="1:26">
      <c r="A44" s="1460" t="s">
        <v>1177</v>
      </c>
      <c r="B44" s="1476">
        <f t="shared" si="90"/>
        <v>210.630522469011</v>
      </c>
      <c r="C44" s="1476">
        <f t="shared" si="90"/>
        <v>181.69567812247232</v>
      </c>
      <c r="D44" s="1476">
        <f t="shared" si="74"/>
        <v>181.69567812247232</v>
      </c>
      <c r="E44" s="1476">
        <f t="shared" si="91"/>
        <v>286.13517466736738</v>
      </c>
      <c r="F44" s="1476">
        <f t="shared" si="91"/>
        <v>165.47535084591149</v>
      </c>
      <c r="G44" s="3560">
        <v>2009</v>
      </c>
      <c r="H44" s="1464">
        <v>2</v>
      </c>
      <c r="I44" s="1464">
        <v>0.86</v>
      </c>
      <c r="J44" s="1464">
        <v>-1.1299999999999999</v>
      </c>
      <c r="K44" s="1464">
        <v>1.79</v>
      </c>
      <c r="L44" s="1478">
        <v>-2.0699999999999998</v>
      </c>
      <c r="N44" s="1471">
        <f t="shared" si="76"/>
        <v>8.6E-3</v>
      </c>
      <c r="O44" s="1488">
        <f t="shared" si="76"/>
        <v>-1.1299999999999999E-2</v>
      </c>
      <c r="P44" s="1488">
        <f t="shared" si="76"/>
        <v>1.7899999999999999E-2</v>
      </c>
      <c r="Q44" s="1488">
        <f t="shared" si="76"/>
        <v>-2.07E-2</v>
      </c>
      <c r="R44" s="1473"/>
      <c r="S44" s="1471"/>
      <c r="T44" s="1472"/>
      <c r="U44" s="1472"/>
      <c r="V44" s="1472"/>
    </row>
    <row r="45" spans="1:26">
      <c r="A45" s="1460" t="s">
        <v>1178</v>
      </c>
      <c r="B45" s="1476">
        <f t="shared" si="90"/>
        <v>208.83454537875372</v>
      </c>
      <c r="C45" s="1476">
        <f t="shared" si="90"/>
        <v>183.77230517090351</v>
      </c>
      <c r="D45" s="1476">
        <f t="shared" si="74"/>
        <v>183.77230517090351</v>
      </c>
      <c r="E45" s="1476">
        <f t="shared" si="91"/>
        <v>281.10342338870947</v>
      </c>
      <c r="F45" s="1476">
        <f t="shared" si="91"/>
        <v>168.97309388942256</v>
      </c>
      <c r="G45" s="3561">
        <v>2009</v>
      </c>
      <c r="H45" s="1463">
        <v>1</v>
      </c>
      <c r="I45" s="1463">
        <v>-2.64</v>
      </c>
      <c r="J45" s="1463">
        <v>-2.5299999999999998</v>
      </c>
      <c r="K45" s="1463">
        <v>-3.02</v>
      </c>
      <c r="L45" s="1477">
        <v>1.52</v>
      </c>
      <c r="N45" s="1479">
        <f t="shared" si="76"/>
        <v>-2.64E-2</v>
      </c>
      <c r="O45" s="1480">
        <f t="shared" si="76"/>
        <v>-2.53E-2</v>
      </c>
      <c r="P45" s="1480">
        <f t="shared" si="76"/>
        <v>-3.0200000000000001E-2</v>
      </c>
      <c r="Q45" s="1480">
        <f t="shared" si="76"/>
        <v>1.52E-2</v>
      </c>
      <c r="R45" s="1473"/>
      <c r="S45" s="1479">
        <f>B45/B46-1</f>
        <v>-2.4137638417038754E-2</v>
      </c>
      <c r="T45" s="1480">
        <f>C45/C46-1</f>
        <v>-2.248773845264096E-2</v>
      </c>
      <c r="U45" s="1480">
        <f>E45/E46-1</f>
        <v>-2.7323794502735366E-2</v>
      </c>
      <c r="V45" s="1480">
        <f>F45/F46-1</f>
        <v>1.7910204153148035E-2</v>
      </c>
      <c r="X45" s="1459"/>
      <c r="Y45" s="1459"/>
      <c r="Z45" s="1459"/>
    </row>
    <row r="46" spans="1:26" ht="13.5" thickBot="1">
      <c r="A46" s="1460" t="s">
        <v>1179</v>
      </c>
      <c r="B46" s="1510">
        <v>214</v>
      </c>
      <c r="C46" s="1510">
        <v>188</v>
      </c>
      <c r="D46" s="1510">
        <f t="shared" si="74"/>
        <v>188</v>
      </c>
      <c r="E46" s="1510">
        <v>289</v>
      </c>
      <c r="F46" s="1511">
        <v>166</v>
      </c>
      <c r="G46" s="3559">
        <v>2008</v>
      </c>
      <c r="H46" s="1481">
        <v>4</v>
      </c>
      <c r="I46" s="1481">
        <v>1.73</v>
      </c>
      <c r="J46" s="1481">
        <v>0.03</v>
      </c>
      <c r="K46" s="1481">
        <v>2.59</v>
      </c>
      <c r="L46" s="1482">
        <v>-1.66</v>
      </c>
      <c r="N46" s="1471">
        <f t="shared" si="76"/>
        <v>1.7299999999999999E-2</v>
      </c>
      <c r="O46" s="1472">
        <f t="shared" si="76"/>
        <v>2.9999999999999997E-4</v>
      </c>
      <c r="P46" s="1472">
        <f t="shared" si="76"/>
        <v>2.5899999999999999E-2</v>
      </c>
      <c r="Q46" s="1472">
        <f t="shared" si="76"/>
        <v>-1.66E-2</v>
      </c>
      <c r="R46" s="1473"/>
      <c r="S46" s="1474"/>
      <c r="T46" s="1475"/>
      <c r="U46" s="1475"/>
      <c r="V46" s="1475"/>
      <c r="X46" s="1475"/>
      <c r="Y46" s="1475"/>
      <c r="Z46" s="1475"/>
    </row>
    <row r="47" spans="1:26">
      <c r="A47" s="1460" t="s">
        <v>1180</v>
      </c>
      <c r="B47" s="1476">
        <f t="shared" ref="B47:C49" si="92">B46/(1+N46)</f>
        <v>210.36075887152265</v>
      </c>
      <c r="C47" s="1476">
        <f t="shared" si="92"/>
        <v>187.94361691492554</v>
      </c>
      <c r="D47" s="1476">
        <f t="shared" si="74"/>
        <v>187.94361691492554</v>
      </c>
      <c r="E47" s="1476">
        <f t="shared" ref="E47:F49" si="93">E46/(1+P46)</f>
        <v>281.70386977288234</v>
      </c>
      <c r="F47" s="1476">
        <f t="shared" si="93"/>
        <v>168.80211511083994</v>
      </c>
      <c r="G47" s="3560">
        <v>2008</v>
      </c>
      <c r="H47" s="1486">
        <v>3</v>
      </c>
      <c r="I47" s="1486">
        <v>1.96</v>
      </c>
      <c r="J47" s="1486">
        <v>2.36</v>
      </c>
      <c r="K47" s="1486">
        <v>1.82</v>
      </c>
      <c r="L47" s="1487">
        <v>2.2200000000000002</v>
      </c>
      <c r="N47" s="1471">
        <f t="shared" si="76"/>
        <v>1.9599999999999999E-2</v>
      </c>
      <c r="O47" s="1472">
        <f t="shared" si="76"/>
        <v>2.3599999999999999E-2</v>
      </c>
      <c r="P47" s="1472">
        <f t="shared" si="76"/>
        <v>1.8200000000000001E-2</v>
      </c>
      <c r="Q47" s="1472">
        <f t="shared" si="76"/>
        <v>2.2200000000000001E-2</v>
      </c>
      <c r="R47" s="1473"/>
      <c r="S47" s="1471"/>
      <c r="T47" s="1472"/>
      <c r="U47" s="1472"/>
      <c r="V47" s="1472"/>
    </row>
    <row r="48" spans="1:26">
      <c r="A48" s="1460" t="s">
        <v>1181</v>
      </c>
      <c r="B48" s="1476">
        <f t="shared" si="92"/>
        <v>206.31694671589116</v>
      </c>
      <c r="C48" s="1476">
        <f t="shared" si="92"/>
        <v>183.61041121036101</v>
      </c>
      <c r="D48" s="1476">
        <f t="shared" si="74"/>
        <v>183.61041121036101</v>
      </c>
      <c r="E48" s="1476">
        <f t="shared" si="93"/>
        <v>276.66850301795557</v>
      </c>
      <c r="F48" s="1476">
        <f t="shared" si="93"/>
        <v>165.1360938278614</v>
      </c>
      <c r="G48" s="3560">
        <v>2008</v>
      </c>
      <c r="H48" s="1464">
        <v>2</v>
      </c>
      <c r="I48" s="1464">
        <v>4.93</v>
      </c>
      <c r="J48" s="1464">
        <v>7.38</v>
      </c>
      <c r="K48" s="1464">
        <v>3.98</v>
      </c>
      <c r="L48" s="1478">
        <v>6.86</v>
      </c>
      <c r="N48" s="1471">
        <f t="shared" si="76"/>
        <v>4.9299999999999997E-2</v>
      </c>
      <c r="O48" s="1472">
        <f t="shared" si="76"/>
        <v>7.3800000000000004E-2</v>
      </c>
      <c r="P48" s="1472">
        <f t="shared" si="76"/>
        <v>3.9800000000000002E-2</v>
      </c>
      <c r="Q48" s="1472">
        <f t="shared" si="76"/>
        <v>6.8600000000000008E-2</v>
      </c>
      <c r="R48" s="1473"/>
      <c r="S48" s="1471"/>
      <c r="T48" s="1472"/>
      <c r="U48" s="1472"/>
      <c r="V48" s="1472"/>
    </row>
    <row r="49" spans="1:26" s="1516" customFormat="1" ht="13.5" thickBot="1">
      <c r="A49" s="1460" t="s">
        <v>1182</v>
      </c>
      <c r="B49" s="1513">
        <f t="shared" si="92"/>
        <v>196.62341248059772</v>
      </c>
      <c r="C49" s="1513">
        <f t="shared" si="92"/>
        <v>170.99125648199012</v>
      </c>
      <c r="D49" s="1513">
        <f t="shared" si="74"/>
        <v>170.99125648199012</v>
      </c>
      <c r="E49" s="1513">
        <f t="shared" si="93"/>
        <v>266.07857570490052</v>
      </c>
      <c r="F49" s="1513">
        <f t="shared" si="93"/>
        <v>154.53499328828505</v>
      </c>
      <c r="G49" s="3561">
        <v>2008</v>
      </c>
      <c r="H49" s="1514">
        <v>1</v>
      </c>
      <c r="I49" s="1514">
        <v>4.1399999999999997</v>
      </c>
      <c r="J49" s="1514">
        <v>3.45</v>
      </c>
      <c r="K49" s="1514">
        <v>4.95</v>
      </c>
      <c r="L49" s="1515">
        <v>4.82</v>
      </c>
      <c r="N49" s="1517">
        <f t="shared" si="76"/>
        <v>4.1399999999999999E-2</v>
      </c>
      <c r="O49" s="1518">
        <f t="shared" si="76"/>
        <v>3.4500000000000003E-2</v>
      </c>
      <c r="P49" s="1518">
        <f t="shared" si="76"/>
        <v>4.9500000000000002E-2</v>
      </c>
      <c r="Q49" s="1518">
        <f t="shared" si="76"/>
        <v>4.82E-2</v>
      </c>
      <c r="R49" s="1519"/>
      <c r="S49" s="1517">
        <f>B49/B50-1</f>
        <v>4.5869215322328349E-2</v>
      </c>
      <c r="T49" s="1518">
        <f>C49/C50-1</f>
        <v>3.6310645345394743E-2</v>
      </c>
      <c r="U49" s="1518">
        <f>E49/E50-1</f>
        <v>4.7553447657088688E-2</v>
      </c>
      <c r="V49" s="1518">
        <f>F49/F50-1</f>
        <v>4.4155360055980086E-2</v>
      </c>
      <c r="X49" s="1520"/>
      <c r="Y49" s="1520"/>
      <c r="Z49" s="1520"/>
    </row>
    <row r="50" spans="1:26" ht="13.5" thickBot="1">
      <c r="A50" s="1460" t="s">
        <v>1183</v>
      </c>
      <c r="B50" s="1468">
        <v>188</v>
      </c>
      <c r="C50" s="1468">
        <v>165</v>
      </c>
      <c r="D50" s="1468">
        <f t="shared" si="74"/>
        <v>165</v>
      </c>
      <c r="E50" s="1468">
        <v>254</v>
      </c>
      <c r="F50" s="1469">
        <v>148</v>
      </c>
      <c r="G50" s="3559">
        <v>2007</v>
      </c>
      <c r="H50" s="1521">
        <v>4</v>
      </c>
      <c r="I50" s="1521">
        <v>5.51</v>
      </c>
      <c r="J50" s="1521">
        <v>4.8899999999999997</v>
      </c>
      <c r="K50" s="1521">
        <v>6.43</v>
      </c>
      <c r="L50" s="1522">
        <v>5.36</v>
      </c>
      <c r="N50" s="1523">
        <f t="shared" ref="N50:O53" si="94">B50/B51-1</f>
        <v>4.1339718365245526E-2</v>
      </c>
      <c r="O50" s="1524">
        <f t="shared" si="94"/>
        <v>4.0324492593776018E-2</v>
      </c>
      <c r="P50" s="1524">
        <f t="shared" ref="P50:Q53" si="95">E50/E51-1</f>
        <v>6.1625555347990968E-2</v>
      </c>
      <c r="Q50" s="1524">
        <f t="shared" si="95"/>
        <v>4.6757569250590603E-2</v>
      </c>
      <c r="R50" s="1473"/>
      <c r="S50" s="1474"/>
      <c r="T50" s="1475"/>
      <c r="U50" s="1475"/>
      <c r="V50" s="1475"/>
      <c r="X50" s="1475"/>
      <c r="Y50" s="1475"/>
      <c r="Z50" s="1475"/>
    </row>
    <row r="51" spans="1:26">
      <c r="A51" s="1460" t="s">
        <v>1184</v>
      </c>
      <c r="B51" s="1476">
        <f t="shared" ref="B51:C53" si="96">B52+(B$50-B$54)*I51/SUM(I$50:I$53)</f>
        <v>180.5366651097618</v>
      </c>
      <c r="C51" s="1476">
        <f t="shared" si="96"/>
        <v>158.60435967302453</v>
      </c>
      <c r="D51" s="1476">
        <f t="shared" si="74"/>
        <v>158.60435967302453</v>
      </c>
      <c r="E51" s="1476">
        <f t="shared" ref="E51:F53" si="97">E52+(E$50-E$54)*K51/SUM(K$50:K$53)</f>
        <v>239.25573260785075</v>
      </c>
      <c r="F51" s="1476">
        <f t="shared" si="97"/>
        <v>141.38899430740037</v>
      </c>
      <c r="G51" s="3560">
        <v>2007</v>
      </c>
      <c r="H51" s="1486">
        <v>3</v>
      </c>
      <c r="I51" s="1486">
        <v>8.65</v>
      </c>
      <c r="J51" s="1486">
        <v>8.06</v>
      </c>
      <c r="K51" s="1486">
        <v>9.94</v>
      </c>
      <c r="L51" s="1487">
        <v>5.8</v>
      </c>
      <c r="N51" s="1523">
        <f t="shared" si="94"/>
        <v>6.940217571740015E-2</v>
      </c>
      <c r="O51" s="1524">
        <f t="shared" si="94"/>
        <v>7.1197482471153428E-2</v>
      </c>
      <c r="P51" s="1524">
        <f t="shared" si="95"/>
        <v>0.10529679922579582</v>
      </c>
      <c r="Q51" s="1524">
        <f t="shared" si="95"/>
        <v>5.3292245059512133E-2</v>
      </c>
      <c r="R51" s="1473"/>
      <c r="S51" s="1471"/>
      <c r="T51" s="1472"/>
      <c r="U51" s="1472"/>
      <c r="V51" s="1472"/>
      <c r="X51" s="1525"/>
      <c r="Y51" s="1525"/>
      <c r="Z51" s="1525"/>
    </row>
    <row r="52" spans="1:26">
      <c r="A52" s="1460" t="s">
        <v>1185</v>
      </c>
      <c r="B52" s="1476">
        <f t="shared" si="96"/>
        <v>168.82017748715555</v>
      </c>
      <c r="C52" s="1476">
        <f t="shared" si="96"/>
        <v>148.06267029972753</v>
      </c>
      <c r="D52" s="1476">
        <f t="shared" si="74"/>
        <v>148.06267029972753</v>
      </c>
      <c r="E52" s="1476">
        <f t="shared" si="97"/>
        <v>216.46288379323747</v>
      </c>
      <c r="F52" s="1476">
        <f t="shared" si="97"/>
        <v>134.23529411764704</v>
      </c>
      <c r="G52" s="3560">
        <v>2007</v>
      </c>
      <c r="H52" s="1464">
        <v>2</v>
      </c>
      <c r="I52" s="1464">
        <v>3.67</v>
      </c>
      <c r="J52" s="1464">
        <v>2.3199999999999998</v>
      </c>
      <c r="K52" s="1464">
        <v>5.0199999999999996</v>
      </c>
      <c r="L52" s="1478">
        <v>6.71</v>
      </c>
      <c r="N52" s="1523">
        <f t="shared" si="94"/>
        <v>3.0339138143848032E-2</v>
      </c>
      <c r="O52" s="1524">
        <f t="shared" si="94"/>
        <v>2.0922341588790472E-2</v>
      </c>
      <c r="P52" s="1524">
        <f t="shared" si="95"/>
        <v>5.6164796592717003E-2</v>
      </c>
      <c r="Q52" s="1524">
        <f t="shared" si="95"/>
        <v>6.5704536723887319E-2</v>
      </c>
      <c r="R52" s="1473"/>
      <c r="S52" s="1471"/>
      <c r="T52" s="1472"/>
      <c r="U52" s="1472"/>
      <c r="V52" s="1472"/>
      <c r="X52" s="1525"/>
      <c r="Y52" s="1525"/>
      <c r="Z52" s="1525"/>
    </row>
    <row r="53" spans="1:26">
      <c r="A53" s="1460" t="s">
        <v>1186</v>
      </c>
      <c r="B53" s="1476">
        <f t="shared" si="96"/>
        <v>163.84913591779542</v>
      </c>
      <c r="C53" s="1476">
        <f t="shared" si="96"/>
        <v>145.0283378746594</v>
      </c>
      <c r="D53" s="1476">
        <f t="shared" si="74"/>
        <v>145.0283378746594</v>
      </c>
      <c r="E53" s="1476">
        <f t="shared" si="97"/>
        <v>204.95180722891567</v>
      </c>
      <c r="F53" s="1476">
        <f t="shared" si="97"/>
        <v>125.95920303605313</v>
      </c>
      <c r="G53" s="3561">
        <v>2007</v>
      </c>
      <c r="H53" s="1463">
        <v>1</v>
      </c>
      <c r="I53" s="1463">
        <v>3.58</v>
      </c>
      <c r="J53" s="1463">
        <v>3.08</v>
      </c>
      <c r="K53" s="1463">
        <v>4.34</v>
      </c>
      <c r="L53" s="1477">
        <v>3.21</v>
      </c>
      <c r="N53" s="1526">
        <f t="shared" si="94"/>
        <v>3.0497710174814063E-2</v>
      </c>
      <c r="O53" s="1527">
        <f t="shared" si="94"/>
        <v>2.8569772160704998E-2</v>
      </c>
      <c r="P53" s="1527">
        <f t="shared" si="95"/>
        <v>5.1034908866234296E-2</v>
      </c>
      <c r="Q53" s="1527">
        <f t="shared" si="95"/>
        <v>3.245248390207478E-2</v>
      </c>
      <c r="R53" s="1473"/>
      <c r="S53" s="1479">
        <f>B53/B54-1</f>
        <v>3.0497710174814063E-2</v>
      </c>
      <c r="T53" s="1480">
        <f>C53/C54-1</f>
        <v>2.8569772160704998E-2</v>
      </c>
      <c r="U53" s="1480">
        <f>E53/E54-1</f>
        <v>5.1034908866234296E-2</v>
      </c>
      <c r="V53" s="1480">
        <f>F53/F54-1</f>
        <v>3.245248390207478E-2</v>
      </c>
      <c r="X53" s="1525"/>
      <c r="Y53" s="1525"/>
      <c r="Z53" s="1525"/>
    </row>
    <row r="54" spans="1:26" ht="13.5" thickBot="1">
      <c r="A54" s="1460" t="s">
        <v>1187</v>
      </c>
      <c r="B54" s="1489">
        <v>159</v>
      </c>
      <c r="C54" s="1489">
        <v>141</v>
      </c>
      <c r="D54" s="1489">
        <f t="shared" si="74"/>
        <v>141</v>
      </c>
      <c r="E54" s="1489">
        <v>195</v>
      </c>
      <c r="F54" s="1490">
        <v>122</v>
      </c>
      <c r="G54" s="3559">
        <v>2006</v>
      </c>
      <c r="H54" s="1481">
        <v>4</v>
      </c>
      <c r="I54" s="1481">
        <v>3.79</v>
      </c>
      <c r="J54" s="1481">
        <v>2.21</v>
      </c>
      <c r="K54" s="1481">
        <v>5.65</v>
      </c>
      <c r="L54" s="1482">
        <v>5.41</v>
      </c>
      <c r="N54" s="1523">
        <f t="shared" ref="N54:O57" si="98">I54/SUM(I$54:I$57)*(B$54/B$58-1)</f>
        <v>7.245466462748526E-2</v>
      </c>
      <c r="O54" s="1524">
        <f t="shared" si="98"/>
        <v>2.3237230038062766E-2</v>
      </c>
      <c r="P54" s="1524">
        <f t="shared" ref="P54:Q57" si="99">K54/SUM(K$54:K$57)*(E$54/E$58-1)</f>
        <v>0.16146893866323722</v>
      </c>
      <c r="Q54" s="1524">
        <f t="shared" si="99"/>
        <v>5.0755230321793784E-2</v>
      </c>
      <c r="R54" s="1473"/>
      <c r="S54" s="1474"/>
      <c r="T54" s="1475"/>
      <c r="U54" s="1475"/>
      <c r="V54" s="1475"/>
      <c r="X54" s="1525"/>
      <c r="Y54" s="1525"/>
      <c r="Z54" s="1525"/>
    </row>
    <row r="55" spans="1:26">
      <c r="A55" s="1460" t="s">
        <v>1188</v>
      </c>
      <c r="B55" s="1476">
        <f t="shared" ref="B55:C57" si="100">B56+(B$54-B$58)*I55/SUM(I$54:I$57)</f>
        <v>149.00125628140702</v>
      </c>
      <c r="C55" s="1476">
        <f t="shared" si="100"/>
        <v>137.95592286501378</v>
      </c>
      <c r="D55" s="1476">
        <f t="shared" si="74"/>
        <v>137.95592286501378</v>
      </c>
      <c r="E55" s="1476">
        <f t="shared" ref="E55:F57" si="101">E56+(E$54-E$58)*K55/SUM(K$54:K$57)</f>
        <v>169.97231450719823</v>
      </c>
      <c r="F55" s="1476">
        <f t="shared" si="101"/>
        <v>116.21390374331551</v>
      </c>
      <c r="G55" s="3560">
        <v>2006</v>
      </c>
      <c r="H55" s="1486">
        <v>3</v>
      </c>
      <c r="I55" s="1486">
        <v>0.92</v>
      </c>
      <c r="J55" s="1486">
        <v>1.08</v>
      </c>
      <c r="K55" s="1486">
        <v>0.73</v>
      </c>
      <c r="L55" s="1487">
        <v>1.08</v>
      </c>
      <c r="N55" s="1523">
        <f t="shared" si="98"/>
        <v>1.7587939698492462E-2</v>
      </c>
      <c r="O55" s="1524">
        <f t="shared" si="98"/>
        <v>1.1355750425840628E-2</v>
      </c>
      <c r="P55" s="1524">
        <f t="shared" si="99"/>
        <v>2.0862358446754544E-2</v>
      </c>
      <c r="Q55" s="1524">
        <f t="shared" si="99"/>
        <v>1.0132282578103011E-2</v>
      </c>
      <c r="R55" s="1473"/>
      <c r="S55" s="1471"/>
      <c r="T55" s="1472"/>
      <c r="U55" s="1472"/>
      <c r="V55" s="1472"/>
      <c r="X55" s="1525"/>
      <c r="Y55" s="1525"/>
      <c r="Z55" s="1525"/>
    </row>
    <row r="56" spans="1:26">
      <c r="A56" s="1460" t="s">
        <v>1189</v>
      </c>
      <c r="B56" s="1476">
        <f t="shared" si="100"/>
        <v>146.57412060301507</v>
      </c>
      <c r="C56" s="1476">
        <f t="shared" si="100"/>
        <v>136.46831955922866</v>
      </c>
      <c r="D56" s="1476">
        <f t="shared" si="74"/>
        <v>136.46831955922866</v>
      </c>
      <c r="E56" s="1476">
        <f t="shared" si="101"/>
        <v>166.73864894795128</v>
      </c>
      <c r="F56" s="1476">
        <f t="shared" si="101"/>
        <v>115.05882352941177</v>
      </c>
      <c r="G56" s="3560">
        <v>2006</v>
      </c>
      <c r="H56" s="1464">
        <v>2</v>
      </c>
      <c r="I56" s="1464">
        <v>0.96</v>
      </c>
      <c r="J56" s="1464">
        <v>0.25</v>
      </c>
      <c r="K56" s="1464">
        <v>1.9</v>
      </c>
      <c r="L56" s="1478">
        <v>0.95</v>
      </c>
      <c r="N56" s="1523">
        <f t="shared" si="98"/>
        <v>1.8352632728861701E-2</v>
      </c>
      <c r="O56" s="1524">
        <f t="shared" si="98"/>
        <v>2.6286459319075526E-3</v>
      </c>
      <c r="P56" s="1524">
        <f t="shared" si="99"/>
        <v>5.4299289107991269E-2</v>
      </c>
      <c r="Q56" s="1524">
        <f t="shared" si="99"/>
        <v>8.9126559714794995E-3</v>
      </c>
      <c r="R56" s="1473"/>
      <c r="S56" s="1471"/>
      <c r="T56" s="1472"/>
      <c r="U56" s="1472"/>
      <c r="V56" s="1472"/>
      <c r="X56" s="1525"/>
      <c r="Y56" s="1525"/>
      <c r="Z56" s="1525"/>
    </row>
    <row r="57" spans="1:26">
      <c r="A57" s="1460" t="s">
        <v>1190</v>
      </c>
      <c r="B57" s="1476">
        <f t="shared" si="100"/>
        <v>144.04145728643215</v>
      </c>
      <c r="C57" s="1476">
        <f t="shared" si="100"/>
        <v>136.12396694214877</v>
      </c>
      <c r="D57" s="1476">
        <f t="shared" si="74"/>
        <v>136.12396694214877</v>
      </c>
      <c r="E57" s="1476">
        <f t="shared" si="101"/>
        <v>158.32225913621264</v>
      </c>
      <c r="F57" s="1476">
        <f t="shared" si="101"/>
        <v>114.04278074866311</v>
      </c>
      <c r="G57" s="3561">
        <v>2006</v>
      </c>
      <c r="H57" s="1463">
        <v>1</v>
      </c>
      <c r="I57" s="1463">
        <v>2.29</v>
      </c>
      <c r="J57" s="1463">
        <v>3.72</v>
      </c>
      <c r="K57" s="1463">
        <v>0.75</v>
      </c>
      <c r="L57" s="1477">
        <v>0.04</v>
      </c>
      <c r="N57" s="1526">
        <f t="shared" si="98"/>
        <v>4.3778675988638847E-2</v>
      </c>
      <c r="O57" s="1527">
        <f t="shared" si="98"/>
        <v>3.9114251466784385E-2</v>
      </c>
      <c r="P57" s="1527">
        <f t="shared" si="99"/>
        <v>2.1433929911049188E-2</v>
      </c>
      <c r="Q57" s="1527">
        <f t="shared" si="99"/>
        <v>3.7526972511492629E-4</v>
      </c>
      <c r="R57" s="1473"/>
      <c r="S57" s="1479">
        <f>B57/B58-1</f>
        <v>4.3778675988638716E-2</v>
      </c>
      <c r="T57" s="1480">
        <f>C57/C58-1</f>
        <v>3.91142514667846E-2</v>
      </c>
      <c r="U57" s="1480">
        <f>E57/E58-1</f>
        <v>2.143392991104931E-2</v>
      </c>
      <c r="V57" s="1480">
        <f>F57/F58-1</f>
        <v>3.7526972511492396E-4</v>
      </c>
      <c r="X57" s="1525"/>
      <c r="Y57" s="1525"/>
      <c r="Z57" s="1525"/>
    </row>
    <row r="58" spans="1:26" ht="13.5" thickBot="1">
      <c r="A58" s="1460" t="s">
        <v>1191</v>
      </c>
      <c r="B58" s="1489">
        <v>138</v>
      </c>
      <c r="C58" s="1489">
        <v>131</v>
      </c>
      <c r="D58" s="1489">
        <f t="shared" si="74"/>
        <v>131</v>
      </c>
      <c r="E58" s="1489">
        <v>155</v>
      </c>
      <c r="F58" s="1490">
        <v>114</v>
      </c>
      <c r="G58" s="3559">
        <v>2005</v>
      </c>
      <c r="H58" s="1481">
        <v>4</v>
      </c>
      <c r="I58" s="1481">
        <v>3.29</v>
      </c>
      <c r="J58" s="1481">
        <v>1.44</v>
      </c>
      <c r="K58" s="1481">
        <v>0.66</v>
      </c>
      <c r="L58" s="1482">
        <v>7.78</v>
      </c>
      <c r="N58" s="1523">
        <f t="shared" ref="N58:O61" si="102">I58/SUM(I$58:I$61)*(B$58/B$62-1)</f>
        <v>9.9404603216919935E-2</v>
      </c>
      <c r="O58" s="1524">
        <f t="shared" si="102"/>
        <v>4.7636550760861554E-2</v>
      </c>
      <c r="P58" s="1524">
        <f t="shared" ref="P58:Q61" si="103">K58/SUM(K$58:K$61)*(E$58/E$62-1)</f>
        <v>8.3756345177664976E-2</v>
      </c>
      <c r="Q58" s="1524">
        <f t="shared" si="103"/>
        <v>5.2148766661559584E-2</v>
      </c>
      <c r="R58" s="1473"/>
      <c r="S58" s="1474"/>
      <c r="T58" s="1475"/>
      <c r="U58" s="1475"/>
      <c r="V58" s="1475"/>
      <c r="X58" s="1525"/>
      <c r="Y58" s="1525"/>
      <c r="Z58" s="1525"/>
    </row>
    <row r="59" spans="1:26">
      <c r="A59" s="1460" t="s">
        <v>1192</v>
      </c>
      <c r="B59" s="1476">
        <f t="shared" ref="B59:C61" si="104">B60+(B$58-B$62)*I59/SUM(I$58:I$61)</f>
        <v>125.9720430107527</v>
      </c>
      <c r="C59" s="1476">
        <f t="shared" si="104"/>
        <v>125.1883408071749</v>
      </c>
      <c r="D59" s="1476">
        <f t="shared" si="74"/>
        <v>125.1883408071749</v>
      </c>
      <c r="E59" s="1476">
        <f t="shared" ref="E59:F61" si="105">E60+(E$58-E$62)*K59/SUM(K$58:K$61)</f>
        <v>144.61421319796952</v>
      </c>
      <c r="F59" s="1476">
        <f t="shared" si="105"/>
        <v>108.42008196721311</v>
      </c>
      <c r="G59" s="3560">
        <v>2005</v>
      </c>
      <c r="H59" s="1486">
        <v>3</v>
      </c>
      <c r="I59" s="1486">
        <v>0.46</v>
      </c>
      <c r="J59" s="1486">
        <v>0.32</v>
      </c>
      <c r="K59" s="1486">
        <v>0.42</v>
      </c>
      <c r="L59" s="1487">
        <v>0.64</v>
      </c>
      <c r="N59" s="1523">
        <f t="shared" si="102"/>
        <v>1.3898515951301874E-2</v>
      </c>
      <c r="O59" s="1524">
        <f t="shared" si="102"/>
        <v>1.0585900169080346E-2</v>
      </c>
      <c r="P59" s="1524">
        <f t="shared" si="103"/>
        <v>5.3299492385786795E-2</v>
      </c>
      <c r="Q59" s="1524">
        <f t="shared" si="103"/>
        <v>4.2898728359123568E-3</v>
      </c>
      <c r="R59" s="1473"/>
      <c r="S59" s="1471"/>
      <c r="T59" s="1472"/>
      <c r="U59" s="1472"/>
      <c r="V59" s="1472"/>
      <c r="X59" s="1525"/>
      <c r="Y59" s="1525"/>
      <c r="Z59" s="1525"/>
    </row>
    <row r="60" spans="1:26">
      <c r="A60" s="1460" t="s">
        <v>1193</v>
      </c>
      <c r="B60" s="1476">
        <f t="shared" si="104"/>
        <v>124.29032258064517</v>
      </c>
      <c r="C60" s="1476">
        <f t="shared" si="104"/>
        <v>123.8968609865471</v>
      </c>
      <c r="D60" s="1476">
        <f t="shared" si="74"/>
        <v>123.8968609865471</v>
      </c>
      <c r="E60" s="1476">
        <f t="shared" si="105"/>
        <v>138.00507614213197</v>
      </c>
      <c r="F60" s="1476">
        <f t="shared" si="105"/>
        <v>107.96106557377048</v>
      </c>
      <c r="G60" s="3560">
        <v>2005</v>
      </c>
      <c r="H60" s="1464">
        <v>2</v>
      </c>
      <c r="I60" s="1464">
        <v>0.47</v>
      </c>
      <c r="J60" s="1464">
        <v>0.1</v>
      </c>
      <c r="K60" s="1464">
        <v>0.52</v>
      </c>
      <c r="L60" s="1478">
        <v>0.79</v>
      </c>
      <c r="N60" s="1523">
        <f t="shared" si="102"/>
        <v>1.420065760241713E-2</v>
      </c>
      <c r="O60" s="1524">
        <f t="shared" si="102"/>
        <v>3.3080938028376083E-3</v>
      </c>
      <c r="P60" s="1524">
        <f t="shared" si="103"/>
        <v>6.598984771573603E-2</v>
      </c>
      <c r="Q60" s="1524">
        <f t="shared" si="103"/>
        <v>5.2953117818293153E-3</v>
      </c>
      <c r="R60" s="1473"/>
      <c r="S60" s="1471"/>
      <c r="T60" s="1472"/>
      <c r="U60" s="1472"/>
      <c r="V60" s="1472"/>
      <c r="X60" s="1525"/>
      <c r="Y60" s="1525"/>
      <c r="Z60" s="1525"/>
    </row>
    <row r="61" spans="1:26">
      <c r="A61" s="1460" t="s">
        <v>1194</v>
      </c>
      <c r="B61" s="1476">
        <f t="shared" si="104"/>
        <v>122.57204301075269</v>
      </c>
      <c r="C61" s="1476">
        <f t="shared" si="104"/>
        <v>123.4932735426009</v>
      </c>
      <c r="D61" s="1476">
        <f t="shared" si="74"/>
        <v>123.4932735426009</v>
      </c>
      <c r="E61" s="1476">
        <f t="shared" si="105"/>
        <v>129.82233502538071</v>
      </c>
      <c r="F61" s="1476">
        <f t="shared" si="105"/>
        <v>107.39446721311475</v>
      </c>
      <c r="G61" s="3561">
        <v>2005</v>
      </c>
      <c r="H61" s="1463">
        <v>1</v>
      </c>
      <c r="I61" s="1463">
        <v>0.43</v>
      </c>
      <c r="J61" s="1463">
        <v>0.37</v>
      </c>
      <c r="K61" s="1463">
        <v>0.37</v>
      </c>
      <c r="L61" s="1477">
        <v>0.55000000000000004</v>
      </c>
      <c r="N61" s="1526">
        <f t="shared" si="102"/>
        <v>1.2992090997956099E-2</v>
      </c>
      <c r="O61" s="1527">
        <f t="shared" si="102"/>
        <v>1.2239947070499151E-2</v>
      </c>
      <c r="P61" s="1527">
        <f t="shared" si="103"/>
        <v>4.6954314720812178E-2</v>
      </c>
      <c r="Q61" s="1527">
        <f t="shared" si="103"/>
        <v>3.6866094683621815E-3</v>
      </c>
      <c r="R61" s="1473"/>
      <c r="S61" s="1479">
        <f>B61/B62-1</f>
        <v>1.2992090997956174E-2</v>
      </c>
      <c r="T61" s="1480">
        <f>C61/C62-1</f>
        <v>1.2239947070499246E-2</v>
      </c>
      <c r="U61" s="1480">
        <f>E61/E62-1</f>
        <v>4.695431472081224E-2</v>
      </c>
      <c r="V61" s="1480">
        <f>F61/F62-1</f>
        <v>3.6866094683620787E-3</v>
      </c>
      <c r="X61" s="1525"/>
      <c r="Y61" s="1525"/>
      <c r="Z61" s="1525"/>
    </row>
    <row r="62" spans="1:26" ht="13.5" thickBot="1">
      <c r="A62" s="1460" t="s">
        <v>1195</v>
      </c>
      <c r="B62" s="1510">
        <v>121</v>
      </c>
      <c r="C62" s="1510">
        <v>122</v>
      </c>
      <c r="D62" s="1510">
        <f t="shared" si="74"/>
        <v>122</v>
      </c>
      <c r="E62" s="1510">
        <v>124</v>
      </c>
      <c r="F62" s="1511">
        <v>107</v>
      </c>
      <c r="G62" s="3559">
        <v>2004</v>
      </c>
      <c r="H62" s="1481">
        <v>4</v>
      </c>
      <c r="I62" s="1481">
        <v>0.33</v>
      </c>
      <c r="J62" s="1481">
        <v>0.5</v>
      </c>
      <c r="K62" s="1481">
        <v>0.5</v>
      </c>
      <c r="L62" s="1482">
        <v>0</v>
      </c>
      <c r="N62" s="1523">
        <f t="shared" ref="N62:O65" si="106">I62/SUM(I$62:I$65)*(B$62/B$66-1)</f>
        <v>1.3391770148526898E-2</v>
      </c>
      <c r="O62" s="1524">
        <f t="shared" si="106"/>
        <v>1.063264221158958E-2</v>
      </c>
      <c r="P62" s="1524">
        <f t="shared" ref="P62:Q65" si="107">K62/SUM(K$62:K$65)*(E$62/E$66-1)</f>
        <v>2.2244466688911134E-2</v>
      </c>
      <c r="Q62" s="1524">
        <f t="shared" si="107"/>
        <v>0</v>
      </c>
      <c r="R62" s="1473"/>
      <c r="S62" s="1474"/>
      <c r="T62" s="1475"/>
      <c r="U62" s="1475"/>
      <c r="V62" s="1475"/>
      <c r="X62" s="1525"/>
      <c r="Y62" s="1525"/>
      <c r="Z62" s="1525"/>
    </row>
    <row r="63" spans="1:26">
      <c r="A63" s="1460" t="s">
        <v>1196</v>
      </c>
      <c r="B63" s="1476">
        <f t="shared" ref="B63:C65" si="108">B64+(B$62-B$66)*I63/SUM(I$62:I$65)</f>
        <v>119.51351351351352</v>
      </c>
      <c r="C63" s="1476">
        <f t="shared" si="108"/>
        <v>120.7878787878788</v>
      </c>
      <c r="D63" s="1476">
        <f t="shared" si="74"/>
        <v>120.7878787878788</v>
      </c>
      <c r="E63" s="1476">
        <f t="shared" ref="E63:F65" si="109">E64+(E$62-E$66)*K63/SUM(K$62:K$65)</f>
        <v>121.5975975975976</v>
      </c>
      <c r="F63" s="1476">
        <f t="shared" si="109"/>
        <v>107</v>
      </c>
      <c r="G63" s="3560">
        <v>2004</v>
      </c>
      <c r="H63" s="1486">
        <v>3</v>
      </c>
      <c r="I63" s="1486">
        <v>0.56000000000000005</v>
      </c>
      <c r="J63" s="1486">
        <v>0.8</v>
      </c>
      <c r="K63" s="1486">
        <v>0.83</v>
      </c>
      <c r="L63" s="1487">
        <v>0.06</v>
      </c>
      <c r="N63" s="1523">
        <f t="shared" si="106"/>
        <v>2.2725428130833527E-2</v>
      </c>
      <c r="O63" s="1524">
        <f t="shared" si="106"/>
        <v>1.7012227538543329E-2</v>
      </c>
      <c r="P63" s="1524">
        <f t="shared" si="107"/>
        <v>3.6925814703592477E-2</v>
      </c>
      <c r="Q63" s="1524">
        <f t="shared" si="107"/>
        <v>2.8846153846153744E-2</v>
      </c>
      <c r="R63" s="1473"/>
      <c r="S63" s="1471"/>
      <c r="T63" s="1472"/>
      <c r="U63" s="1472"/>
      <c r="V63" s="1472"/>
      <c r="X63" s="1525"/>
      <c r="Y63" s="1525"/>
      <c r="Z63" s="1525"/>
    </row>
    <row r="64" spans="1:26">
      <c r="A64" s="1460" t="s">
        <v>1197</v>
      </c>
      <c r="B64" s="1476">
        <f t="shared" si="108"/>
        <v>116.99099099099099</v>
      </c>
      <c r="C64" s="1476">
        <f t="shared" si="108"/>
        <v>118.84848484848486</v>
      </c>
      <c r="D64" s="1476">
        <f t="shared" si="74"/>
        <v>118.84848484848486</v>
      </c>
      <c r="E64" s="1476">
        <f t="shared" si="109"/>
        <v>117.60960960960961</v>
      </c>
      <c r="F64" s="1476">
        <f t="shared" si="109"/>
        <v>104</v>
      </c>
      <c r="G64" s="3560">
        <v>2004</v>
      </c>
      <c r="H64" s="1464">
        <v>2</v>
      </c>
      <c r="I64" s="1464">
        <v>1</v>
      </c>
      <c r="J64" s="1464">
        <v>1.5</v>
      </c>
      <c r="K64" s="1464">
        <v>1.5</v>
      </c>
      <c r="L64" s="1478">
        <v>0</v>
      </c>
      <c r="N64" s="1523">
        <f t="shared" si="106"/>
        <v>4.0581121662202721E-2</v>
      </c>
      <c r="O64" s="1524">
        <f t="shared" si="106"/>
        <v>3.1897926634768738E-2</v>
      </c>
      <c r="P64" s="1524">
        <f t="shared" si="107"/>
        <v>6.6733400066733395E-2</v>
      </c>
      <c r="Q64" s="1524">
        <f t="shared" si="107"/>
        <v>0</v>
      </c>
      <c r="R64" s="1473"/>
      <c r="S64" s="1471"/>
      <c r="T64" s="1472"/>
      <c r="U64" s="1472"/>
      <c r="V64" s="1472"/>
      <c r="X64" s="1525"/>
      <c r="Y64" s="1525"/>
      <c r="Z64" s="1525"/>
    </row>
    <row r="65" spans="1:26" s="1516" customFormat="1" ht="13.5" thickBot="1">
      <c r="A65" s="1460" t="s">
        <v>1198</v>
      </c>
      <c r="B65" s="1513">
        <f t="shared" si="108"/>
        <v>112.48648648648648</v>
      </c>
      <c r="C65" s="1513">
        <f t="shared" si="108"/>
        <v>115.21212121212122</v>
      </c>
      <c r="D65" s="1513">
        <f t="shared" si="74"/>
        <v>115.21212121212122</v>
      </c>
      <c r="E65" s="1513">
        <f t="shared" si="109"/>
        <v>110.4024024024024</v>
      </c>
      <c r="F65" s="1513">
        <f t="shared" si="109"/>
        <v>104</v>
      </c>
      <c r="G65" s="3561">
        <v>2004</v>
      </c>
      <c r="H65" s="1514">
        <v>1</v>
      </c>
      <c r="I65" s="1514">
        <v>0.33</v>
      </c>
      <c r="J65" s="1514">
        <v>0.5</v>
      </c>
      <c r="K65" s="1514">
        <v>0.5</v>
      </c>
      <c r="L65" s="1515">
        <v>0</v>
      </c>
      <c r="N65" s="1528">
        <f t="shared" si="106"/>
        <v>1.3391770148526898E-2</v>
      </c>
      <c r="O65" s="1529">
        <f t="shared" si="106"/>
        <v>1.063264221158958E-2</v>
      </c>
      <c r="P65" s="1529">
        <f t="shared" si="107"/>
        <v>2.2244466688911134E-2</v>
      </c>
      <c r="Q65" s="1529">
        <f t="shared" si="107"/>
        <v>0</v>
      </c>
      <c r="R65" s="1519"/>
      <c r="S65" s="1517">
        <f>B65/B66-1</f>
        <v>1.3391770148526883E-2</v>
      </c>
      <c r="T65" s="1518">
        <f>C65/C66-1</f>
        <v>1.063264221158966E-2</v>
      </c>
      <c r="U65" s="1518">
        <f>E65/E66-1</f>
        <v>2.2244466688911224E-2</v>
      </c>
      <c r="V65" s="1518">
        <f>F65/F66-1</f>
        <v>0</v>
      </c>
      <c r="X65" s="1530"/>
      <c r="Y65" s="1530"/>
      <c r="Z65" s="1530"/>
    </row>
    <row r="66" spans="1:26" ht="13.5" thickBot="1">
      <c r="A66" s="1460" t="s">
        <v>1199</v>
      </c>
      <c r="B66" s="1531">
        <v>111</v>
      </c>
      <c r="C66" s="1531">
        <v>114</v>
      </c>
      <c r="D66" s="1531">
        <f t="shared" si="74"/>
        <v>114</v>
      </c>
      <c r="E66" s="1531">
        <v>108</v>
      </c>
      <c r="F66" s="1532">
        <v>104</v>
      </c>
      <c r="G66" s="3559">
        <v>2003</v>
      </c>
      <c r="H66" s="1521">
        <v>4</v>
      </c>
      <c r="I66" s="1533"/>
      <c r="J66" s="1533"/>
      <c r="K66" s="1533"/>
      <c r="L66" s="1533"/>
      <c r="N66" s="1534"/>
      <c r="O66" s="1533"/>
      <c r="P66" s="1533"/>
      <c r="Q66" s="1533"/>
      <c r="S66" s="1534"/>
      <c r="T66" s="1533"/>
      <c r="U66" s="1533"/>
      <c r="V66" s="1533"/>
      <c r="X66" s="1525"/>
      <c r="Y66" s="1525"/>
      <c r="Z66" s="1525"/>
    </row>
    <row r="67" spans="1:26">
      <c r="A67" s="1460" t="s">
        <v>1200</v>
      </c>
      <c r="B67" s="1535">
        <f t="shared" ref="B67:C69" si="110">B68+(B$66-B$70)/4</f>
        <v>109.75</v>
      </c>
      <c r="C67" s="1535">
        <f t="shared" si="110"/>
        <v>112.25</v>
      </c>
      <c r="D67" s="1535">
        <f t="shared" si="74"/>
        <v>112.25</v>
      </c>
      <c r="E67" s="1535">
        <f t="shared" ref="E67:F69" si="111">E68+(E$66-E$70)/4</f>
        <v>107.25</v>
      </c>
      <c r="F67" s="1535">
        <f t="shared" si="111"/>
        <v>103.5</v>
      </c>
      <c r="G67" s="3560">
        <v>2003</v>
      </c>
      <c r="H67" s="1486">
        <v>3</v>
      </c>
      <c r="I67" s="1533"/>
      <c r="J67" s="1533"/>
      <c r="K67" s="1533"/>
      <c r="L67" s="1533"/>
      <c r="X67" s="1525"/>
      <c r="Y67" s="1525"/>
      <c r="Z67" s="1525"/>
    </row>
    <row r="68" spans="1:26">
      <c r="A68" s="1460" t="s">
        <v>1201</v>
      </c>
      <c r="B68" s="1535">
        <f t="shared" si="110"/>
        <v>108.5</v>
      </c>
      <c r="C68" s="1535">
        <f t="shared" si="110"/>
        <v>110.5</v>
      </c>
      <c r="D68" s="1535">
        <f t="shared" si="74"/>
        <v>110.5</v>
      </c>
      <c r="E68" s="1535">
        <f t="shared" si="111"/>
        <v>106.5</v>
      </c>
      <c r="F68" s="1535">
        <f t="shared" si="111"/>
        <v>103</v>
      </c>
      <c r="G68" s="3560">
        <v>2003</v>
      </c>
      <c r="H68" s="1464">
        <v>2</v>
      </c>
      <c r="I68" s="1533"/>
      <c r="J68" s="1533"/>
      <c r="K68" s="1533"/>
      <c r="L68" s="1533"/>
      <c r="X68" s="1525"/>
      <c r="Y68" s="1525"/>
      <c r="Z68" s="1525"/>
    </row>
    <row r="69" spans="1:26" ht="13.5" thickBot="1">
      <c r="A69" s="1460" t="s">
        <v>1202</v>
      </c>
      <c r="B69" s="1535">
        <f t="shared" si="110"/>
        <v>107.25</v>
      </c>
      <c r="C69" s="1535">
        <f t="shared" si="110"/>
        <v>108.75</v>
      </c>
      <c r="D69" s="1535">
        <f t="shared" si="74"/>
        <v>108.75</v>
      </c>
      <c r="E69" s="1535">
        <f t="shared" si="111"/>
        <v>105.75</v>
      </c>
      <c r="F69" s="1535">
        <f t="shared" si="111"/>
        <v>102.5</v>
      </c>
      <c r="G69" s="3561">
        <v>2003</v>
      </c>
      <c r="H69" s="1536">
        <v>1</v>
      </c>
      <c r="I69" s="1533"/>
      <c r="J69" s="1533"/>
      <c r="K69" s="1533"/>
      <c r="L69" s="1533"/>
      <c r="S69" s="1471"/>
      <c r="T69" s="1472"/>
      <c r="U69" s="1472"/>
      <c r="X69" s="1525"/>
      <c r="Y69" s="1525"/>
      <c r="Z69" s="1525"/>
    </row>
    <row r="70" spans="1:26" ht="13.5" thickBot="1">
      <c r="A70" s="1460" t="s">
        <v>1203</v>
      </c>
      <c r="B70" s="1537">
        <v>106</v>
      </c>
      <c r="C70" s="1537">
        <v>107</v>
      </c>
      <c r="D70" s="1537">
        <f t="shared" si="74"/>
        <v>107</v>
      </c>
      <c r="E70" s="1537">
        <v>105</v>
      </c>
      <c r="F70" s="1538">
        <v>102</v>
      </c>
      <c r="G70" s="3559">
        <v>2002</v>
      </c>
      <c r="H70" s="1481">
        <v>4</v>
      </c>
      <c r="I70" s="1533"/>
      <c r="J70" s="1533"/>
      <c r="K70" s="1533"/>
      <c r="L70" s="1533"/>
      <c r="N70" s="1534"/>
      <c r="O70" s="1533"/>
      <c r="P70" s="1533"/>
      <c r="Q70" s="1533"/>
      <c r="S70" s="1534"/>
      <c r="T70" s="1533"/>
      <c r="U70" s="1533"/>
      <c r="V70" s="1533"/>
      <c r="X70" s="1525"/>
      <c r="Y70" s="1525"/>
      <c r="Z70" s="1525"/>
    </row>
    <row r="71" spans="1:26">
      <c r="A71" s="1460" t="s">
        <v>1204</v>
      </c>
      <c r="B71" s="1535">
        <f t="shared" ref="B71:C73" si="112">B72+(B$70-B$74)/4</f>
        <v>105</v>
      </c>
      <c r="C71" s="1535">
        <f t="shared" si="112"/>
        <v>106</v>
      </c>
      <c r="D71" s="1535">
        <f t="shared" si="74"/>
        <v>106</v>
      </c>
      <c r="E71" s="1535">
        <f t="shared" ref="E71:F73" si="113">E72+(E$70-E$74)/4</f>
        <v>104.5</v>
      </c>
      <c r="F71" s="1535">
        <f t="shared" si="113"/>
        <v>101.5</v>
      </c>
      <c r="G71" s="3560">
        <v>2002</v>
      </c>
      <c r="H71" s="1486">
        <v>3</v>
      </c>
      <c r="I71" s="1533"/>
      <c r="J71" s="1533"/>
      <c r="K71" s="1533"/>
      <c r="L71" s="1533"/>
      <c r="X71" s="1525"/>
      <c r="Y71" s="1525"/>
      <c r="Z71" s="1525"/>
    </row>
    <row r="72" spans="1:26">
      <c r="A72" s="1460" t="s">
        <v>1205</v>
      </c>
      <c r="B72" s="1535">
        <f t="shared" si="112"/>
        <v>104</v>
      </c>
      <c r="C72" s="1535">
        <f t="shared" si="112"/>
        <v>105</v>
      </c>
      <c r="D72" s="1535">
        <f t="shared" si="74"/>
        <v>105</v>
      </c>
      <c r="E72" s="1535">
        <f t="shared" si="113"/>
        <v>104</v>
      </c>
      <c r="F72" s="1535">
        <f t="shared" si="113"/>
        <v>101</v>
      </c>
      <c r="G72" s="3560">
        <v>2002</v>
      </c>
      <c r="H72" s="1464">
        <v>2</v>
      </c>
      <c r="I72" s="1533"/>
      <c r="J72" s="1533"/>
      <c r="K72" s="1533"/>
      <c r="L72" s="1533"/>
      <c r="X72" s="1525"/>
      <c r="Y72" s="1525"/>
      <c r="Z72" s="1525"/>
    </row>
    <row r="73" spans="1:26" s="1497" customFormat="1" ht="13.5" thickBot="1">
      <c r="A73" s="1493" t="s">
        <v>1206</v>
      </c>
      <c r="B73" s="1539">
        <f t="shared" si="112"/>
        <v>103</v>
      </c>
      <c r="C73" s="1539">
        <f t="shared" si="112"/>
        <v>104</v>
      </c>
      <c r="D73" s="1539">
        <f t="shared" si="74"/>
        <v>104</v>
      </c>
      <c r="E73" s="1539">
        <f t="shared" si="113"/>
        <v>103.5</v>
      </c>
      <c r="F73" s="1539">
        <f t="shared" si="113"/>
        <v>100.5</v>
      </c>
      <c r="G73" s="3561">
        <v>2002</v>
      </c>
      <c r="H73" s="1540">
        <v>1</v>
      </c>
      <c r="I73" s="1541"/>
      <c r="J73" s="1541"/>
      <c r="K73" s="1541"/>
      <c r="L73" s="1541"/>
      <c r="N73" s="1542"/>
      <c r="S73" s="1542"/>
      <c r="X73" s="1543"/>
      <c r="Y73" s="1543"/>
      <c r="Z73" s="1543"/>
    </row>
    <row r="74" spans="1:26" ht="13.5" thickBot="1">
      <c r="B74" s="1544">
        <v>102</v>
      </c>
      <c r="C74" s="1545">
        <v>103</v>
      </c>
      <c r="D74" s="1545">
        <f t="shared" si="74"/>
        <v>103</v>
      </c>
      <c r="E74" s="1545">
        <v>103</v>
      </c>
      <c r="F74" s="1546">
        <v>100</v>
      </c>
      <c r="I74" s="1533"/>
      <c r="J74" s="1533"/>
      <c r="K74" s="1533"/>
      <c r="L74" s="1533"/>
      <c r="N74" s="1534"/>
      <c r="O74" s="1533"/>
      <c r="P74" s="1533"/>
      <c r="Q74" s="1533"/>
      <c r="S74" s="1534"/>
      <c r="T74" s="1533"/>
      <c r="U74" s="1533"/>
      <c r="V74" s="1533"/>
      <c r="X74" s="1475"/>
      <c r="Y74" s="1475"/>
      <c r="Z74" s="1475"/>
    </row>
    <row r="76" spans="1:26" s="1548" customFormat="1">
      <c r="A76" s="1547" t="s">
        <v>1207</v>
      </c>
      <c r="G76" s="1549"/>
      <c r="N76" s="1549"/>
      <c r="S76" s="1549"/>
    </row>
    <row r="77" spans="1:26" s="1548" customFormat="1">
      <c r="A77" s="1548" t="s">
        <v>1208</v>
      </c>
      <c r="G77" s="1549"/>
      <c r="N77" s="1549"/>
      <c r="S77" s="1549"/>
    </row>
    <row r="78" spans="1:26" s="1548" customFormat="1">
      <c r="A78" s="1548" t="s">
        <v>1209</v>
      </c>
      <c r="G78" s="1549"/>
      <c r="I78" s="1550"/>
      <c r="J78" s="1550"/>
      <c r="K78" s="1550"/>
      <c r="L78" s="1550"/>
      <c r="N78" s="1551"/>
      <c r="O78" s="1550"/>
      <c r="P78" s="1550"/>
      <c r="Q78" s="1550"/>
      <c r="S78" s="1551"/>
      <c r="T78" s="1550"/>
      <c r="U78" s="1550"/>
      <c r="V78" s="1550"/>
    </row>
    <row r="79" spans="1:26" s="1548" customFormat="1">
      <c r="A79" s="1548" t="s">
        <v>1210</v>
      </c>
      <c r="G79" s="1549"/>
      <c r="N79" s="1549"/>
      <c r="S79" s="1549"/>
    </row>
    <row r="86" spans="7:22" ht="13.5" thickBot="1"/>
    <row r="87" spans="7:22">
      <c r="G87" s="1470"/>
      <c r="S87" s="1552" t="s">
        <v>1211</v>
      </c>
      <c r="T87" s="1553" t="s">
        <v>1212</v>
      </c>
      <c r="U87" s="1553" t="s">
        <v>1213</v>
      </c>
      <c r="V87" s="1553" t="s">
        <v>1214</v>
      </c>
    </row>
    <row r="88" spans="7:22">
      <c r="G88" s="1470"/>
      <c r="N88" s="1474"/>
      <c r="O88" s="1475"/>
      <c r="P88" s="1475"/>
      <c r="Q88" s="1475"/>
      <c r="S88" s="1554">
        <v>2006</v>
      </c>
      <c r="T88" s="1555">
        <v>15.1</v>
      </c>
      <c r="U88" s="1555">
        <v>7.43</v>
      </c>
      <c r="V88" s="1555">
        <v>26.26</v>
      </c>
    </row>
    <row r="89" spans="7:22">
      <c r="G89" s="1470"/>
      <c r="N89" s="1474"/>
      <c r="O89" s="1475"/>
      <c r="P89" s="1475"/>
      <c r="Q89" s="1475"/>
      <c r="S89" s="1556">
        <v>2005</v>
      </c>
      <c r="T89" s="1557">
        <v>13.9</v>
      </c>
      <c r="U89" s="1557">
        <v>7.49</v>
      </c>
      <c r="V89" s="1557">
        <v>24.92</v>
      </c>
    </row>
    <row r="90" spans="7:22">
      <c r="G90" s="1470"/>
      <c r="N90" s="1474"/>
      <c r="O90" s="1475"/>
      <c r="P90" s="1475"/>
      <c r="Q90" s="1475"/>
      <c r="S90" s="1554">
        <v>2004</v>
      </c>
      <c r="T90" s="1555">
        <v>9.48</v>
      </c>
      <c r="U90" s="1555">
        <v>7.2</v>
      </c>
      <c r="V90" s="1555">
        <v>14.68</v>
      </c>
    </row>
    <row r="91" spans="7:22">
      <c r="G91" s="1470"/>
      <c r="N91" s="1474"/>
      <c r="O91" s="1475"/>
      <c r="P91" s="1475"/>
      <c r="Q91" s="1475"/>
      <c r="S91" s="1556">
        <v>2003</v>
      </c>
      <c r="T91" s="1557">
        <v>4.5</v>
      </c>
      <c r="U91" s="1557">
        <v>6.12</v>
      </c>
      <c r="V91" s="1557">
        <v>2.34</v>
      </c>
    </row>
    <row r="92" spans="7:22" ht="13.5" thickBot="1">
      <c r="G92" s="1470"/>
      <c r="N92" s="1474"/>
      <c r="O92" s="1475"/>
      <c r="P92" s="1475"/>
      <c r="Q92" s="1475"/>
      <c r="S92" s="1558">
        <v>2002</v>
      </c>
      <c r="T92" s="1559">
        <v>3.59</v>
      </c>
      <c r="U92" s="1559">
        <v>4.54</v>
      </c>
      <c r="V92" s="1559">
        <v>2.5499999999999998</v>
      </c>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0" sqref="F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t="s">
        <v>3067</v>
      </c>
      <c r="D1" s="1819" t="s">
        <v>70</v>
      </c>
      <c r="E1" s="1820" t="s">
        <v>1383</v>
      </c>
      <c r="F1" s="1282" t="e">
        <f ca="1">J53</f>
        <v>#N/A</v>
      </c>
      <c r="G1" s="1835"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t="e">
        <f ca="1">C40+J29+L46</f>
        <v>#N/A</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t="e">
        <f ca="1">C6+C10+C12</f>
        <v>#N/A</v>
      </c>
      <c r="D5" s="1821" t="s">
        <v>1398</v>
      </c>
      <c r="E5" s="1292"/>
      <c r="F5" s="1293"/>
      <c r="G5" s="1850"/>
      <c r="H5" s="343">
        <v>1</v>
      </c>
      <c r="I5" s="344" t="s">
        <v>1397</v>
      </c>
      <c r="J5" s="1291" t="e">
        <f ca="1">J6+J10+J12</f>
        <v>#N/A</v>
      </c>
      <c r="K5" s="1821" t="s">
        <v>1398</v>
      </c>
      <c r="L5" s="1292"/>
      <c r="M5" s="1293"/>
    </row>
    <row r="6" spans="1:37" ht="18" customHeight="1">
      <c r="A6" s="1290" t="s">
        <v>1032</v>
      </c>
      <c r="B6" s="3490" t="s">
        <v>1399</v>
      </c>
      <c r="C6" s="1295" t="e">
        <f ca="1">ROUND(F6*F8*F7*(1-F9)/10000,0)</f>
        <v>#N/A</v>
      </c>
      <c r="D6" s="163" t="s">
        <v>3031</v>
      </c>
      <c r="E6" s="346" t="s">
        <v>1401</v>
      </c>
      <c r="F6" s="347" t="e">
        <f ca="1">INDIRECT("'数据-取费表'!u"&amp;$G$1)</f>
        <v>#N/A</v>
      </c>
      <c r="G6" s="1850"/>
      <c r="H6" s="1290" t="s">
        <v>1032</v>
      </c>
      <c r="I6" s="3490" t="s">
        <v>1399</v>
      </c>
      <c r="J6" s="345" t="e">
        <f ca="1">ROUND(M6*M8*M7*(1-M9)/10000,0)</f>
        <v>#N/A</v>
      </c>
      <c r="K6" s="163" t="s">
        <v>3030</v>
      </c>
      <c r="L6" s="346" t="s">
        <v>1401</v>
      </c>
      <c r="M6" s="347" t="e">
        <f ca="1">INDIRECT("'数据-取费表'!z"&amp;$G$1)</f>
        <v>#N/A</v>
      </c>
    </row>
    <row r="7" spans="1:37" ht="18" customHeight="1">
      <c r="A7" s="1294"/>
      <c r="B7" s="3491"/>
      <c r="C7" s="1296"/>
      <c r="D7" s="351"/>
      <c r="E7" s="2948" t="s">
        <v>1402</v>
      </c>
      <c r="F7" s="347" t="e">
        <f ca="1">IF(INDIRECT("'数据-取费表'!ah"&amp;$G$1)="",INDIRECT("'数据-取费表'!k"&amp;$G$1),INDIRECT("'数据-取费表'!ah"&amp;$G$1))</f>
        <v>#N/A</v>
      </c>
      <c r="G7" s="1850"/>
      <c r="H7" s="348"/>
      <c r="I7" s="3491"/>
      <c r="J7" s="350"/>
      <c r="K7" s="351"/>
      <c r="L7" s="346" t="s">
        <v>1402</v>
      </c>
      <c r="M7" s="347" t="e">
        <f ca="1">F7</f>
        <v>#N/A</v>
      </c>
    </row>
    <row r="8" spans="1:37" ht="18" customHeight="1">
      <c r="A8" s="348"/>
      <c r="B8" s="3491"/>
      <c r="C8" s="350"/>
      <c r="D8" s="351"/>
      <c r="E8" s="346" t="s">
        <v>1403</v>
      </c>
      <c r="F8" s="347" t="e">
        <f ca="1">INDIRECT("'数据-取费表'!ai"&amp;$G$1)</f>
        <v>#N/A</v>
      </c>
      <c r="G8" s="1850"/>
      <c r="H8" s="348"/>
      <c r="I8" s="3491"/>
      <c r="J8" s="350"/>
      <c r="K8" s="351"/>
      <c r="L8" s="346" t="s">
        <v>1403</v>
      </c>
      <c r="M8" s="347" t="e">
        <f ca="1">INDIRECT("'数据-取费表'!ai"&amp;$G$1)</f>
        <v>#N/A</v>
      </c>
    </row>
    <row r="9" spans="1:37" ht="18" customHeight="1">
      <c r="A9" s="348"/>
      <c r="B9" s="3492"/>
      <c r="C9" s="350"/>
      <c r="D9" s="351"/>
      <c r="E9" s="346" t="s">
        <v>1404</v>
      </c>
      <c r="F9" s="356" t="e">
        <f ca="1">INDIRECT("'数据-取费表'!w"&amp;$G$1)</f>
        <v>#N/A</v>
      </c>
      <c r="G9" s="1850"/>
      <c r="H9" s="348"/>
      <c r="I9" s="3492"/>
      <c r="J9" s="350"/>
      <c r="K9" s="351"/>
      <c r="L9" s="357" t="s">
        <v>1404</v>
      </c>
      <c r="M9" s="358" t="e">
        <f ca="1">INDIRECT("'数据-取费表'!ab"&amp;$G$1)</f>
        <v>#N/A</v>
      </c>
    </row>
    <row r="10" spans="1:37" ht="18" customHeight="1">
      <c r="A10" s="1290" t="s">
        <v>1036</v>
      </c>
      <c r="B10" s="1822" t="s">
        <v>1405</v>
      </c>
      <c r="C10" s="360">
        <f ca="1">ROUND(IF(F10="押一",C6/12*F11,IF(F10="押二",C6/12*2*F11,IF(F10="押三",C6/12*3*F11,C11*F11))),0)</f>
        <v>0</v>
      </c>
      <c r="D10" s="1823" t="s">
        <v>3039</v>
      </c>
      <c r="E10" s="357" t="s">
        <v>1406</v>
      </c>
      <c r="F10" s="1365" t="s">
        <v>3199</v>
      </c>
      <c r="G10" s="1850"/>
      <c r="H10" s="1290" t="s">
        <v>1036</v>
      </c>
      <c r="I10" s="1822" t="s">
        <v>1405</v>
      </c>
      <c r="J10" s="345" t="e">
        <f ca="1">ROUND(IF(M10="押一",J6/12*M11,IF(M10="押二",J6/12*2*M11,IF(M10="押三",J6/12*3*M11,J11*M11))),0)</f>
        <v>#N/A</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t="e">
        <f ca="1">ROUND(C29*F13,0)</f>
        <v>#N/A</v>
      </c>
      <c r="D13" s="1330" t="s">
        <v>1411</v>
      </c>
      <c r="E13" s="1330" t="s">
        <v>1412</v>
      </c>
      <c r="F13" s="1331" t="e">
        <f ca="1">INDIRECT("'数据-取费表'!y"&amp;$G$1)</f>
        <v>#N/A</v>
      </c>
      <c r="G13" s="1850"/>
      <c r="H13" s="1328">
        <v>2</v>
      </c>
      <c r="I13" s="1329" t="s">
        <v>1410</v>
      </c>
      <c r="J13" s="1289" t="e">
        <f ca="1">ROUND(J14*J15,0)</f>
        <v>#N/A</v>
      </c>
      <c r="K13" s="1336" t="s">
        <v>1411</v>
      </c>
      <c r="L13" s="1851"/>
      <c r="M13" s="1852"/>
    </row>
    <row r="14" spans="1:37" ht="18" customHeight="1">
      <c r="A14" s="1201" t="s">
        <v>1031</v>
      </c>
      <c r="B14" s="346" t="s">
        <v>1413</v>
      </c>
      <c r="C14" s="362" t="e">
        <f ca="1">INDIRECT("'数据-取费表'!m"&amp;$G$1)+INDIRECT("'数据-取费表'!t"&amp;$G$1)</f>
        <v>#N/A</v>
      </c>
      <c r="D14" s="2942" t="s">
        <v>1414</v>
      </c>
      <c r="E14" s="2940"/>
      <c r="F14" s="363"/>
      <c r="G14" s="1850"/>
      <c r="H14" s="1201" t="s">
        <v>1032</v>
      </c>
      <c r="I14" s="346" t="s">
        <v>1415</v>
      </c>
      <c r="J14" s="23" t="e">
        <f ca="1">C29</f>
        <v>#N/A</v>
      </c>
      <c r="K14" s="2947"/>
      <c r="L14" s="979"/>
      <c r="M14" s="980"/>
    </row>
    <row r="15" spans="1:37" s="1857" customFormat="1" ht="18" customHeight="1" thickBot="1">
      <c r="A15" s="1201" t="s">
        <v>1033</v>
      </c>
      <c r="B15" s="346" t="s">
        <v>1416</v>
      </c>
      <c r="C15" s="23" t="e">
        <f ca="1">ROUND(C14*F15,0)</f>
        <v>#N/A</v>
      </c>
      <c r="D15" s="364" t="s">
        <v>1417</v>
      </c>
      <c r="E15" s="364" t="s">
        <v>1418</v>
      </c>
      <c r="F15" s="365">
        <f>'数据-取费表'!B33</f>
        <v>0.05</v>
      </c>
      <c r="G15" s="1853"/>
      <c r="H15" s="1338" t="s">
        <v>1036</v>
      </c>
      <c r="I15" s="1339" t="s">
        <v>1412</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t="e">
        <f ca="1">ROUND(INDIRECT("'数据-取费表'!m"&amp;$G$1)*F16,0)</f>
        <v>#N/A</v>
      </c>
      <c r="D16" s="346" t="s">
        <v>1417</v>
      </c>
      <c r="E16" s="346" t="s">
        <v>1418</v>
      </c>
      <c r="F16" s="366" t="e">
        <f ca="1">IF(INDIRECT("'数据-取费表'!c"&amp;$G$1)="住宅",'数据-取费表'!B34,0)</f>
        <v>#N/A</v>
      </c>
      <c r="G16" s="1850"/>
      <c r="H16" s="1328" t="s">
        <v>1027</v>
      </c>
      <c r="I16" s="1329" t="s">
        <v>1420</v>
      </c>
      <c r="J16" s="354" t="e">
        <f ca="1">ROUND(J17+J22+J23+J24,0)</f>
        <v>#N/A</v>
      </c>
      <c r="K16" s="1336" t="s">
        <v>1421</v>
      </c>
      <c r="L16" s="2943"/>
      <c r="M16" s="1293"/>
    </row>
    <row r="17" spans="1:37" s="1857" customFormat="1" ht="18" customHeight="1">
      <c r="A17" s="1201" t="s">
        <v>1386</v>
      </c>
      <c r="B17" s="346" t="s">
        <v>1422</v>
      </c>
      <c r="C17" s="23" t="e">
        <f ca="1">ROUND(F17*(F43+INDIRECT("'数据-取费表'!S"&amp;$G$1))/10000,0)</f>
        <v>#N/A</v>
      </c>
      <c r="D17" s="346" t="s">
        <v>1423</v>
      </c>
      <c r="E17" s="346" t="s">
        <v>1424</v>
      </c>
      <c r="F17" s="25">
        <f>'数据-取费表'!B35</f>
        <v>200</v>
      </c>
      <c r="G17" s="1853"/>
      <c r="H17" s="1201" t="s">
        <v>1032</v>
      </c>
      <c r="I17" s="346" t="s">
        <v>1425</v>
      </c>
      <c r="J17" s="23" t="e">
        <f ca="1">ROUND(IF(项目基本情况!B11="自然人",J5*M17,J18+J19+J20),1)</f>
        <v>#N/A</v>
      </c>
      <c r="K17" s="2942" t="s">
        <v>1426</v>
      </c>
      <c r="L17" s="294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t="e">
        <f ca="1">ROUND(C14*F18,0)</f>
        <v>#N/A</v>
      </c>
      <c r="D18" s="346" t="s">
        <v>1417</v>
      </c>
      <c r="E18" s="346" t="s">
        <v>1418</v>
      </c>
      <c r="F18" s="366">
        <f>'数据-取费表'!B36</f>
        <v>1.4999999999999999E-2</v>
      </c>
      <c r="G18" s="1853"/>
      <c r="H18" s="1201" t="s">
        <v>1031</v>
      </c>
      <c r="I18" s="346" t="s">
        <v>1429</v>
      </c>
      <c r="J18" s="23" t="e">
        <f ca="1">ROUND(J5*M18/(1+'数据-取费表'!C42),2)</f>
        <v>#N/A</v>
      </c>
      <c r="K18" s="294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t="e">
        <f ca="1">SUM(C14:C18)</f>
        <v>#N/A</v>
      </c>
      <c r="D19" s="139" t="s">
        <v>1432</v>
      </c>
      <c r="E19" s="2946"/>
      <c r="F19" s="25"/>
      <c r="G19" s="1850"/>
      <c r="H19" s="1201" t="s">
        <v>1033</v>
      </c>
      <c r="I19" s="346" t="s">
        <v>1433</v>
      </c>
      <c r="J19" s="23" t="e">
        <f ca="1">IF(K19="按租金收入计税",ROUND(J5*M19,2),ROUND(C29*M19*0.7,2))</f>
        <v>#N/A</v>
      </c>
      <c r="K19" s="1827" t="s">
        <v>1434</v>
      </c>
      <c r="L19" s="346" t="s">
        <v>1418</v>
      </c>
      <c r="M19" s="366">
        <f>IF(K19="按租金收入计税",'数据-取费表'!B51,'数据-取费表'!B50)</f>
        <v>1.2E-2</v>
      </c>
    </row>
    <row r="20" spans="1:37" s="1857" customFormat="1" ht="18" customHeight="1">
      <c r="A20" s="1201" t="s">
        <v>1036</v>
      </c>
      <c r="B20" s="346" t="s">
        <v>1435</v>
      </c>
      <c r="C20" s="23" t="e">
        <f ca="1">ROUND(C19*F20,0)</f>
        <v>#N/A</v>
      </c>
      <c r="D20" s="368" t="s">
        <v>1436</v>
      </c>
      <c r="E20" s="346" t="s">
        <v>1418</v>
      </c>
      <c r="F20" s="366">
        <f>'数据-取费表'!B37</f>
        <v>0.03</v>
      </c>
      <c r="G20" s="1853"/>
      <c r="H20" s="1201" t="s">
        <v>1385</v>
      </c>
      <c r="I20" s="163" t="s">
        <v>1437</v>
      </c>
      <c r="J20" s="24" t="e">
        <f ca="1">ROUND(M20*M21/10000,2)</f>
        <v>#N/A</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2946"/>
      <c r="F22" s="25"/>
      <c r="G22" s="1850"/>
      <c r="H22" s="1201" t="s">
        <v>1036</v>
      </c>
      <c r="I22" s="346" t="s">
        <v>1445</v>
      </c>
      <c r="J22" s="23" t="e">
        <f ca="1">ROUND(J14*M22,1)</f>
        <v>#N/A</v>
      </c>
      <c r="K22" s="2941" t="s">
        <v>1446</v>
      </c>
      <c r="L22" s="346" t="s">
        <v>1418</v>
      </c>
      <c r="M22" s="373" t="e">
        <f ca="1">INDIRECT("'数据-取费表'!Ak"&amp;$G$1)</f>
        <v>#N/A</v>
      </c>
    </row>
    <row r="23" spans="1:37" s="1857" customFormat="1" ht="18" customHeight="1">
      <c r="A23" s="1201" t="s">
        <v>1031</v>
      </c>
      <c r="B23" s="346" t="s">
        <v>1447</v>
      </c>
      <c r="C23" s="23" t="e">
        <f ca="1">IF('数据-取费表'!B22&lt;=1,ROUND(C19*F24*F23/2,0)+ROUND(C20*F24*F23/2,0),ROUND(C19*(POWER((1+F24),F23/2)-1),0)+ROUND(C20*(POWER((1+F24),F23/2)-1),0))</f>
        <v>#N/A</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t="e">
        <f ca="1">ROUND(J13*M23,1)</f>
        <v>#N/A</v>
      </c>
      <c r="K23" s="2941" t="s">
        <v>1450</v>
      </c>
      <c r="L23" s="346" t="s">
        <v>1418</v>
      </c>
      <c r="M23" s="375"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t="e">
        <f ca="1">ROUND(J5*M24,1)</f>
        <v>#N/A</v>
      </c>
      <c r="K24" s="1341" t="s">
        <v>1455</v>
      </c>
      <c r="L24" s="1339" t="s">
        <v>1418</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46"/>
      <c r="F25" s="25"/>
      <c r="G25" s="1850"/>
      <c r="H25" s="1328" t="s">
        <v>1028</v>
      </c>
      <c r="I25" s="1343" t="s">
        <v>1459</v>
      </c>
      <c r="J25" s="354" t="e">
        <f ca="1">J5-J16</f>
        <v>#N/A</v>
      </c>
      <c r="K25" s="1344" t="s">
        <v>1460</v>
      </c>
      <c r="L25" s="1345"/>
      <c r="M25" s="1346"/>
    </row>
    <row r="26" spans="1:37">
      <c r="A26" s="1201" t="s">
        <v>1031</v>
      </c>
      <c r="B26" s="346" t="s">
        <v>1461</v>
      </c>
      <c r="C26" s="23" t="e">
        <f ca="1">ROUND((C19+C20)*F26,0)</f>
        <v>#N/A</v>
      </c>
      <c r="D26" s="368" t="s">
        <v>1462</v>
      </c>
      <c r="E26" s="357" t="s">
        <v>1463</v>
      </c>
      <c r="F26" s="356" t="e">
        <f ca="1">INDIRECT("'数据-取费表'!q"&amp;$G$1)</f>
        <v>#N/A</v>
      </c>
      <c r="G26" s="1850"/>
      <c r="H26" s="343" t="s">
        <v>1029</v>
      </c>
      <c r="I26" s="344" t="s">
        <v>1464</v>
      </c>
      <c r="J26" s="345" t="e">
        <f ca="1">IF(J5&lt;&gt;0,ROUND(J25*(1-((1+M28)/(1+M26))^M27)/(M26-M28),0),0)</f>
        <v>#N/A</v>
      </c>
      <c r="K26" s="369" t="s">
        <v>1465</v>
      </c>
      <c r="L26" s="346" t="s">
        <v>1466</v>
      </c>
      <c r="M26" s="356" t="e">
        <f ca="1">INDIRECT("'数据-取费表'!I"&amp;$G$1)</f>
        <v>#N/A</v>
      </c>
    </row>
    <row r="27" spans="1:37" ht="18" customHeight="1">
      <c r="A27" s="1201" t="s">
        <v>1033</v>
      </c>
      <c r="B27" s="346" t="s">
        <v>1467</v>
      </c>
      <c r="C27" s="23" t="e">
        <f ca="1">ROUND(F21*F26,4)</f>
        <v>#N/A</v>
      </c>
      <c r="D27" s="368" t="s">
        <v>1468</v>
      </c>
      <c r="E27" s="364"/>
      <c r="F27" s="365"/>
      <c r="G27" s="1850"/>
      <c r="H27" s="348"/>
      <c r="I27" s="349"/>
      <c r="J27" s="350"/>
      <c r="K27" s="377" t="s">
        <v>1469</v>
      </c>
      <c r="L27" s="346" t="s">
        <v>1470</v>
      </c>
      <c r="M27" s="378" t="e">
        <f ca="1">INDIRECT("'数据-取费表'!ag"&amp;$G$1)</f>
        <v>#N/A</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t="e">
        <f ca="1">ROUND((C19+C20+C23+C26)/(1-F21-C24-C27-C28),0)</f>
        <v>#N/A</v>
      </c>
      <c r="D29" s="1341"/>
      <c r="E29" s="1339"/>
      <c r="F29" s="1342"/>
      <c r="G29" s="1853"/>
      <c r="H29" s="379" t="s">
        <v>1030</v>
      </c>
      <c r="I29" s="380" t="s">
        <v>1475</v>
      </c>
      <c r="J29" s="381" t="e">
        <f ca="1">ROUND(J26/(1+F40)^F41,0)</f>
        <v>#N/A</v>
      </c>
      <c r="K29" s="382" t="s">
        <v>1476</v>
      </c>
      <c r="L29" s="383"/>
      <c r="M29" s="384"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t="e">
        <f ca="1">ROUND(C31+C36+C37+C38,0)</f>
        <v>#N/A</v>
      </c>
      <c r="D30" s="1336" t="s">
        <v>1421</v>
      </c>
      <c r="E30" s="2943"/>
      <c r="F30" s="1293"/>
      <c r="G30" s="1850"/>
      <c r="H30" s="742"/>
      <c r="I30" s="743"/>
      <c r="J30" s="744"/>
      <c r="K30" s="745"/>
      <c r="L30" s="746"/>
      <c r="M30" s="747"/>
    </row>
    <row r="31" spans="1:37" ht="18" customHeight="1">
      <c r="A31" s="1201" t="s">
        <v>1032</v>
      </c>
      <c r="B31" s="346" t="s">
        <v>1425</v>
      </c>
      <c r="C31" s="23" t="e">
        <f ca="1">ROUND(IF(项目基本情况!B11="自然人",C5*F31,C32+C33+C34),1)</f>
        <v>#N/A</v>
      </c>
      <c r="D31" s="2942" t="s">
        <v>1426</v>
      </c>
      <c r="E31" s="294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t="e">
        <f ca="1">IF(项目基本情况!B11="自然人","——",ROUND(C5*F32/(1+'数据-取费表'!C42),2))</f>
        <v>#N/A</v>
      </c>
      <c r="D32" s="294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t="e">
        <f ca="1">IF(项目基本情况!B11="自然人","——",IF(D33="按租金收入计税",ROUND(C5*F33,2),IF(D33="按房产原值计税",ROUND(C29*F33*0.7,2),INDIRECT("'数据-取费表'!Aj"&amp;$G$1))))</f>
        <v>#N/A</v>
      </c>
      <c r="D33" s="1827" t="s">
        <v>3128</v>
      </c>
      <c r="E33" s="346" t="s">
        <v>1418</v>
      </c>
      <c r="F33" s="366">
        <f>IF(D33="按票据","——",IF(D33="按租金收入计税",'数据-取费表'!B51,'数据-取费表'!B50))</f>
        <v>0.12</v>
      </c>
      <c r="G33" s="1850"/>
      <c r="H33" s="1858"/>
      <c r="I33" s="1859"/>
      <c r="J33" s="1860"/>
      <c r="K33" s="1861"/>
      <c r="L33" s="1858"/>
      <c r="M33" s="1858"/>
    </row>
    <row r="34" spans="1:18" ht="18" customHeight="1">
      <c r="A34" s="1290" t="s">
        <v>1385</v>
      </c>
      <c r="B34" s="163" t="s">
        <v>1437</v>
      </c>
      <c r="C34" s="24" t="e">
        <f ca="1">IF(项目基本情况!B11="自然人","——",ROUND(F34*F35/10000,2))</f>
        <v>#N/A</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t="e">
        <f ca="1">INDIRECT("'数据-取费表'!r"&amp;$G$1)</f>
        <v>#N/A</v>
      </c>
      <c r="G35" s="1850"/>
      <c r="H35" s="742"/>
      <c r="I35" s="1859"/>
      <c r="J35" s="1860"/>
      <c r="K35" s="1861"/>
      <c r="L35" s="1858"/>
      <c r="M35" s="1858"/>
    </row>
    <row r="36" spans="1:18" ht="18" customHeight="1">
      <c r="A36" s="1351" t="s">
        <v>1036</v>
      </c>
      <c r="B36" s="346" t="s">
        <v>1445</v>
      </c>
      <c r="C36" s="23" t="e">
        <f ca="1">ROUND(C29*F36,1)</f>
        <v>#N/A</v>
      </c>
      <c r="D36" s="2941" t="s">
        <v>1478</v>
      </c>
      <c r="E36" s="346" t="s">
        <v>1418</v>
      </c>
      <c r="F36" s="373" t="e">
        <f ca="1">INDIRECT("'数据-取费表'!Ak"&amp;$G$1)</f>
        <v>#N/A</v>
      </c>
      <c r="G36" s="1850"/>
      <c r="H36" s="1858"/>
      <c r="I36" s="1859"/>
      <c r="J36" s="1860"/>
      <c r="K36" s="748"/>
      <c r="L36" s="1858"/>
      <c r="M36" s="1858"/>
    </row>
    <row r="37" spans="1:18" ht="18" customHeight="1">
      <c r="A37" s="1201" t="s">
        <v>1072</v>
      </c>
      <c r="B37" s="346" t="s">
        <v>1449</v>
      </c>
      <c r="C37" s="23" t="e">
        <f ca="1">ROUND(C13*F37,1)</f>
        <v>#N/A</v>
      </c>
      <c r="D37" s="2941" t="s">
        <v>1450</v>
      </c>
      <c r="E37" s="346" t="s">
        <v>1418</v>
      </c>
      <c r="F37" s="375" t="e">
        <f ca="1">INDIRECT("'数据-取费表'!Al"&amp;$G$1)</f>
        <v>#N/A</v>
      </c>
      <c r="G37" s="1850"/>
      <c r="H37" s="1858"/>
      <c r="I37" s="1859"/>
      <c r="J37" s="1860"/>
      <c r="K37" s="748"/>
      <c r="L37" s="1858"/>
      <c r="M37" s="1858"/>
    </row>
    <row r="38" spans="1:18" ht="18" customHeight="1" thickBot="1">
      <c r="A38" s="1338" t="s">
        <v>1388</v>
      </c>
      <c r="B38" s="1339" t="s">
        <v>1435</v>
      </c>
      <c r="C38" s="1340" t="e">
        <f ca="1">ROUND(C5*F38,1)</f>
        <v>#N/A</v>
      </c>
      <c r="D38" s="1341" t="s">
        <v>1455</v>
      </c>
      <c r="E38" s="1339" t="s">
        <v>1418</v>
      </c>
      <c r="F38" s="1335" t="e">
        <f ca="1">INDIRECT("'数据-取费表'!Am"&amp;$G$1)</f>
        <v>#N/A</v>
      </c>
      <c r="G38" s="1850"/>
      <c r="H38" s="1858"/>
      <c r="I38" s="1859"/>
      <c r="J38" s="1860"/>
      <c r="K38" s="1864"/>
      <c r="L38" s="1858"/>
      <c r="M38" s="1858"/>
    </row>
    <row r="39" spans="1:18" ht="24.6" customHeight="1" thickTop="1">
      <c r="A39" s="1328" t="s">
        <v>1028</v>
      </c>
      <c r="B39" s="1343" t="s">
        <v>1459</v>
      </c>
      <c r="C39" s="354" t="e">
        <f ca="1">C5-C30</f>
        <v>#N/A</v>
      </c>
      <c r="D39" s="1344" t="s">
        <v>1460</v>
      </c>
      <c r="E39" s="1345"/>
      <c r="F39" s="1346"/>
      <c r="G39" s="1850"/>
      <c r="H39" s="1858"/>
      <c r="I39" s="1859"/>
      <c r="J39" s="1860"/>
      <c r="K39" s="1864"/>
      <c r="L39" s="1858"/>
      <c r="M39" s="1858"/>
    </row>
    <row r="40" spans="1:18" ht="18" customHeight="1">
      <c r="A40" s="343" t="s">
        <v>1029</v>
      </c>
      <c r="B40" s="344" t="s">
        <v>1481</v>
      </c>
      <c r="C40" s="345" t="e">
        <f ca="1">ROUND(C39*(1-((1+F42)/(1+F40))^F41)/(F40-F42),0)</f>
        <v>#N/A</v>
      </c>
      <c r="D40" s="369" t="s">
        <v>1465</v>
      </c>
      <c r="E40" s="346" t="s">
        <v>1466</v>
      </c>
      <c r="F40" s="356" t="e">
        <f ca="1">INDIRECT("'数据-取费表'!I"&amp;$G$1)</f>
        <v>#N/A</v>
      </c>
      <c r="G40" s="1850"/>
      <c r="H40" s="1838"/>
      <c r="I40" s="1859"/>
      <c r="J40" s="1860"/>
      <c r="K40" s="1864"/>
      <c r="L40" s="1838"/>
      <c r="M40" s="1838"/>
    </row>
    <row r="41" spans="1:18" ht="18" customHeight="1">
      <c r="A41" s="348"/>
      <c r="B41" s="349"/>
      <c r="C41" s="350"/>
      <c r="D41" s="377" t="s">
        <v>1482</v>
      </c>
      <c r="E41" s="346" t="s">
        <v>1470</v>
      </c>
      <c r="F41" s="378" t="e">
        <f ca="1">IF(INDIRECT("'数据-取费表'!af"&amp;$G$1)=0,INDIRECT("'数据-取费表'!ae"&amp;$G$1),INDIRECT("'数据-取费表'!af"&amp;$G$1))</f>
        <v>#N/A</v>
      </c>
      <c r="G41" s="1850"/>
      <c r="H41" s="729"/>
      <c r="I41" s="1859"/>
      <c r="J41" s="1860"/>
      <c r="K41" s="748"/>
      <c r="L41" s="729"/>
      <c r="M41" s="729"/>
    </row>
    <row r="42" spans="1:18" ht="18" customHeight="1">
      <c r="A42" s="352"/>
      <c r="B42" s="353"/>
      <c r="C42" s="354"/>
      <c r="D42" s="372"/>
      <c r="E42" s="346" t="s">
        <v>1473</v>
      </c>
      <c r="F42" s="356" t="e">
        <f ca="1">INDIRECT("'数据-取费表'!v"&amp;$G$1)</f>
        <v>#N/A</v>
      </c>
      <c r="G42" s="1850"/>
      <c r="H42" s="729"/>
      <c r="I42" s="1859"/>
      <c r="J42" s="1860"/>
      <c r="K42" s="748"/>
      <c r="L42" s="729"/>
      <c r="M42" s="729"/>
    </row>
    <row r="43" spans="1:18" ht="18" customHeight="1" thickBot="1">
      <c r="A43" s="379" t="s">
        <v>1030</v>
      </c>
      <c r="B43" s="380" t="s">
        <v>1483</v>
      </c>
      <c r="C43" s="381" t="e">
        <f ca="1">ROUND(C40*10000/F43,0)</f>
        <v>#N/A</v>
      </c>
      <c r="D43" s="382" t="s">
        <v>1484</v>
      </c>
      <c r="E43" s="383" t="s">
        <v>1485</v>
      </c>
      <c r="F43" s="384" t="e">
        <f ca="1">INDIRECT("'数据-取费表'!k"&amp;$G$1)</f>
        <v>#N/A</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t="e">
        <f ca="1">C68-C40</f>
        <v>#N/A</v>
      </c>
      <c r="D46" s="1871" t="str">
        <f>C2</f>
        <v>万元</v>
      </c>
      <c r="E46" s="1865"/>
      <c r="F46" s="1865"/>
      <c r="I46" s="1872" t="s">
        <v>1517</v>
      </c>
      <c r="J46" s="1873"/>
      <c r="K46" s="1874"/>
      <c r="L46" s="1875" t="e">
        <f ca="1">IF(M47="住宅",0,IF(L48&gt;J51,L60,J60))</f>
        <v>#N/A</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t="s">
        <v>3086</v>
      </c>
      <c r="K47" s="1881" t="s">
        <v>1523</v>
      </c>
      <c r="L47" s="1882" t="e">
        <f ca="1">INDIRECT("'数据-取费表'!d"&amp;$G$1)</f>
        <v>#N/A</v>
      </c>
      <c r="M47" s="1837" t="str">
        <f>IF(ISNUMBER(FIND("住宅",C1)),"住宅","非住宅")</f>
        <v>非住宅</v>
      </c>
      <c r="O47" s="1883" t="s">
        <v>1037</v>
      </c>
      <c r="P47" s="1884" t="s">
        <v>1524</v>
      </c>
      <c r="Q47" s="1885" t="e">
        <f ca="1">C40+J29</f>
        <v>#N/A</v>
      </c>
      <c r="R47" s="1885" t="s">
        <v>1525</v>
      </c>
    </row>
    <row r="48" spans="1:18" s="1841" customFormat="1" ht="28.5" thickBot="1">
      <c r="A48" s="1359" t="s">
        <v>1132</v>
      </c>
      <c r="B48" s="344" t="s">
        <v>1397</v>
      </c>
      <c r="C48" s="2945" t="e">
        <f ca="1">C49+C53+C55</f>
        <v>#N/A</v>
      </c>
      <c r="D48" s="1361"/>
      <c r="E48" s="1362"/>
      <c r="F48" s="1181"/>
      <c r="G48" s="789"/>
      <c r="H48" s="790"/>
      <c r="I48" s="1886" t="s">
        <v>1526</v>
      </c>
      <c r="J48" s="1887" t="s">
        <v>3129</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3" t="e">
        <f ca="1">ROUND(F49*F51*F50*(1-F52)/10000,0)</f>
        <v>#N/A</v>
      </c>
      <c r="D49" s="1275" t="s">
        <v>3030</v>
      </c>
      <c r="E49" s="1829" t="s">
        <v>1487</v>
      </c>
      <c r="F49" s="1280"/>
      <c r="G49" s="1890"/>
      <c r="H49" s="790"/>
      <c r="I49" s="1886" t="s">
        <v>1530</v>
      </c>
      <c r="J49" s="1891">
        <v>2018</v>
      </c>
      <c r="K49" s="1888" t="s">
        <v>1531</v>
      </c>
      <c r="L49" s="1892"/>
      <c r="O49" s="1893" t="s">
        <v>1039</v>
      </c>
      <c r="P49" s="1884" t="s">
        <v>1532</v>
      </c>
      <c r="Q49" s="1885" t="e">
        <f ca="1">C29</f>
        <v>#N/A</v>
      </c>
      <c r="R49" s="1885" t="s">
        <v>1525</v>
      </c>
    </row>
    <row r="50" spans="1:18" s="1841" customFormat="1" ht="13.5" thickBot="1">
      <c r="A50" s="1195"/>
      <c r="B50" s="1198"/>
      <c r="C50" s="1367"/>
      <c r="D50" s="1172"/>
      <c r="E50" s="1276" t="s">
        <v>1402</v>
      </c>
      <c r="F50" s="1277" t="e">
        <f ca="1">F7</f>
        <v>#N/A</v>
      </c>
      <c r="H50" s="790"/>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7" t="e">
        <f ca="1">F8</f>
        <v>#N/A</v>
      </c>
      <c r="I51" s="1897" t="s">
        <v>1536</v>
      </c>
      <c r="J51" s="1898">
        <f>IF(J49="",J50,J49+J50-YEAR('数据-取费表'!B2))</f>
        <v>59</v>
      </c>
      <c r="K51" s="1899" t="s">
        <v>1537</v>
      </c>
      <c r="L51" s="1900" t="e">
        <f ca="1">ROUND(-PV(INDIRECT("'数据-取费表'!h"&amp;$G$1),L48,(C39-C13*C76),0),0)</f>
        <v>#N/A</v>
      </c>
      <c r="M51" s="1901"/>
      <c r="O51" s="1893" t="s">
        <v>1041</v>
      </c>
      <c r="P51" s="1884" t="s">
        <v>1538</v>
      </c>
      <c r="Q51" s="1896">
        <f>J52</f>
        <v>9.5000000000000001E-2</v>
      </c>
      <c r="R51" s="1885"/>
    </row>
    <row r="52" spans="1:18" s="1841" customFormat="1" ht="13.5" thickBot="1">
      <c r="A52" s="1196"/>
      <c r="B52" s="1198"/>
      <c r="C52" s="1199"/>
      <c r="D52" s="1172"/>
      <c r="E52" s="1200" t="s">
        <v>1404</v>
      </c>
      <c r="F52" s="1274"/>
      <c r="I52" s="1902" t="s">
        <v>1539</v>
      </c>
      <c r="J52" s="1903">
        <v>9.5000000000000001E-2</v>
      </c>
      <c r="K52" s="1902" t="s">
        <v>1540</v>
      </c>
      <c r="L52" s="1903"/>
      <c r="O52" s="1893" t="s">
        <v>1042</v>
      </c>
      <c r="P52" s="1884" t="s">
        <v>1541</v>
      </c>
      <c r="Q52" s="1885" t="e">
        <f ca="1">J53</f>
        <v>#N/A</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t="e">
        <f ca="1">IF(M47="住宅",IF(D1="——",MAX(J51,L48),IF(D1="在建（套用方法）",MAX(J51,L48-'数据-取费表'!B24),MAX(J51,L48-'数据-取费表'!B20))),IF(D1="——",MIN(J51,L48),IF(D1="在建（套用方法）",MIN(J51,L48-'数据-取费表'!B24),IF(D1="土地（套用方法）",MIN(J51,L48-'数据-取费表'!B20)))))</f>
        <v>#N/A</v>
      </c>
      <c r="K53" s="3493" t="s">
        <v>1544</v>
      </c>
      <c r="L53" s="3494"/>
      <c r="O53" s="1883" t="s">
        <v>1043</v>
      </c>
      <c r="P53" s="1884" t="s">
        <v>1545</v>
      </c>
      <c r="Q53" s="1885" t="e">
        <f ca="1">Q47+Q48</f>
        <v>#N/A</v>
      </c>
      <c r="R53" s="1885" t="s">
        <v>1044</v>
      </c>
    </row>
    <row r="54" spans="1:18" s="1841" customFormat="1" ht="13.5" thickBot="1">
      <c r="A54" s="1405"/>
      <c r="B54" s="1824" t="s">
        <v>1384</v>
      </c>
      <c r="C54" s="1178"/>
      <c r="D54" s="1823"/>
      <c r="E54" s="2944"/>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t="e">
        <f ca="1">ROUND(IF(J47="钢混",J57/J50,1-(1-2%)*(J50-J57)/J50),3)</f>
        <v>#N/A</v>
      </c>
      <c r="K55" s="1911" t="s">
        <v>1548</v>
      </c>
      <c r="L55" s="1912" t="s">
        <v>1549</v>
      </c>
      <c r="O55" s="1876" t="s">
        <v>1518</v>
      </c>
      <c r="P55" s="1877" t="s">
        <v>1519</v>
      </c>
      <c r="Q55" s="1878" t="s">
        <v>1520</v>
      </c>
      <c r="R55" s="1878" t="s">
        <v>1521</v>
      </c>
    </row>
    <row r="56" spans="1:18" s="1841" customFormat="1" ht="25.5" thickTop="1" thickBot="1">
      <c r="A56" s="1176">
        <v>2</v>
      </c>
      <c r="B56" s="1177" t="s">
        <v>1410</v>
      </c>
      <c r="C56" s="275" t="e">
        <f ca="1">C13</f>
        <v>#N/A</v>
      </c>
      <c r="D56" s="1913"/>
      <c r="E56" s="1914"/>
      <c r="F56" s="1906"/>
      <c r="I56" s="1915" t="s">
        <v>1550</v>
      </c>
      <c r="J56" s="1916" t="s">
        <v>3130</v>
      </c>
      <c r="K56" s="1886" t="s">
        <v>1551</v>
      </c>
      <c r="L56" s="1889" t="e">
        <f ca="1">IF(L48&lt;J51,"——",L48-J53)</f>
        <v>#N/A</v>
      </c>
      <c r="O56" s="1883" t="s">
        <v>1037</v>
      </c>
      <c r="P56" s="1884" t="s">
        <v>1524</v>
      </c>
      <c r="Q56" s="1885" t="e">
        <f ca="1">C40+J29</f>
        <v>#N/A</v>
      </c>
      <c r="R56" s="1885" t="s">
        <v>1525</v>
      </c>
    </row>
    <row r="57" spans="1:18" s="1841" customFormat="1" ht="24.75" thickBot="1">
      <c r="A57" s="1917"/>
      <c r="B57" s="1169" t="s">
        <v>1474</v>
      </c>
      <c r="C57" s="281" t="e">
        <f ca="1">C29</f>
        <v>#N/A</v>
      </c>
      <c r="D57" s="1918"/>
      <c r="E57" s="1919"/>
      <c r="F57" s="1920"/>
      <c r="I57" s="1921" t="s">
        <v>1552</v>
      </c>
      <c r="J57" s="1922" t="e">
        <f ca="1">IF(OR(M47="住宅",J51&lt;L48,J56="是"),"——",J51-L48)</f>
        <v>#N/A</v>
      </c>
      <c r="K57" s="1886" t="s">
        <v>1553</v>
      </c>
      <c r="L57" s="1889" t="e">
        <f ca="1">IF(L48&lt;J51,"——",IF(L55="比较法",L49,IF(L55="基准地价",L50,L51)))</f>
        <v>#N/A</v>
      </c>
      <c r="O57" s="1883" t="s">
        <v>1038</v>
      </c>
      <c r="P57" s="1884" t="s">
        <v>1554</v>
      </c>
      <c r="Q57" s="1885" t="e">
        <f ca="1">L60</f>
        <v>#N/A</v>
      </c>
      <c r="R57" s="1885" t="s">
        <v>1555</v>
      </c>
    </row>
    <row r="58" spans="1:18" s="1841" customFormat="1" ht="24.75" thickBot="1">
      <c r="A58" s="359" t="s">
        <v>1027</v>
      </c>
      <c r="B58" s="1177" t="s">
        <v>1420</v>
      </c>
      <c r="C58" s="360" t="e">
        <f ca="1">ROUND(C59+C64+C65+C66,0)</f>
        <v>#N/A</v>
      </c>
      <c r="D58" s="1179" t="s">
        <v>1421</v>
      </c>
      <c r="E58" s="1180"/>
      <c r="F58" s="1181"/>
      <c r="I58" s="1921" t="s">
        <v>1556</v>
      </c>
      <c r="J58" s="1923" t="e">
        <f ca="1">IF(J55&lt;0.4,0.4,J55)</f>
        <v>#N/A</v>
      </c>
      <c r="K58" s="1899" t="s">
        <v>1557</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3" t="e">
        <f ca="1">ROUND(IF(项目基本情况!B11="自然人",C48*F59,C60+C61+C62),1)</f>
        <v>#N/A</v>
      </c>
      <c r="D59" s="1182" t="s">
        <v>1426</v>
      </c>
      <c r="E59" s="1183" t="s">
        <v>1427</v>
      </c>
      <c r="F59" s="367"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3" t="e">
        <f ca="1">IF(项目基本情况!B11="自然人","——",ROUND(C48*F60/(1+'数据-取费表'!C42),2))</f>
        <v>#N/A</v>
      </c>
      <c r="D60" s="1183" t="s">
        <v>1430</v>
      </c>
      <c r="E60" s="1169" t="s">
        <v>1418</v>
      </c>
      <c r="F60" s="376">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1433</v>
      </c>
      <c r="C61" s="23" t="e">
        <f ca="1">IF(项目基本情况!B11="自然人","——",IF(D61="按租金收入计税",ROUND(C48*F61,2),IF(D61="按房产原值计税",ROUND(C57*F61*0.7,2),INDIRECT("'数据-取费表'!Aj"&amp;$G$1))))</f>
        <v>#N/A</v>
      </c>
      <c r="D61" s="1827" t="s">
        <v>1434</v>
      </c>
      <c r="E61" s="1169" t="s">
        <v>1418</v>
      </c>
      <c r="F61" s="366">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5" thickBot="1">
      <c r="A62" s="1201" t="s">
        <v>1491</v>
      </c>
      <c r="B62" s="1168" t="s">
        <v>1437</v>
      </c>
      <c r="C62" s="24" t="e">
        <f ca="1">IF(项目基本情况!B11="自然人","——",ROUND(F62*F63/10000,2))</f>
        <v>#N/A</v>
      </c>
      <c r="D62" s="1184" t="s">
        <v>1438</v>
      </c>
      <c r="E62" s="1169" t="s">
        <v>1439</v>
      </c>
      <c r="F62" s="370">
        <f t="shared" si="0"/>
        <v>1.5</v>
      </c>
      <c r="I62" s="1928" t="s">
        <v>1566</v>
      </c>
      <c r="J62" s="1929" t="s">
        <v>1567</v>
      </c>
      <c r="K62" s="1929" t="s">
        <v>1568</v>
      </c>
      <c r="L62" s="1929" t="s">
        <v>1569</v>
      </c>
      <c r="M62" s="1930" t="s">
        <v>1570</v>
      </c>
      <c r="O62" s="1883" t="s">
        <v>1043</v>
      </c>
      <c r="P62" s="1884" t="s">
        <v>1545</v>
      </c>
      <c r="Q62" s="1885" t="e">
        <f ca="1">Q56+Q57</f>
        <v>#N/A</v>
      </c>
      <c r="R62" s="1885" t="s">
        <v>1044</v>
      </c>
    </row>
    <row r="63" spans="1:18" s="1841" customFormat="1" ht="13.5" thickBot="1">
      <c r="A63" s="371"/>
      <c r="B63" s="1175"/>
      <c r="C63" s="28"/>
      <c r="D63" s="1185"/>
      <c r="E63" s="1169" t="s">
        <v>1443</v>
      </c>
      <c r="F63" s="347" t="e">
        <f t="shared" ca="1" si="0"/>
        <v>#N/A</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t="e">
        <f ca="1">ROUND(C57*F64,1)</f>
        <v>#N/A</v>
      </c>
      <c r="D64" s="1183" t="s">
        <v>1478</v>
      </c>
      <c r="E64" s="1169" t="s">
        <v>1418</v>
      </c>
      <c r="F64" s="373"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t="e">
        <f ca="1">ROUND(C56*F65,1)</f>
        <v>#N/A</v>
      </c>
      <c r="D65" s="1183" t="s">
        <v>1450</v>
      </c>
      <c r="E65" s="1169" t="s">
        <v>1418</v>
      </c>
      <c r="F65" s="375" t="e">
        <f t="shared" ca="1" si="0"/>
        <v>#N/A</v>
      </c>
      <c r="I65" s="1928" t="s">
        <v>1575</v>
      </c>
      <c r="J65" s="1929">
        <v>40</v>
      </c>
      <c r="K65" s="1929">
        <v>30</v>
      </c>
      <c r="L65" s="1929">
        <v>50</v>
      </c>
      <c r="M65" s="1931">
        <v>0.02</v>
      </c>
      <c r="O65" s="1883" t="s">
        <v>1037</v>
      </c>
      <c r="P65" s="1884" t="s">
        <v>1524</v>
      </c>
      <c r="Q65" s="1885" t="e">
        <f ca="1">C40+J29</f>
        <v>#N/A</v>
      </c>
      <c r="R65" s="1885" t="s">
        <v>1525</v>
      </c>
    </row>
    <row r="66" spans="1:18" s="1841" customFormat="1" ht="16.5" thickBot="1">
      <c r="A66" s="1201" t="s">
        <v>1500</v>
      </c>
      <c r="B66" s="1169" t="s">
        <v>1435</v>
      </c>
      <c r="C66" s="23" t="e">
        <f ca="1">ROUND(C48*F66,1)</f>
        <v>#N/A</v>
      </c>
      <c r="D66" s="1183" t="s">
        <v>1455</v>
      </c>
      <c r="E66" s="1169" t="s">
        <v>1418</v>
      </c>
      <c r="F66" s="356" t="e">
        <f t="shared" ca="1" si="0"/>
        <v>#N/A</v>
      </c>
      <c r="O66" s="1883" t="s">
        <v>1038</v>
      </c>
      <c r="P66" s="1884" t="s">
        <v>1554</v>
      </c>
      <c r="Q66" s="1885" t="e">
        <f ca="1">L60</f>
        <v>#N/A</v>
      </c>
      <c r="R66" s="1885" t="s">
        <v>1577</v>
      </c>
    </row>
    <row r="67" spans="1:18" s="1841" customFormat="1" ht="16.5" thickBot="1">
      <c r="A67" s="1176" t="s">
        <v>1028</v>
      </c>
      <c r="B67" s="1186" t="s">
        <v>1459</v>
      </c>
      <c r="C67" s="360"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5" t="e">
        <f ca="1">ROUND(C67*(1-((1+F70)/(1+F68))^F69)/(F68-F70),0)</f>
        <v>#N/A</v>
      </c>
      <c r="D68" s="1184" t="s">
        <v>1465</v>
      </c>
      <c r="E68" s="1169" t="s">
        <v>1466</v>
      </c>
      <c r="F68" s="356" t="e">
        <f ca="1">F40</f>
        <v>#N/A</v>
      </c>
      <c r="O68" s="1893" t="s">
        <v>1040</v>
      </c>
      <c r="P68" s="1933" t="s">
        <v>1579</v>
      </c>
      <c r="Q68" s="1885" t="e">
        <f ca="1">ROUND(Q69-Q70*Q71,0)</f>
        <v>#N/A</v>
      </c>
      <c r="R68" s="1885" t="s">
        <v>1048</v>
      </c>
    </row>
    <row r="69" spans="1:18" s="1841" customFormat="1" ht="13.5" thickBot="1">
      <c r="A69" s="1170"/>
      <c r="B69" s="1171"/>
      <c r="C69" s="350"/>
      <c r="D69" s="1189" t="s">
        <v>1469</v>
      </c>
      <c r="E69" s="1169" t="s">
        <v>1470</v>
      </c>
      <c r="F69" s="378" t="e">
        <f ca="1">F41</f>
        <v>#N/A</v>
      </c>
      <c r="O69" s="1893" t="s">
        <v>1045</v>
      </c>
      <c r="P69" s="1933" t="s">
        <v>1580</v>
      </c>
      <c r="Q69" s="1885" t="e">
        <f ca="1">C39</f>
        <v>#N/A</v>
      </c>
      <c r="R69" s="1885" t="s">
        <v>1525</v>
      </c>
    </row>
    <row r="70" spans="1:18" s="1841" customFormat="1" ht="13.5" thickBot="1">
      <c r="A70" s="1173"/>
      <c r="B70" s="1174"/>
      <c r="C70" s="354"/>
      <c r="D70" s="1185"/>
      <c r="E70" s="1169" t="s">
        <v>1473</v>
      </c>
      <c r="F70" s="1274"/>
      <c r="O70" s="1893" t="s">
        <v>1046</v>
      </c>
      <c r="P70" s="1933" t="s">
        <v>1581</v>
      </c>
      <c r="Q70" s="1885" t="e">
        <f ca="1">C13</f>
        <v>#N/A</v>
      </c>
      <c r="R70" s="1885" t="s">
        <v>1525</v>
      </c>
    </row>
    <row r="71" spans="1:18" s="1841" customFormat="1" ht="13.5" thickBot="1">
      <c r="A71" s="1190" t="s">
        <v>1030</v>
      </c>
      <c r="B71" s="1191" t="s">
        <v>1483</v>
      </c>
      <c r="C71" s="381" t="e">
        <f ca="1">ROUND(C68*10000/F71,0)</f>
        <v>#N/A</v>
      </c>
      <c r="D71" s="1192" t="s">
        <v>1484</v>
      </c>
      <c r="E71" s="1193" t="s">
        <v>1485</v>
      </c>
      <c r="F71" s="384" t="e">
        <f ca="1">F43</f>
        <v>#N/A</v>
      </c>
      <c r="O71" s="1893" t="s">
        <v>1047</v>
      </c>
      <c r="P71" s="1933" t="s">
        <v>1582</v>
      </c>
      <c r="Q71" s="1896" t="e">
        <f ca="1">C76</f>
        <v>#N/A</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#N/A</v>
      </c>
      <c r="R73" s="1885" t="s">
        <v>1564</v>
      </c>
    </row>
    <row r="74" spans="1:18" ht="13.5" thickBot="1">
      <c r="A74" s="1841"/>
      <c r="B74" s="316" t="s">
        <v>1583</v>
      </c>
      <c r="C74" s="1935"/>
      <c r="D74" s="1841"/>
      <c r="E74" s="1841"/>
      <c r="F74" s="1841"/>
      <c r="O74" s="1893" t="s">
        <v>1049</v>
      </c>
      <c r="P74" s="1884" t="str">
        <f>K59</f>
        <v>建筑物剩余耐用年限下的土地年期修正系数Kn</v>
      </c>
      <c r="Q74" s="1885" t="e">
        <f ca="1">L59</f>
        <v>#N/A</v>
      </c>
      <c r="R74" s="1885" t="s">
        <v>1565</v>
      </c>
    </row>
    <row r="75" spans="1:18" ht="13.5" thickBot="1">
      <c r="A75" s="1841"/>
      <c r="B75" s="385" t="s">
        <v>1502</v>
      </c>
      <c r="C75" s="386" t="e">
        <f ca="1">ROUND(C13*C76,0)</f>
        <v>#N/A</v>
      </c>
      <c r="D75" s="1841"/>
      <c r="E75" s="1841"/>
      <c r="F75" s="1841"/>
      <c r="K75" s="1867"/>
      <c r="L75" s="1841"/>
      <c r="O75" s="1883" t="s">
        <v>1043</v>
      </c>
      <c r="P75" s="1884" t="s">
        <v>1545</v>
      </c>
      <c r="Q75" s="1885" t="e">
        <f ca="1">Q65+Q66</f>
        <v>#N/A</v>
      </c>
      <c r="R75" s="1885" t="s">
        <v>1044</v>
      </c>
    </row>
    <row r="76" spans="1:18">
      <c r="B76" s="387" t="s">
        <v>1503</v>
      </c>
      <c r="C76" s="388" t="e">
        <f ca="1">INDIRECT("'数据-取费表'!j"&amp;$G$1)</f>
        <v>#N/A</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#N/A</v>
      </c>
    </row>
    <row r="80" spans="1:18">
      <c r="B80" s="385" t="s">
        <v>1507</v>
      </c>
      <c r="C80" s="317" t="e">
        <f ca="1">ROUND(C75/C39,3)</f>
        <v>#N/A</v>
      </c>
    </row>
    <row r="81" spans="2:3">
      <c r="B81" s="313" t="s">
        <v>1508</v>
      </c>
      <c r="C81" s="281"/>
    </row>
    <row r="82" spans="2:3">
      <c r="B82" s="316" t="s">
        <v>1509</v>
      </c>
      <c r="C82" s="318" t="e">
        <f ca="1">1-C83</f>
        <v>#N/A</v>
      </c>
    </row>
    <row r="83" spans="2:3">
      <c r="B83" s="316" t="s">
        <v>1510</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1585</v>
      </c>
      <c r="B1" s="779"/>
      <c r="C1" s="1836"/>
      <c r="D1" s="1819"/>
      <c r="E1" s="1820" t="s">
        <v>1383</v>
      </c>
      <c r="F1" s="1282" t="b">
        <f>J53</f>
        <v>0</v>
      </c>
      <c r="G1" s="1835">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1" t="s">
        <v>1584</v>
      </c>
      <c r="I3" s="1839"/>
      <c r="J3" s="1839"/>
      <c r="K3" s="1840"/>
      <c r="L3" s="1839"/>
      <c r="M3" s="1839"/>
    </row>
    <row r="4" spans="1:37" ht="18" customHeight="1">
      <c r="A4" s="339" t="s">
        <v>1392</v>
      </c>
      <c r="B4" s="340" t="s">
        <v>1393</v>
      </c>
      <c r="C4" s="340" t="s">
        <v>1394</v>
      </c>
      <c r="D4" s="340" t="s">
        <v>1395</v>
      </c>
      <c r="E4" s="341" t="s">
        <v>1396</v>
      </c>
      <c r="F4" s="342"/>
      <c r="G4" s="1850"/>
      <c r="H4" s="339" t="s">
        <v>1392</v>
      </c>
      <c r="I4" s="340" t="s">
        <v>1393</v>
      </c>
      <c r="J4" s="340" t="s">
        <v>1394</v>
      </c>
      <c r="K4" s="340" t="s">
        <v>1395</v>
      </c>
      <c r="L4" s="341" t="s">
        <v>1396</v>
      </c>
      <c r="M4" s="342"/>
    </row>
    <row r="5" spans="1:37" ht="18" customHeight="1">
      <c r="A5" s="343">
        <v>1</v>
      </c>
      <c r="B5" s="344" t="s">
        <v>1397</v>
      </c>
      <c r="C5" s="1291">
        <f ca="1">C6+C10+C12</f>
        <v>0</v>
      </c>
      <c r="D5" s="1821" t="s">
        <v>1398</v>
      </c>
      <c r="E5" s="1292"/>
      <c r="F5" s="1293"/>
      <c r="G5" s="1850"/>
      <c r="H5" s="343">
        <v>1</v>
      </c>
      <c r="I5" s="344" t="s">
        <v>1397</v>
      </c>
      <c r="J5" s="1291">
        <f ca="1">J6+J10+J12</f>
        <v>0</v>
      </c>
      <c r="K5" s="1821" t="s">
        <v>1398</v>
      </c>
      <c r="L5" s="1292"/>
      <c r="M5" s="1293"/>
    </row>
    <row r="6" spans="1:37" ht="18" customHeight="1">
      <c r="A6" s="1290" t="s">
        <v>1032</v>
      </c>
      <c r="B6" s="3490" t="s">
        <v>1399</v>
      </c>
      <c r="C6" s="1295">
        <f ca="1">ROUND(F6*F8*F7*(1-F9)/10000,0)</f>
        <v>0</v>
      </c>
      <c r="D6" s="163" t="s">
        <v>3031</v>
      </c>
      <c r="E6" s="346" t="s">
        <v>1401</v>
      </c>
      <c r="F6" s="347">
        <f ca="1">INDIRECT("'数据-取费表'!u"&amp;$G$1)</f>
        <v>0</v>
      </c>
      <c r="G6" s="1850"/>
      <c r="H6" s="1290" t="s">
        <v>1032</v>
      </c>
      <c r="I6" s="3490" t="s">
        <v>1399</v>
      </c>
      <c r="J6" s="345">
        <f ca="1">ROUND(M6*M8*M7*(1-M9)/10000,0)</f>
        <v>0</v>
      </c>
      <c r="K6" s="163" t="s">
        <v>3030</v>
      </c>
      <c r="L6" s="346" t="s">
        <v>1401</v>
      </c>
      <c r="M6" s="347">
        <f ca="1">INDIRECT("'数据-取费表'!z"&amp;$G$1)</f>
        <v>0</v>
      </c>
    </row>
    <row r="7" spans="1:37" ht="18" customHeight="1">
      <c r="A7" s="1294"/>
      <c r="B7" s="3491"/>
      <c r="C7" s="1296"/>
      <c r="D7" s="351"/>
      <c r="E7" s="2948" t="s">
        <v>1402</v>
      </c>
      <c r="F7" s="347">
        <f ca="1">IF(INDIRECT("'数据-取费表'!ah"&amp;$G$1)="",INDIRECT("'数据-取费表'!k"&amp;$G$1),INDIRECT("'数据-取费表'!ah"&amp;$G$1))</f>
        <v>0</v>
      </c>
      <c r="G7" s="1850"/>
      <c r="H7" s="348"/>
      <c r="I7" s="3491"/>
      <c r="J7" s="350"/>
      <c r="K7" s="351"/>
      <c r="L7" s="346" t="s">
        <v>1402</v>
      </c>
      <c r="M7" s="347">
        <f ca="1">F7</f>
        <v>0</v>
      </c>
    </row>
    <row r="8" spans="1:37" ht="18" customHeight="1">
      <c r="A8" s="348"/>
      <c r="B8" s="3491"/>
      <c r="C8" s="350"/>
      <c r="D8" s="351"/>
      <c r="E8" s="346" t="s">
        <v>1403</v>
      </c>
      <c r="F8" s="347">
        <f ca="1">INDIRECT("'数据-取费表'!ai"&amp;$G$1)</f>
        <v>0</v>
      </c>
      <c r="G8" s="1850"/>
      <c r="H8" s="348"/>
      <c r="I8" s="3491"/>
      <c r="J8" s="350"/>
      <c r="K8" s="351"/>
      <c r="L8" s="346" t="s">
        <v>1403</v>
      </c>
      <c r="M8" s="347">
        <f ca="1">INDIRECT("'数据-取费表'!ai"&amp;$G$1)</f>
        <v>0</v>
      </c>
    </row>
    <row r="9" spans="1:37" ht="18" customHeight="1">
      <c r="A9" s="348"/>
      <c r="B9" s="3492"/>
      <c r="C9" s="350"/>
      <c r="D9" s="351"/>
      <c r="E9" s="346" t="s">
        <v>1404</v>
      </c>
      <c r="F9" s="356">
        <f ca="1">INDIRECT("'数据-取费表'!w"&amp;$G$1)</f>
        <v>0</v>
      </c>
      <c r="G9" s="1850"/>
      <c r="H9" s="348"/>
      <c r="I9" s="3492"/>
      <c r="J9" s="350"/>
      <c r="K9" s="351"/>
      <c r="L9" s="357" t="s">
        <v>1404</v>
      </c>
      <c r="M9" s="358">
        <f ca="1">INDIRECT("'数据-取费表'!ab"&amp;$G$1)</f>
        <v>0</v>
      </c>
    </row>
    <row r="10" spans="1:37" ht="18" customHeight="1">
      <c r="A10" s="1290" t="s">
        <v>1036</v>
      </c>
      <c r="B10" s="1822" t="s">
        <v>1405</v>
      </c>
      <c r="C10" s="360">
        <f ca="1">ROUND(IF(F10="押一",C6/12*F11,IF(F10="押二",C6/12*2*F11,IF(F10="押三",C6/12*3*F11,C11*F11))),0)</f>
        <v>0</v>
      </c>
      <c r="D10" s="1823" t="s">
        <v>3039</v>
      </c>
      <c r="E10" s="357" t="s">
        <v>1406</v>
      </c>
      <c r="F10" s="1365"/>
      <c r="G10" s="1850"/>
      <c r="H10" s="1290" t="s">
        <v>1036</v>
      </c>
      <c r="I10" s="1822" t="s">
        <v>1405</v>
      </c>
      <c r="J10" s="345">
        <f ca="1">ROUND(IF(M10="押一",J6/12*M11,IF(M10="押二",J6/12*2*M11,IF(M10="押三",J6/12*3*M11,J11*M11))),0)</f>
        <v>0</v>
      </c>
      <c r="K10" s="1823" t="s">
        <v>3039</v>
      </c>
      <c r="L10" s="357" t="s">
        <v>1406</v>
      </c>
      <c r="M10" s="1365" t="s">
        <v>1407</v>
      </c>
    </row>
    <row r="11" spans="1:37" ht="18" customHeight="1">
      <c r="A11" s="352"/>
      <c r="B11" s="1824" t="s">
        <v>1384</v>
      </c>
      <c r="C11" s="1178"/>
      <c r="D11" s="1825"/>
      <c r="E11" s="357" t="s">
        <v>1408</v>
      </c>
      <c r="F11" s="358">
        <f ca="1">'数据-取费表'!B39</f>
        <v>1.4999999999999999E-2</v>
      </c>
      <c r="G11" s="1850"/>
      <c r="H11" s="1298"/>
      <c r="I11" s="1824" t="s">
        <v>1384</v>
      </c>
      <c r="J11" s="1178"/>
      <c r="K11" s="745"/>
      <c r="L11" s="357" t="s">
        <v>1408</v>
      </c>
      <c r="M11" s="1056">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4">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1" t="s">
        <v>1031</v>
      </c>
      <c r="B14" s="346" t="s">
        <v>1413</v>
      </c>
      <c r="C14" s="362">
        <f ca="1">INDIRECT("'数据-取费表'!m"&amp;$G$1)+INDIRECT("'数据-取费表'!t"&amp;$G$1)</f>
        <v>0</v>
      </c>
      <c r="D14" s="2942" t="s">
        <v>1414</v>
      </c>
      <c r="E14" s="2940"/>
      <c r="F14" s="363"/>
      <c r="G14" s="1850"/>
      <c r="H14" s="1201" t="s">
        <v>1032</v>
      </c>
      <c r="I14" s="346" t="s">
        <v>1415</v>
      </c>
      <c r="J14" s="23">
        <f ca="1">C29</f>
        <v>0</v>
      </c>
      <c r="K14" s="2947"/>
      <c r="L14" s="979"/>
      <c r="M14" s="980"/>
    </row>
    <row r="15" spans="1:37" s="1857" customFormat="1" ht="18" customHeight="1" thickBot="1">
      <c r="A15" s="1201" t="s">
        <v>1033</v>
      </c>
      <c r="B15" s="346" t="s">
        <v>1416</v>
      </c>
      <c r="C15" s="23">
        <f ca="1">ROUND(C14*F15,0)</f>
        <v>0</v>
      </c>
      <c r="D15" s="364" t="s">
        <v>1417</v>
      </c>
      <c r="E15" s="364" t="s">
        <v>1418</v>
      </c>
      <c r="F15" s="365">
        <f>'数据-取费表'!B33</f>
        <v>0.05</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6" t="s">
        <v>1419</v>
      </c>
      <c r="C16" s="23">
        <f ca="1">ROUND(INDIRECT("'数据-取费表'!m"&amp;$G$1)*F16,0)</f>
        <v>0</v>
      </c>
      <c r="D16" s="346" t="s">
        <v>1417</v>
      </c>
      <c r="E16" s="346" t="s">
        <v>1418</v>
      </c>
      <c r="F16" s="366">
        <f ca="1">IF(INDIRECT("'数据-取费表'!c"&amp;$G$1)="住宅",'数据-取费表'!B34,0)</f>
        <v>0</v>
      </c>
      <c r="G16" s="1850"/>
      <c r="H16" s="1328" t="s">
        <v>1027</v>
      </c>
      <c r="I16" s="1329" t="s">
        <v>1420</v>
      </c>
      <c r="J16" s="354">
        <f ca="1">ROUND(J17+J22+J23+J24,0)</f>
        <v>0</v>
      </c>
      <c r="K16" s="1336" t="s">
        <v>1421</v>
      </c>
      <c r="L16" s="2943"/>
      <c r="M16" s="1293"/>
    </row>
    <row r="17" spans="1:37" s="1857" customFormat="1" ht="18" customHeight="1">
      <c r="A17" s="1201" t="s">
        <v>1386</v>
      </c>
      <c r="B17" s="346" t="s">
        <v>1422</v>
      </c>
      <c r="C17" s="23">
        <f ca="1">ROUND(F17*(F43+INDIRECT("'数据-取费表'!S"&amp;$G$1))/10000,0)</f>
        <v>0</v>
      </c>
      <c r="D17" s="346" t="s">
        <v>1423</v>
      </c>
      <c r="E17" s="346" t="s">
        <v>1424</v>
      </c>
      <c r="F17" s="25">
        <f>'数据-取费表'!B35</f>
        <v>200</v>
      </c>
      <c r="G17" s="1853"/>
      <c r="H17" s="1201" t="s">
        <v>1032</v>
      </c>
      <c r="I17" s="346" t="s">
        <v>1425</v>
      </c>
      <c r="J17" s="23">
        <f ca="1">ROUND(IF(项目基本情况!B11="自然人",J5*M17,J18+J19+J20),1)</f>
        <v>0</v>
      </c>
      <c r="K17" s="2942" t="s">
        <v>1426</v>
      </c>
      <c r="L17" s="2941" t="s">
        <v>1427</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6" t="s">
        <v>1428</v>
      </c>
      <c r="C18" s="23">
        <f ca="1">ROUND(C14*F18,0)</f>
        <v>0</v>
      </c>
      <c r="D18" s="346" t="s">
        <v>1417</v>
      </c>
      <c r="E18" s="346" t="s">
        <v>1418</v>
      </c>
      <c r="F18" s="366">
        <f>'数据-取费表'!B36</f>
        <v>1.4999999999999999E-2</v>
      </c>
      <c r="G18" s="1853"/>
      <c r="H18" s="1201" t="s">
        <v>1031</v>
      </c>
      <c r="I18" s="346" t="s">
        <v>1429</v>
      </c>
      <c r="J18" s="23">
        <f ca="1">ROUND(J5*M18/(1+'数据-取费表'!C42),2)</f>
        <v>0</v>
      </c>
      <c r="K18" s="2941" t="s">
        <v>1430</v>
      </c>
      <c r="L18" s="346" t="s">
        <v>1418</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6" t="s">
        <v>1431</v>
      </c>
      <c r="C19" s="23">
        <f ca="1">SUM(C14:C18)</f>
        <v>0</v>
      </c>
      <c r="D19" s="139" t="s">
        <v>1432</v>
      </c>
      <c r="E19" s="2946"/>
      <c r="F19" s="25"/>
      <c r="G19" s="1850"/>
      <c r="H19" s="1201" t="s">
        <v>1033</v>
      </c>
      <c r="I19" s="346" t="s">
        <v>1433</v>
      </c>
      <c r="J19" s="23">
        <f ca="1">IF(K19="按租金收入计税",ROUND(J5*M19,2),ROUND(C29*M19*0.7,2))</f>
        <v>0</v>
      </c>
      <c r="K19" s="1827" t="s">
        <v>1434</v>
      </c>
      <c r="L19" s="346" t="s">
        <v>1418</v>
      </c>
      <c r="M19" s="366">
        <f>IF(K19="按租金收入计税",'数据-取费表'!B51,'数据-取费表'!B50)</f>
        <v>1.2E-2</v>
      </c>
    </row>
    <row r="20" spans="1:37" s="1857" customFormat="1" ht="18" customHeight="1">
      <c r="A20" s="1201" t="s">
        <v>1036</v>
      </c>
      <c r="B20" s="346" t="s">
        <v>1435</v>
      </c>
      <c r="C20" s="23">
        <f ca="1">ROUND(C19*F20,0)</f>
        <v>0</v>
      </c>
      <c r="D20" s="368" t="s">
        <v>1436</v>
      </c>
      <c r="E20" s="346" t="s">
        <v>1418</v>
      </c>
      <c r="F20" s="366">
        <f>'数据-取费表'!B37</f>
        <v>0.03</v>
      </c>
      <c r="G20" s="1853"/>
      <c r="H20" s="1201" t="s">
        <v>1385</v>
      </c>
      <c r="I20" s="163" t="s">
        <v>1437</v>
      </c>
      <c r="J20" s="24">
        <f ca="1">ROUND(M20*M21/10000,2)</f>
        <v>0</v>
      </c>
      <c r="K20" s="369" t="s">
        <v>1438</v>
      </c>
      <c r="L20" s="346" t="s">
        <v>1439</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6" t="s">
        <v>1440</v>
      </c>
      <c r="C21" s="23" t="s">
        <v>18</v>
      </c>
      <c r="D21" s="368" t="s">
        <v>1441</v>
      </c>
      <c r="E21" s="346" t="s">
        <v>1442</v>
      </c>
      <c r="F21" s="366">
        <f>'数据-取费表'!B38</f>
        <v>0.03</v>
      </c>
      <c r="G21" s="1853"/>
      <c r="H21" s="371"/>
      <c r="I21" s="355"/>
      <c r="J21" s="28"/>
      <c r="K21" s="372"/>
      <c r="L21" s="346" t="s">
        <v>1443</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6" t="s">
        <v>1444</v>
      </c>
      <c r="C22" s="23"/>
      <c r="D22" s="139" t="str">
        <f>IF(F23&lt;=1,"单利计息。","复利计息。")&amp;"建造成本、管理费用、销售费用产生的利息。"</f>
        <v>单利计息。建造成本、管理费用、销售费用产生的利息。</v>
      </c>
      <c r="E22" s="2946"/>
      <c r="F22" s="25"/>
      <c r="G22" s="1850"/>
      <c r="H22" s="1201" t="s">
        <v>1036</v>
      </c>
      <c r="I22" s="346" t="s">
        <v>1445</v>
      </c>
      <c r="J22" s="23">
        <f ca="1">ROUND(J14*M22,1)</f>
        <v>0</v>
      </c>
      <c r="K22" s="2941" t="s">
        <v>1446</v>
      </c>
      <c r="L22" s="346" t="s">
        <v>1418</v>
      </c>
      <c r="M22" s="373">
        <f ca="1">INDIRECT("'数据-取费表'!Ak"&amp;$G$1)</f>
        <v>0</v>
      </c>
    </row>
    <row r="23" spans="1:37" s="1857" customFormat="1" ht="18" customHeight="1">
      <c r="A23" s="1201"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1448</v>
      </c>
      <c r="F23" s="370">
        <f>'数据-取费表'!B20</f>
        <v>0.5</v>
      </c>
      <c r="G23" s="1853"/>
      <c r="H23" s="1201" t="s">
        <v>1072</v>
      </c>
      <c r="I23" s="346" t="s">
        <v>1449</v>
      </c>
      <c r="J23" s="23">
        <f ca="1">ROUND(J13*M23,1)</f>
        <v>0</v>
      </c>
      <c r="K23" s="2941" t="s">
        <v>1450</v>
      </c>
      <c r="L23" s="346" t="s">
        <v>1418</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6" t="s">
        <v>1453</v>
      </c>
      <c r="C24" s="23">
        <f ca="1">ROUND(IF('数据-取费表'!B22&lt;=1,F21*F24*F23/2,F21*(POWER((1+F24),F23/2)-1)),4)</f>
        <v>2.9999999999999997E-4</v>
      </c>
      <c r="D24" s="374" t="str">
        <f>IF(F23&lt;=1,"销售费用×利率×(建设周期÷2)","销售费用×((1+利率)^(建设周期÷2)-1)")</f>
        <v>销售费用×利率×(建设周期÷2)</v>
      </c>
      <c r="E24" s="346" t="s">
        <v>1454</v>
      </c>
      <c r="F24" s="376">
        <f ca="1">'数据-取费表'!B40</f>
        <v>4.3499999999999997E-2</v>
      </c>
      <c r="G24" s="1853"/>
      <c r="H24" s="1338" t="s">
        <v>1388</v>
      </c>
      <c r="I24" s="1339" t="s">
        <v>1435</v>
      </c>
      <c r="J24" s="1340">
        <f ca="1">ROUND(J5*M24,1)</f>
        <v>0</v>
      </c>
      <c r="K24" s="1341" t="s">
        <v>1455</v>
      </c>
      <c r="L24" s="1339" t="s">
        <v>1418</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6" t="s">
        <v>1457</v>
      </c>
      <c r="C25" s="23"/>
      <c r="D25" s="139" t="s">
        <v>1458</v>
      </c>
      <c r="E25" s="2946"/>
      <c r="F25" s="25"/>
      <c r="G25" s="1850"/>
      <c r="H25" s="1328" t="s">
        <v>1028</v>
      </c>
      <c r="I25" s="1343" t="s">
        <v>1459</v>
      </c>
      <c r="J25" s="354">
        <f ca="1">J5-J16</f>
        <v>0</v>
      </c>
      <c r="K25" s="1344" t="s">
        <v>1460</v>
      </c>
      <c r="L25" s="1345"/>
      <c r="M25" s="1346"/>
    </row>
    <row r="26" spans="1:37">
      <c r="A26" s="1201" t="s">
        <v>1031</v>
      </c>
      <c r="B26" s="346" t="s">
        <v>1461</v>
      </c>
      <c r="C26" s="23">
        <f ca="1">ROUND((C19+C20)*F26,0)</f>
        <v>0</v>
      </c>
      <c r="D26" s="368" t="s">
        <v>1462</v>
      </c>
      <c r="E26" s="357" t="s">
        <v>1463</v>
      </c>
      <c r="F26" s="356">
        <f ca="1">INDIRECT("'数据-取费表'!q"&amp;$G$1)</f>
        <v>0</v>
      </c>
      <c r="G26" s="1850"/>
      <c r="H26" s="343" t="s">
        <v>1029</v>
      </c>
      <c r="I26" s="344" t="s">
        <v>1464</v>
      </c>
      <c r="J26" s="345">
        <f ca="1">IF(J5&lt;&gt;0,ROUND(J25*(1-((1+M28)/(1+M26))^M27)/(M26-M28),0),0)</f>
        <v>0</v>
      </c>
      <c r="K26" s="369" t="s">
        <v>1465</v>
      </c>
      <c r="L26" s="346" t="s">
        <v>1466</v>
      </c>
      <c r="M26" s="356">
        <f ca="1">INDIRECT("'数据-取费表'!I"&amp;$G$1)</f>
        <v>0</v>
      </c>
    </row>
    <row r="27" spans="1:37" ht="18" customHeight="1">
      <c r="A27" s="1201" t="s">
        <v>1033</v>
      </c>
      <c r="B27" s="346" t="s">
        <v>1467</v>
      </c>
      <c r="C27" s="23">
        <f ca="1">ROUND(F21*F26,4)</f>
        <v>0</v>
      </c>
      <c r="D27" s="368" t="s">
        <v>1468</v>
      </c>
      <c r="E27" s="364"/>
      <c r="F27" s="365"/>
      <c r="G27" s="1850"/>
      <c r="H27" s="348"/>
      <c r="I27" s="349"/>
      <c r="J27" s="350"/>
      <c r="K27" s="377" t="s">
        <v>1469</v>
      </c>
      <c r="L27" s="346" t="s">
        <v>1470</v>
      </c>
      <c r="M27" s="378">
        <f ca="1">INDIRECT("'数据-取费表'!ag"&amp;$G$1)</f>
        <v>0</v>
      </c>
    </row>
    <row r="28" spans="1:37" s="1857" customFormat="1" ht="18" customHeight="1">
      <c r="A28" s="1201" t="s">
        <v>1034</v>
      </c>
      <c r="B28" s="346" t="s">
        <v>1471</v>
      </c>
      <c r="C28" s="23">
        <f>ROUND(F28/(1+'数据-取费表'!C42),4)</f>
        <v>5.2400000000000002E-2</v>
      </c>
      <c r="D28" s="368" t="s">
        <v>1472</v>
      </c>
      <c r="E28" s="346" t="s">
        <v>1418</v>
      </c>
      <c r="F28" s="366">
        <f>'数据-取费表'!B41</f>
        <v>5.5000000000000007E-2</v>
      </c>
      <c r="G28" s="1853"/>
      <c r="H28" s="352"/>
      <c r="I28" s="353"/>
      <c r="J28" s="354"/>
      <c r="K28" s="372"/>
      <c r="L28" s="346" t="s">
        <v>1473</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79" t="s">
        <v>1030</v>
      </c>
      <c r="I29" s="380" t="s">
        <v>1475</v>
      </c>
      <c r="J29" s="381">
        <f ca="1">ROUND(J26/(1+F40)^F41,0)</f>
        <v>0</v>
      </c>
      <c r="K29" s="382" t="s">
        <v>1476</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4">
        <f ca="1">ROUND(C31+C36+C37+C38,0)</f>
        <v>0</v>
      </c>
      <c r="D30" s="1336" t="s">
        <v>1421</v>
      </c>
      <c r="E30" s="2943"/>
      <c r="F30" s="1293"/>
      <c r="G30" s="1850"/>
      <c r="H30" s="742"/>
      <c r="I30" s="743"/>
      <c r="J30" s="744"/>
      <c r="K30" s="745"/>
      <c r="L30" s="746"/>
      <c r="M30" s="747"/>
    </row>
    <row r="31" spans="1:37" ht="18" customHeight="1">
      <c r="A31" s="1201" t="s">
        <v>1032</v>
      </c>
      <c r="B31" s="346" t="s">
        <v>1425</v>
      </c>
      <c r="C31" s="23">
        <f ca="1">ROUND(IF(项目基本情况!B11="自然人",C5*F31,C32+C33+C34),1)</f>
        <v>0</v>
      </c>
      <c r="D31" s="2942" t="s">
        <v>1426</v>
      </c>
      <c r="E31" s="2941" t="s">
        <v>1477</v>
      </c>
      <c r="F31" s="367" t="str">
        <f ca="1">IF(项目基本情况!B11="企业","",IF(INDIRECT("'数据-取费表'!c"&amp;$G$1)="住宅",5%,IF(F6*F7*F8/12/(1+'数据-取费表'!C42)&gt;20000,12%,7%)))</f>
        <v/>
      </c>
      <c r="G31" s="1850"/>
      <c r="H31" s="742"/>
      <c r="I31" s="743"/>
      <c r="J31" s="744"/>
      <c r="K31" s="745"/>
      <c r="L31" s="746"/>
      <c r="M31" s="747"/>
    </row>
    <row r="32" spans="1:37" ht="18" customHeight="1">
      <c r="A32" s="1201" t="s">
        <v>1031</v>
      </c>
      <c r="B32" s="346" t="s">
        <v>1429</v>
      </c>
      <c r="C32" s="23">
        <f ca="1">IF(项目基本情况!B11="自然人","——",ROUND(C5*F32/(1+'数据-取费表'!C42),2))</f>
        <v>0</v>
      </c>
      <c r="D32" s="2941" t="s">
        <v>1430</v>
      </c>
      <c r="E32" s="346" t="s">
        <v>1418</v>
      </c>
      <c r="F32" s="376">
        <f>'数据-取费表'!B41</f>
        <v>5.5000000000000007E-2</v>
      </c>
      <c r="G32" s="1850"/>
      <c r="H32" s="742"/>
      <c r="I32" s="743"/>
      <c r="J32" s="744"/>
      <c r="K32" s="745"/>
      <c r="L32" s="746"/>
      <c r="M32" s="747"/>
    </row>
    <row r="33" spans="1:18" ht="18" customHeight="1">
      <c r="A33" s="1201" t="s">
        <v>1033</v>
      </c>
      <c r="B33" s="346" t="s">
        <v>1433</v>
      </c>
      <c r="C33" s="23">
        <f ca="1">IF(项目基本情况!B11="自然人","——",IF(D33="按租金收入计税",ROUND(C5*F33,2),IF(D33="按房产原值计税",ROUND(C29*F33*0.7,2),INDIRECT("'数据-取费表'!Aj"&amp;$G$1))))</f>
        <v>0</v>
      </c>
      <c r="D33" s="1827" t="s">
        <v>1434</v>
      </c>
      <c r="E33" s="346" t="s">
        <v>1418</v>
      </c>
      <c r="F33" s="366">
        <f>IF(D33="按票据","——",IF(D33="按租金收入计税",'数据-取费表'!B51,'数据-取费表'!B50))</f>
        <v>1.2E-2</v>
      </c>
      <c r="G33" s="1850"/>
      <c r="H33" s="1858"/>
      <c r="I33" s="1859"/>
      <c r="J33" s="1860"/>
      <c r="K33" s="1861"/>
      <c r="L33" s="1858"/>
      <c r="M33" s="1858"/>
    </row>
    <row r="34" spans="1:18" ht="18" customHeight="1">
      <c r="A34" s="1290" t="s">
        <v>1385</v>
      </c>
      <c r="B34" s="163" t="s">
        <v>1437</v>
      </c>
      <c r="C34" s="24">
        <f ca="1">IF(项目基本情况!B11="自然人","——",ROUND(F34*F35/10000,2))</f>
        <v>0</v>
      </c>
      <c r="D34" s="369" t="s">
        <v>1438</v>
      </c>
      <c r="E34" s="346" t="s">
        <v>1439</v>
      </c>
      <c r="F34" s="370">
        <f>'数据-取费表'!B52</f>
        <v>1.5</v>
      </c>
      <c r="G34" s="1850"/>
      <c r="H34" s="742"/>
      <c r="I34" s="1859"/>
      <c r="J34" s="1860"/>
      <c r="K34" s="1862"/>
      <c r="L34" s="1863"/>
      <c r="M34" s="1863"/>
    </row>
    <row r="35" spans="1:18" ht="18" customHeight="1">
      <c r="A35" s="1352"/>
      <c r="B35" s="1350"/>
      <c r="C35" s="28"/>
      <c r="D35" s="372"/>
      <c r="E35" s="346" t="s">
        <v>1443</v>
      </c>
      <c r="F35" s="347">
        <f ca="1">INDIRECT("'数据-取费表'!r"&amp;$G$1)</f>
        <v>0</v>
      </c>
      <c r="G35" s="1850"/>
      <c r="H35" s="742"/>
      <c r="I35" s="1859"/>
      <c r="J35" s="1860"/>
      <c r="K35" s="1861"/>
      <c r="L35" s="1858"/>
      <c r="M35" s="1858"/>
    </row>
    <row r="36" spans="1:18" ht="18" customHeight="1">
      <c r="A36" s="1351" t="s">
        <v>1036</v>
      </c>
      <c r="B36" s="346" t="s">
        <v>1445</v>
      </c>
      <c r="C36" s="23">
        <f ca="1">ROUND(C29*F36,1)</f>
        <v>0</v>
      </c>
      <c r="D36" s="2941" t="s">
        <v>1478</v>
      </c>
      <c r="E36" s="346" t="s">
        <v>1418</v>
      </c>
      <c r="F36" s="373">
        <f ca="1">INDIRECT("'数据-取费表'!Ak"&amp;$G$1)</f>
        <v>0</v>
      </c>
      <c r="G36" s="1850"/>
      <c r="H36" s="1858"/>
      <c r="I36" s="1859"/>
      <c r="J36" s="1860"/>
      <c r="K36" s="748"/>
      <c r="L36" s="1858"/>
      <c r="M36" s="1858"/>
    </row>
    <row r="37" spans="1:18" ht="18" customHeight="1">
      <c r="A37" s="1201" t="s">
        <v>1072</v>
      </c>
      <c r="B37" s="346" t="s">
        <v>1449</v>
      </c>
      <c r="C37" s="23">
        <f ca="1">ROUND(C13*F37,1)</f>
        <v>0</v>
      </c>
      <c r="D37" s="2941" t="s">
        <v>1450</v>
      </c>
      <c r="E37" s="346" t="s">
        <v>1418</v>
      </c>
      <c r="F37" s="375">
        <f ca="1">INDIRECT("'数据-取费表'!Al"&amp;$G$1)</f>
        <v>0</v>
      </c>
      <c r="G37" s="1850"/>
      <c r="H37" s="1858"/>
      <c r="I37" s="1859"/>
      <c r="J37" s="1860"/>
      <c r="K37" s="748"/>
      <c r="L37" s="1858"/>
      <c r="M37" s="1858"/>
    </row>
    <row r="38" spans="1:18" ht="18" customHeight="1" thickBot="1">
      <c r="A38" s="1338" t="s">
        <v>1388</v>
      </c>
      <c r="B38" s="1339" t="s">
        <v>1435</v>
      </c>
      <c r="C38" s="1340">
        <f ca="1">ROUND(C5*F38,1)</f>
        <v>0</v>
      </c>
      <c r="D38" s="1341" t="s">
        <v>1455</v>
      </c>
      <c r="E38" s="1339" t="s">
        <v>1418</v>
      </c>
      <c r="F38" s="1335">
        <f ca="1">INDIRECT("'数据-取费表'!Am"&amp;$G$1)</f>
        <v>0</v>
      </c>
      <c r="G38" s="1850"/>
      <c r="H38" s="1858"/>
      <c r="I38" s="1859"/>
      <c r="J38" s="1860"/>
      <c r="K38" s="1864"/>
      <c r="L38" s="1858"/>
      <c r="M38" s="1858"/>
    </row>
    <row r="39" spans="1:18" ht="24.6" customHeight="1" thickTop="1">
      <c r="A39" s="1328" t="s">
        <v>1028</v>
      </c>
      <c r="B39" s="1343" t="s">
        <v>1459</v>
      </c>
      <c r="C39" s="354">
        <f ca="1">C5-C30</f>
        <v>0</v>
      </c>
      <c r="D39" s="1344" t="s">
        <v>1460</v>
      </c>
      <c r="E39" s="1345"/>
      <c r="F39" s="1346"/>
      <c r="G39" s="1850"/>
      <c r="H39" s="1858"/>
      <c r="I39" s="1859"/>
      <c r="J39" s="1860"/>
      <c r="K39" s="1864"/>
      <c r="L39" s="1858"/>
      <c r="M39" s="1858"/>
    </row>
    <row r="40" spans="1:18" ht="18" customHeight="1">
      <c r="A40" s="343" t="s">
        <v>1029</v>
      </c>
      <c r="B40" s="344" t="s">
        <v>1481</v>
      </c>
      <c r="C40" s="345" t="e">
        <f ca="1">ROUND(C39*(1-((1+F42)/(1+F40))^F41)/(F40-F42),0)</f>
        <v>#DIV/0!</v>
      </c>
      <c r="D40" s="369" t="s">
        <v>1465</v>
      </c>
      <c r="E40" s="346" t="s">
        <v>1466</v>
      </c>
      <c r="F40" s="356">
        <f ca="1">INDIRECT("'数据-取费表'!I"&amp;$G$1)</f>
        <v>0</v>
      </c>
      <c r="G40" s="1850"/>
      <c r="H40" s="1838"/>
      <c r="I40" s="1859"/>
      <c r="J40" s="1860"/>
      <c r="K40" s="1864"/>
      <c r="L40" s="1838"/>
      <c r="M40" s="1838"/>
    </row>
    <row r="41" spans="1:18" ht="18" customHeight="1">
      <c r="A41" s="348"/>
      <c r="B41" s="349"/>
      <c r="C41" s="350"/>
      <c r="D41" s="377" t="s">
        <v>1482</v>
      </c>
      <c r="E41" s="346" t="s">
        <v>1470</v>
      </c>
      <c r="F41" s="378">
        <f ca="1">IF(INDIRECT("'数据-取费表'!af"&amp;$G$1)=0,INDIRECT("'数据-取费表'!ae"&amp;$G$1),INDIRECT("'数据-取费表'!af"&amp;$G$1))</f>
        <v>0</v>
      </c>
      <c r="G41" s="1850"/>
      <c r="H41" s="729"/>
      <c r="I41" s="1859"/>
      <c r="J41" s="1860"/>
      <c r="K41" s="748"/>
      <c r="L41" s="729"/>
      <c r="M41" s="729"/>
    </row>
    <row r="42" spans="1:18" ht="18" customHeight="1">
      <c r="A42" s="352"/>
      <c r="B42" s="353"/>
      <c r="C42" s="354"/>
      <c r="D42" s="372"/>
      <c r="E42" s="346" t="s">
        <v>1473</v>
      </c>
      <c r="F42" s="356">
        <f ca="1">INDIRECT("'数据-取费表'!v"&amp;$G$1)</f>
        <v>0</v>
      </c>
      <c r="G42" s="1850"/>
      <c r="H42" s="729"/>
      <c r="I42" s="1859"/>
      <c r="J42" s="1860"/>
      <c r="K42" s="748"/>
      <c r="L42" s="729"/>
      <c r="M42" s="729"/>
    </row>
    <row r="43" spans="1:18" ht="18" customHeight="1" thickBot="1">
      <c r="A43" s="379" t="s">
        <v>1030</v>
      </c>
      <c r="B43" s="380" t="s">
        <v>1483</v>
      </c>
      <c r="C43" s="381" t="e">
        <f ca="1">ROUND(C40*10000/F43,0)</f>
        <v>#DIV/0!</v>
      </c>
      <c r="D43" s="382" t="s">
        <v>1484</v>
      </c>
      <c r="E43" s="383" t="s">
        <v>1485</v>
      </c>
      <c r="F43" s="384">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1515</v>
      </c>
      <c r="P45" s="1838"/>
      <c r="Q45" s="1838"/>
      <c r="R45" s="1838"/>
    </row>
    <row r="46" spans="1:18" s="1841" customFormat="1" ht="13.5" thickBot="1">
      <c r="A46" s="1869" t="s">
        <v>1516</v>
      </c>
      <c r="C46" s="1870" t="e">
        <f ca="1">C68-C40</f>
        <v>#DIV/0!</v>
      </c>
      <c r="D46" s="1871" t="str">
        <f>C2</f>
        <v>万元</v>
      </c>
      <c r="E46" s="1865"/>
      <c r="F46" s="1865"/>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366" t="s">
        <v>1394</v>
      </c>
      <c r="D47" s="1197" t="s">
        <v>1395</v>
      </c>
      <c r="E47" s="1278" t="s">
        <v>1396</v>
      </c>
      <c r="F47" s="1279"/>
      <c r="G47" s="789"/>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4" t="s">
        <v>1397</v>
      </c>
      <c r="C48" s="2945">
        <f ca="1">C49+C53+C55</f>
        <v>0</v>
      </c>
      <c r="D48" s="1361"/>
      <c r="E48" s="1362"/>
      <c r="F48" s="1181"/>
      <c r="G48" s="789"/>
      <c r="H48" s="790"/>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3">
        <f ca="1">ROUND(F49*F51*F50*(1-F52)/10000,0)</f>
        <v>0</v>
      </c>
      <c r="D49" s="1275" t="s">
        <v>3030</v>
      </c>
      <c r="E49" s="1829" t="s">
        <v>1487</v>
      </c>
      <c r="F49" s="1280"/>
      <c r="G49" s="1890"/>
      <c r="H49" s="790"/>
      <c r="I49" s="1886" t="s">
        <v>1530</v>
      </c>
      <c r="J49" s="1891"/>
      <c r="K49" s="1888" t="s">
        <v>1531</v>
      </c>
      <c r="L49" s="1892"/>
      <c r="O49" s="1893" t="s">
        <v>1039</v>
      </c>
      <c r="P49" s="1884" t="s">
        <v>1532</v>
      </c>
      <c r="Q49" s="1885">
        <f ca="1">C29</f>
        <v>0</v>
      </c>
      <c r="R49" s="1885" t="s">
        <v>1525</v>
      </c>
    </row>
    <row r="50" spans="1:18" s="1841" customFormat="1" ht="13.5" thickBot="1">
      <c r="A50" s="1195"/>
      <c r="B50" s="1198"/>
      <c r="C50" s="1367"/>
      <c r="D50" s="1172"/>
      <c r="E50" s="1276" t="s">
        <v>1402</v>
      </c>
      <c r="F50" s="1277">
        <f ca="1">F7</f>
        <v>0</v>
      </c>
      <c r="H50" s="790"/>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7">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4"/>
      <c r="I52" s="1902" t="s">
        <v>1539</v>
      </c>
      <c r="J52" s="1903"/>
      <c r="K52" s="1902" t="s">
        <v>1540</v>
      </c>
      <c r="L52" s="1903"/>
      <c r="O52" s="1893" t="s">
        <v>1042</v>
      </c>
      <c r="P52" s="1884" t="s">
        <v>1541</v>
      </c>
      <c r="Q52" s="1885" t="b">
        <f>J53</f>
        <v>0</v>
      </c>
      <c r="R52" s="1885" t="s">
        <v>1542</v>
      </c>
    </row>
    <row r="53" spans="1:18" s="1841" customFormat="1" ht="24.75" thickBot="1">
      <c r="A53" s="1404" t="s">
        <v>1134</v>
      </c>
      <c r="B53" s="1830" t="s">
        <v>1405</v>
      </c>
      <c r="C53" s="360">
        <f ca="1">ROUND(IF(F53="押一",C49/12*F11,IF(F53="押二",C49/12*2*F11,IF(F53="押三",C49/12*3*F11,C54*F11))),0)</f>
        <v>0</v>
      </c>
      <c r="D53" s="1823" t="s">
        <v>3039</v>
      </c>
      <c r="E53" s="357"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493" t="s">
        <v>1544</v>
      </c>
      <c r="L53" s="3494"/>
      <c r="O53" s="1883" t="s">
        <v>1043</v>
      </c>
      <c r="P53" s="1884" t="s">
        <v>1545</v>
      </c>
      <c r="Q53" s="1885" t="e">
        <f ca="1">Q47+Q48</f>
        <v>#DIV/0!</v>
      </c>
      <c r="R53" s="1885" t="s">
        <v>1044</v>
      </c>
    </row>
    <row r="54" spans="1:18" s="1841" customFormat="1" ht="13.5" thickBot="1">
      <c r="A54" s="1405"/>
      <c r="B54" s="1824" t="s">
        <v>1384</v>
      </c>
      <c r="C54" s="1178"/>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2944"/>
      <c r="F55" s="1906"/>
      <c r="I55" s="1909" t="s">
        <v>1547</v>
      </c>
      <c r="J55" s="1910" t="e">
        <f ca="1">ROUND(IF(J47="钢混",J57/J50,1-(1-2%)*(J50-J57)/J50),3)</f>
        <v>#DIV/0!</v>
      </c>
      <c r="K55" s="1911" t="s">
        <v>1548</v>
      </c>
      <c r="L55" s="1912" t="s">
        <v>1549</v>
      </c>
      <c r="O55" s="1876" t="s">
        <v>1518</v>
      </c>
      <c r="P55" s="1877" t="s">
        <v>1519</v>
      </c>
      <c r="Q55" s="1878" t="s">
        <v>1520</v>
      </c>
      <c r="R55" s="1878" t="s">
        <v>1521</v>
      </c>
    </row>
    <row r="56" spans="1:18" s="1841" customFormat="1" ht="25.5" thickTop="1" thickBot="1">
      <c r="A56" s="1176">
        <v>2</v>
      </c>
      <c r="B56" s="1177" t="s">
        <v>1410</v>
      </c>
      <c r="C56" s="275">
        <f ca="1">C13</f>
        <v>0</v>
      </c>
      <c r="D56" s="1913"/>
      <c r="E56" s="1914"/>
      <c r="F56" s="1906"/>
      <c r="I56" s="1915" t="s">
        <v>1550</v>
      </c>
      <c r="J56" s="1916"/>
      <c r="K56" s="1886" t="s">
        <v>1551</v>
      </c>
      <c r="L56" s="1889">
        <f ca="1">IF(L48&lt;J51,"——",L48-J53)</f>
        <v>0</v>
      </c>
      <c r="O56" s="1883" t="s">
        <v>1037</v>
      </c>
      <c r="P56" s="1884" t="s">
        <v>1524</v>
      </c>
      <c r="Q56" s="1885" t="e">
        <f ca="1">C40+J29</f>
        <v>#DIV/0!</v>
      </c>
      <c r="R56" s="1885" t="s">
        <v>1525</v>
      </c>
    </row>
    <row r="57" spans="1:18" s="1841" customFormat="1" ht="24.75" thickBot="1">
      <c r="A57" s="1917"/>
      <c r="B57" s="1169" t="s">
        <v>1474</v>
      </c>
      <c r="C57" s="281">
        <f ca="1">C29</f>
        <v>0</v>
      </c>
      <c r="D57" s="1918"/>
      <c r="E57" s="1919"/>
      <c r="F57" s="1920"/>
      <c r="I57" s="1921" t="s">
        <v>1552</v>
      </c>
      <c r="J57" s="1922">
        <f ca="1">IF(OR(M47="住宅",J51&lt;L48,J56="是"),"——",J51-L48)</f>
        <v>0</v>
      </c>
      <c r="K57" s="1886" t="s">
        <v>1553</v>
      </c>
      <c r="L57" s="1889">
        <f ca="1">IF(L48&lt;J51,"——",IF(L55="比较法",L49,IF(L55="基准地价",L50,L51)))</f>
        <v>0</v>
      </c>
      <c r="O57" s="1883" t="s">
        <v>1038</v>
      </c>
      <c r="P57" s="1884" t="s">
        <v>1554</v>
      </c>
      <c r="Q57" s="1885" t="e">
        <f ca="1">L60</f>
        <v>#DIV/0!</v>
      </c>
      <c r="R57" s="1885" t="s">
        <v>1555</v>
      </c>
    </row>
    <row r="58" spans="1:18" s="1841" customFormat="1" ht="24.75" thickBot="1">
      <c r="A58" s="359" t="s">
        <v>1027</v>
      </c>
      <c r="B58" s="1177" t="s">
        <v>1420</v>
      </c>
      <c r="C58" s="360">
        <f ca="1">ROUND(C59+C64+C65+C66,0)</f>
        <v>0</v>
      </c>
      <c r="D58" s="1179" t="s">
        <v>1421</v>
      </c>
      <c r="E58" s="1180"/>
      <c r="F58" s="1181"/>
      <c r="I58" s="1921" t="s">
        <v>1556</v>
      </c>
      <c r="J58" s="1923" t="e">
        <f ca="1">IF(J55&lt;0.4,0.4,J55)</f>
        <v>#DIV/0!</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3">
        <f ca="1">ROUND(IF(项目基本情况!B11="自然人",C48*F59,C60+C61+C62),1)</f>
        <v>0</v>
      </c>
      <c r="D59" s="1182" t="s">
        <v>1426</v>
      </c>
      <c r="E59" s="1183" t="s">
        <v>1427</v>
      </c>
      <c r="F59" s="367"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3">
        <f ca="1">IF(项目基本情况!B11="自然人","——",ROUND(C48*F60/(1+'数据-取费表'!C42),2))</f>
        <v>0</v>
      </c>
      <c r="D60" s="1183" t="s">
        <v>1430</v>
      </c>
      <c r="E60" s="1169" t="s">
        <v>1418</v>
      </c>
      <c r="F60" s="376">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1433</v>
      </c>
      <c r="C61" s="23">
        <f ca="1">IF(项目基本情况!B11="自然人","——",IF(D61="按租金收入计税",ROUND(C48*F61,2),IF(D61="按房产原值计税",ROUND(C57*F61*0.7,2),INDIRECT("'数据-取费表'!Aj"&amp;$G$1))))</f>
        <v>0</v>
      </c>
      <c r="D61" s="1827" t="s">
        <v>1434</v>
      </c>
      <c r="E61" s="1169" t="s">
        <v>1418</v>
      </c>
      <c r="F61" s="366">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1437</v>
      </c>
      <c r="C62" s="24">
        <f ca="1">IF(项目基本情况!B11="自然人","——",ROUND(F62*F63/10000,2))</f>
        <v>0</v>
      </c>
      <c r="D62" s="1184" t="s">
        <v>1438</v>
      </c>
      <c r="E62" s="1169" t="s">
        <v>1439</v>
      </c>
      <c r="F62" s="370">
        <f t="shared" si="0"/>
        <v>1.5</v>
      </c>
      <c r="I62" s="1928" t="s">
        <v>1566</v>
      </c>
      <c r="J62" s="1929" t="s">
        <v>1567</v>
      </c>
      <c r="K62" s="1929" t="s">
        <v>1568</v>
      </c>
      <c r="L62" s="1929" t="s">
        <v>1569</v>
      </c>
      <c r="M62" s="1930" t="s">
        <v>1570</v>
      </c>
      <c r="O62" s="1883" t="s">
        <v>1043</v>
      </c>
      <c r="P62" s="1884" t="s">
        <v>1545</v>
      </c>
      <c r="Q62" s="1885" t="e">
        <f ca="1">Q56+Q57</f>
        <v>#DIV/0!</v>
      </c>
      <c r="R62" s="1885" t="s">
        <v>1044</v>
      </c>
    </row>
    <row r="63" spans="1:18" s="1841" customFormat="1" ht="13.5" thickBot="1">
      <c r="A63" s="371"/>
      <c r="B63" s="1175"/>
      <c r="C63" s="28"/>
      <c r="D63" s="1185"/>
      <c r="E63" s="1169" t="s">
        <v>1443</v>
      </c>
      <c r="F63" s="347">
        <f t="shared" ca="1" si="0"/>
        <v>0</v>
      </c>
      <c r="I63" s="1928" t="s">
        <v>1572</v>
      </c>
      <c r="J63" s="1929">
        <v>70</v>
      </c>
      <c r="K63" s="1929">
        <v>50</v>
      </c>
      <c r="L63" s="1929">
        <v>80</v>
      </c>
      <c r="M63" s="1931">
        <v>0.02</v>
      </c>
      <c r="O63" s="1868" t="s">
        <v>1573</v>
      </c>
      <c r="P63" s="1838"/>
      <c r="Q63" s="1838"/>
      <c r="R63" s="1838"/>
    </row>
    <row r="64" spans="1:18" s="1841" customFormat="1" ht="13.5" thickBot="1">
      <c r="A64" s="1201" t="s">
        <v>1036</v>
      </c>
      <c r="B64" s="1169" t="s">
        <v>1445</v>
      </c>
      <c r="C64" s="23">
        <f ca="1">ROUND(C57*F64,1)</f>
        <v>0</v>
      </c>
      <c r="D64" s="1183" t="s">
        <v>1478</v>
      </c>
      <c r="E64" s="1169" t="s">
        <v>1418</v>
      </c>
      <c r="F64" s="373">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3">
        <f ca="1">ROUND(C56*F65,1)</f>
        <v>0</v>
      </c>
      <c r="D65" s="1183" t="s">
        <v>1450</v>
      </c>
      <c r="E65" s="1169" t="s">
        <v>1418</v>
      </c>
      <c r="F65" s="375">
        <f t="shared" ca="1" si="0"/>
        <v>0</v>
      </c>
      <c r="I65" s="1928" t="s">
        <v>1575</v>
      </c>
      <c r="J65" s="1929">
        <v>40</v>
      </c>
      <c r="K65" s="1929">
        <v>30</v>
      </c>
      <c r="L65" s="1929">
        <v>50</v>
      </c>
      <c r="M65" s="1931">
        <v>0.02</v>
      </c>
      <c r="O65" s="1883" t="s">
        <v>1037</v>
      </c>
      <c r="P65" s="1884" t="s">
        <v>1524</v>
      </c>
      <c r="Q65" s="1885" t="e">
        <f ca="1">C40+J29</f>
        <v>#DIV/0!</v>
      </c>
      <c r="R65" s="1885" t="s">
        <v>1525</v>
      </c>
    </row>
    <row r="66" spans="1:18" s="1841" customFormat="1" ht="16.5" thickBot="1">
      <c r="A66" s="1201" t="s">
        <v>1500</v>
      </c>
      <c r="B66" s="1169" t="s">
        <v>1435</v>
      </c>
      <c r="C66" s="23">
        <f ca="1">ROUND(C48*F66,1)</f>
        <v>0</v>
      </c>
      <c r="D66" s="1183" t="s">
        <v>1455</v>
      </c>
      <c r="E66" s="1169" t="s">
        <v>1418</v>
      </c>
      <c r="F66" s="356">
        <f t="shared" ca="1" si="0"/>
        <v>0</v>
      </c>
      <c r="O66" s="1883" t="s">
        <v>1038</v>
      </c>
      <c r="P66" s="1884" t="s">
        <v>1554</v>
      </c>
      <c r="Q66" s="1885" t="e">
        <f ca="1">L60</f>
        <v>#DIV/0!</v>
      </c>
      <c r="R66" s="1885" t="s">
        <v>1577</v>
      </c>
    </row>
    <row r="67" spans="1:18" s="1841" customFormat="1" ht="16.5" thickBot="1">
      <c r="A67" s="1176" t="s">
        <v>1028</v>
      </c>
      <c r="B67" s="1186" t="s">
        <v>1459</v>
      </c>
      <c r="C67" s="360">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5" t="e">
        <f ca="1">ROUND(C67*(1-((1+F70)/(1+F68))^F69)/(F68-F70),0)</f>
        <v>#DIV/0!</v>
      </c>
      <c r="D68" s="1184" t="s">
        <v>1465</v>
      </c>
      <c r="E68" s="1169" t="s">
        <v>1466</v>
      </c>
      <c r="F68" s="356">
        <f ca="1">F40</f>
        <v>0</v>
      </c>
      <c r="O68" s="1893" t="s">
        <v>1040</v>
      </c>
      <c r="P68" s="1933" t="s">
        <v>1579</v>
      </c>
      <c r="Q68" s="1885">
        <f ca="1">ROUND(Q69-Q70*Q71,0)</f>
        <v>0</v>
      </c>
      <c r="R68" s="1885" t="s">
        <v>1048</v>
      </c>
    </row>
    <row r="69" spans="1:18" s="1841" customFormat="1" ht="13.5" thickBot="1">
      <c r="A69" s="1170"/>
      <c r="B69" s="1171"/>
      <c r="C69" s="350"/>
      <c r="D69" s="1189" t="s">
        <v>1469</v>
      </c>
      <c r="E69" s="1169" t="s">
        <v>1470</v>
      </c>
      <c r="F69" s="378">
        <f ca="1">F41</f>
        <v>0</v>
      </c>
      <c r="O69" s="1893" t="s">
        <v>1045</v>
      </c>
      <c r="P69" s="1933" t="s">
        <v>1580</v>
      </c>
      <c r="Q69" s="1885">
        <f ca="1">C39</f>
        <v>0</v>
      </c>
      <c r="R69" s="1885" t="s">
        <v>1525</v>
      </c>
    </row>
    <row r="70" spans="1:18" s="1841" customFormat="1" ht="13.5" thickBot="1">
      <c r="A70" s="1173"/>
      <c r="B70" s="1174"/>
      <c r="C70" s="354"/>
      <c r="D70" s="1185"/>
      <c r="E70" s="1169" t="s">
        <v>1473</v>
      </c>
      <c r="F70" s="1274"/>
      <c r="O70" s="1893" t="s">
        <v>1046</v>
      </c>
      <c r="P70" s="1933" t="s">
        <v>1581</v>
      </c>
      <c r="Q70" s="1885">
        <f ca="1">C13</f>
        <v>0</v>
      </c>
      <c r="R70" s="1885" t="s">
        <v>1525</v>
      </c>
    </row>
    <row r="71" spans="1:18" s="1841" customFormat="1" ht="13.5" thickBot="1">
      <c r="A71" s="1190" t="s">
        <v>1030</v>
      </c>
      <c r="B71" s="1191" t="s">
        <v>1483</v>
      </c>
      <c r="C71" s="381" t="e">
        <f ca="1">ROUND(C68*10000/F71,0)</f>
        <v>#DIV/0!</v>
      </c>
      <c r="D71" s="1192" t="s">
        <v>1484</v>
      </c>
      <c r="E71" s="1193" t="s">
        <v>1485</v>
      </c>
      <c r="F71" s="384">
        <f ca="1">F43</f>
        <v>0</v>
      </c>
      <c r="O71" s="1893" t="s">
        <v>1047</v>
      </c>
      <c r="P71" s="1933" t="s">
        <v>1582</v>
      </c>
      <c r="Q71" s="1896">
        <f ca="1">C76</f>
        <v>0</v>
      </c>
      <c r="R71" s="1885"/>
    </row>
    <row r="72" spans="1:18" s="1841" customFormat="1" ht="13.5" thickBot="1">
      <c r="B72" s="793"/>
      <c r="C72" s="793"/>
      <c r="O72" s="1893" t="s">
        <v>1041</v>
      </c>
      <c r="P72" s="1884" t="s">
        <v>1560</v>
      </c>
      <c r="Q72" s="1896">
        <f>L52</f>
        <v>0</v>
      </c>
      <c r="R72" s="1885"/>
    </row>
    <row r="73" spans="1:18" ht="16.5" thickBot="1">
      <c r="A73" s="1841"/>
      <c r="B73" s="793"/>
      <c r="C73" s="793"/>
      <c r="D73" s="1841"/>
      <c r="E73" s="1841"/>
      <c r="F73" s="1841"/>
      <c r="O73" s="1893" t="s">
        <v>1042</v>
      </c>
      <c r="P73" s="1884" t="s">
        <v>1563</v>
      </c>
      <c r="Q73" s="1885" t="e">
        <f ca="1">L58</f>
        <v>#DIV/0!</v>
      </c>
      <c r="R73" s="1885" t="s">
        <v>1564</v>
      </c>
    </row>
    <row r="74" spans="1:18" ht="13.5" thickBot="1">
      <c r="A74" s="1841"/>
      <c r="B74" s="316"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5" t="s">
        <v>1502</v>
      </c>
      <c r="C75" s="386">
        <f ca="1">ROUND(C13*C76,0)</f>
        <v>0</v>
      </c>
      <c r="D75" s="1841"/>
      <c r="E75" s="1841"/>
      <c r="F75" s="1841"/>
      <c r="K75" s="1867"/>
      <c r="L75" s="1841"/>
      <c r="O75" s="1883" t="s">
        <v>1043</v>
      </c>
      <c r="P75" s="1884" t="s">
        <v>1545</v>
      </c>
      <c r="Q75" s="1885" t="e">
        <f ca="1">Q65+Q66</f>
        <v>#DIV/0!</v>
      </c>
      <c r="R75" s="1885" t="s">
        <v>1044</v>
      </c>
    </row>
    <row r="76" spans="1:18">
      <c r="B76" s="387" t="s">
        <v>1503</v>
      </c>
      <c r="C76" s="388">
        <f ca="1">INDIRECT("'数据-取费表'!j"&amp;$G$1)</f>
        <v>0</v>
      </c>
      <c r="I76" s="1841"/>
      <c r="J76" s="1841"/>
      <c r="K76" s="1867"/>
      <c r="L76" s="1841"/>
    </row>
    <row r="77" spans="1:18">
      <c r="B77" s="389" t="s">
        <v>1504</v>
      </c>
      <c r="C77" s="390"/>
      <c r="I77" s="1841"/>
      <c r="J77" s="1841"/>
      <c r="K77" s="1867"/>
      <c r="L77" s="1841"/>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41978</v>
      </c>
      <c r="C2" s="2" t="s">
        <v>133</v>
      </c>
      <c r="D2" s="242"/>
      <c r="E2" s="242"/>
      <c r="F2" s="242"/>
      <c r="G2" s="242"/>
    </row>
    <row r="3" spans="1:7" s="243" customFormat="1" ht="18" customHeight="1" thickBot="1">
      <c r="A3" s="246" t="s">
        <v>85</v>
      </c>
      <c r="B3" s="247">
        <f ca="1">ROUND(B2*10000/'数据-汇总表'!E3,0)</f>
        <v>24795</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1145</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339</v>
      </c>
      <c r="D10" s="1032">
        <f>'数据-汇总表'!E6</f>
        <v>16929.979999999996</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339</v>
      </c>
      <c r="D19" s="1036">
        <f>'数据-汇总表'!E3</f>
        <v>16929.979999999996</v>
      </c>
      <c r="E19" s="254">
        <f>'数据-取费表'!B31</f>
        <v>200</v>
      </c>
      <c r="F19" s="274"/>
      <c r="G19" s="1" t="s">
        <v>1071</v>
      </c>
    </row>
    <row r="20" spans="1:7" s="257" customFormat="1" ht="13.5" customHeight="1">
      <c r="A20" s="948" t="s">
        <v>1054</v>
      </c>
      <c r="B20" s="253" t="s">
        <v>104</v>
      </c>
      <c r="C20" s="275">
        <f>ROUND((C5+C19)*F20,0)</f>
        <v>628</v>
      </c>
      <c r="D20" s="275"/>
      <c r="E20" s="275"/>
      <c r="F20" s="276">
        <f>'数据-取费表'!B37</f>
        <v>0.03</v>
      </c>
      <c r="G20" s="1288" t="s">
        <v>1065</v>
      </c>
    </row>
    <row r="21" spans="1:7" s="257" customFormat="1" ht="13.5" customHeight="1">
      <c r="A21" s="948" t="s">
        <v>1056</v>
      </c>
      <c r="B21" s="253" t="s">
        <v>105</v>
      </c>
      <c r="C21" s="278">
        <f>F21</f>
        <v>0.03</v>
      </c>
      <c r="D21" s="279" t="s">
        <v>126</v>
      </c>
      <c r="E21" s="275"/>
      <c r="F21" s="276">
        <f>'数据-取费表'!B38</f>
        <v>0.03</v>
      </c>
      <c r="G21" s="277" t="s">
        <v>106</v>
      </c>
    </row>
    <row r="22" spans="1:7" s="257" customFormat="1" ht="13.5" customHeight="1">
      <c r="A22" s="948" t="s">
        <v>786</v>
      </c>
      <c r="B22" s="253" t="s">
        <v>107</v>
      </c>
      <c r="C22" s="1353">
        <f ca="1">ROUND(SUM(C23:C25),0)</f>
        <v>462</v>
      </c>
      <c r="D22" s="278">
        <f ca="1">C26</f>
        <v>2.9999999999999997E-4</v>
      </c>
      <c r="E22" s="279" t="s">
        <v>126</v>
      </c>
      <c r="F22" s="280">
        <f ca="1">'数据-取费表'!B40</f>
        <v>4.3499999999999997E-2</v>
      </c>
      <c r="G22" s="1288" t="str">
        <f>IF('数据-取费表'!B22&lt;=1,"单利计息","复利计息")</f>
        <v>单利计息</v>
      </c>
    </row>
    <row r="23" spans="1:7" s="257" customFormat="1" ht="13.5" customHeight="1">
      <c r="A23" s="951" t="s">
        <v>794</v>
      </c>
      <c r="B23" s="258" t="s">
        <v>1058</v>
      </c>
      <c r="C23" s="1354">
        <f ca="1">ROUND(IF('数据-取费表'!B22&lt;=1,C5*F22*'数据-取费表'!B23,C5*(POWER((1+F22),'数据-取费表'!B23)-1)),0)</f>
        <v>448</v>
      </c>
      <c r="D23" s="281"/>
      <c r="E23" s="281"/>
      <c r="F23" s="282"/>
      <c r="G23" s="283" t="s">
        <v>108</v>
      </c>
    </row>
    <row r="24" spans="1:7" s="257" customFormat="1" ht="13.5" customHeight="1">
      <c r="A24" s="951" t="s">
        <v>792</v>
      </c>
      <c r="B24" s="258" t="s">
        <v>1053</v>
      </c>
      <c r="C24" s="1354">
        <f ca="1">ROUND(IF('数据-取费表'!B22&lt;=1,C19*F22*('数据-取费表'!B19/2+'数据-取费表'!B21),C19*(POWER((1+F22),('数据-取费表'!B19/2+'数据-取费表'!B21))-1)),0)</f>
        <v>7</v>
      </c>
      <c r="D24" s="281"/>
      <c r="E24" s="281"/>
      <c r="F24" s="282"/>
      <c r="G24" s="283" t="s">
        <v>109</v>
      </c>
    </row>
    <row r="25" spans="1:7" s="257" customFormat="1" ht="24">
      <c r="A25" s="951" t="s">
        <v>793</v>
      </c>
      <c r="B25" s="258" t="s">
        <v>1055</v>
      </c>
      <c r="C25" s="1354">
        <f ca="1">ROUND(IF('数据-取费表'!B22&lt;=1,C20*F22*'数据-取费表'!B23/2,C20*(POWER((1+F22),'数据-取费表'!B23/2)-1)),0)</f>
        <v>7</v>
      </c>
      <c r="D25" s="281"/>
      <c r="E25" s="284"/>
      <c r="F25" s="282"/>
      <c r="G25" s="285" t="s">
        <v>110</v>
      </c>
    </row>
    <row r="26" spans="1:7" s="257" customFormat="1">
      <c r="A26" s="951" t="s">
        <v>795</v>
      </c>
      <c r="B26" s="258" t="s">
        <v>1057</v>
      </c>
      <c r="C26" s="281">
        <f ca="1">ROUND(IF('数据-取费表'!B22&lt;=1,F21*F22*'数据-取费表'!B23/2,F21*(POWER((1+F22),'数据-取费表'!B23/2)-1)),4)</f>
        <v>2.9999999999999997E-4</v>
      </c>
      <c r="D26" s="281"/>
      <c r="E26" s="284"/>
      <c r="F26" s="282"/>
      <c r="G26" s="286"/>
    </row>
    <row r="27" spans="1:7" s="257" customFormat="1" ht="24.75">
      <c r="A27" s="948" t="s">
        <v>787</v>
      </c>
      <c r="B27" s="287" t="s">
        <v>112</v>
      </c>
      <c r="C27" s="288">
        <f>C28</f>
        <v>5394</v>
      </c>
      <c r="D27" s="278">
        <f>C29</f>
        <v>7.4999999999999997E-3</v>
      </c>
      <c r="E27" s="279" t="s">
        <v>126</v>
      </c>
      <c r="F27" s="289">
        <f>'数据-取费表'!Q16</f>
        <v>0.25</v>
      </c>
      <c r="G27" s="290" t="s">
        <v>1066</v>
      </c>
    </row>
    <row r="28" spans="1:7" s="257" customFormat="1" ht="13.5" customHeight="1">
      <c r="A28" s="951" t="s">
        <v>794</v>
      </c>
      <c r="B28" s="291" t="s">
        <v>1059</v>
      </c>
      <c r="C28" s="292">
        <f>ROUND((C5+C19+C20)*F27*'数据-取费表'!B21/'数据-取费表'!B20,0)</f>
        <v>5394</v>
      </c>
      <c r="D28" s="278"/>
      <c r="E28" s="279"/>
      <c r="F28" s="289"/>
      <c r="G28" s="290"/>
    </row>
    <row r="29" spans="1:7" s="257" customFormat="1" ht="13.5" customHeight="1">
      <c r="A29" s="951" t="s">
        <v>792</v>
      </c>
      <c r="B29" s="291" t="s">
        <v>1060</v>
      </c>
      <c r="C29" s="281">
        <f>ROUND(C21*F27*'数据-取费表'!B21/'数据-取费表'!B20,4)</f>
        <v>7.4999999999999997E-3</v>
      </c>
      <c r="D29" s="278"/>
      <c r="E29" s="279"/>
      <c r="F29" s="289"/>
      <c r="G29" s="290"/>
    </row>
    <row r="30" spans="1:7" s="257" customFormat="1" ht="13.5" customHeight="1">
      <c r="A30" s="948"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30152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8453</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7619</v>
      </c>
      <c r="D34" s="260"/>
      <c r="E34" s="263"/>
      <c r="F34" s="300">
        <f>IF('数据-取费表'!B24=0,1,'数据-取费表'!N16)</f>
        <v>1</v>
      </c>
      <c r="G34" s="262" t="s">
        <v>116</v>
      </c>
    </row>
    <row r="35" spans="1:7" ht="13.5" customHeight="1">
      <c r="A35" s="951" t="s">
        <v>796</v>
      </c>
      <c r="B35" s="258" t="s">
        <v>60</v>
      </c>
      <c r="C35" s="263">
        <f>ROUND(C34*F35,0)</f>
        <v>381</v>
      </c>
      <c r="D35" s="263"/>
      <c r="E35" s="263"/>
      <c r="F35" s="302">
        <f>'数据-取费表'!B33</f>
        <v>0.05</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0.03</v>
      </c>
      <c r="G36" s="303" t="s">
        <v>62</v>
      </c>
    </row>
    <row r="37" spans="1:7" s="301" customFormat="1" ht="13.5" customHeight="1">
      <c r="A37" s="951" t="s">
        <v>798</v>
      </c>
      <c r="B37" s="258" t="s">
        <v>118</v>
      </c>
      <c r="C37" s="292">
        <f>ROUND(E37*D37*F34/10000,0)</f>
        <v>339</v>
      </c>
      <c r="D37" s="260">
        <f>'数据-汇总表'!E3</f>
        <v>16929.979999999996</v>
      </c>
      <c r="E37" s="292">
        <f>'数据-取费表'!B35</f>
        <v>200</v>
      </c>
      <c r="F37" s="302"/>
      <c r="G37" s="304" t="s">
        <v>119</v>
      </c>
    </row>
    <row r="38" spans="1:7" ht="13.5" customHeight="1">
      <c r="A38" s="951" t="s">
        <v>799</v>
      </c>
      <c r="B38" s="258" t="s">
        <v>63</v>
      </c>
      <c r="C38" s="263">
        <f>ROUND(C34*F38,0)</f>
        <v>114</v>
      </c>
      <c r="D38" s="263"/>
      <c r="E38" s="263"/>
      <c r="F38" s="302">
        <f>'数据-取费表'!B36</f>
        <v>1.4999999999999999E-2</v>
      </c>
      <c r="G38" s="262" t="s">
        <v>117</v>
      </c>
    </row>
    <row r="39" spans="1:7" s="257" customFormat="1" ht="13.5" customHeight="1">
      <c r="A39" s="948" t="s">
        <v>783</v>
      </c>
      <c r="B39" s="253" t="s">
        <v>104</v>
      </c>
      <c r="C39" s="275">
        <f>ROUND(C33*F20,0)</f>
        <v>254</v>
      </c>
      <c r="D39" s="275"/>
      <c r="E39" s="275"/>
      <c r="F39" s="276"/>
      <c r="G39" s="1288" t="s">
        <v>1068</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95</v>
      </c>
      <c r="D41" s="278">
        <f ca="1">C44</f>
        <v>2.9999999999999997E-4</v>
      </c>
      <c r="E41" s="279" t="s">
        <v>129</v>
      </c>
      <c r="F41" s="280"/>
      <c r="G41" s="1288" t="str">
        <f>IF('数据-取费表'!B22&lt;=1,"单利计息","复利计息")</f>
        <v>单利计息</v>
      </c>
    </row>
    <row r="42" spans="1:7" ht="13.5" customHeight="1">
      <c r="A42" s="951" t="s">
        <v>794</v>
      </c>
      <c r="B42" s="258" t="s">
        <v>1058</v>
      </c>
      <c r="C42" s="281">
        <f ca="1">ROUND(IF('数据-取费表'!B22&lt;=1,C33*F22*'数据-取费表'!B21/2,C33*(POWER((1+F22),'数据-取费表'!B21/2)-1)),0)</f>
        <v>92</v>
      </c>
      <c r="D42" s="281"/>
      <c r="E42" s="281"/>
      <c r="F42" s="282"/>
      <c r="G42" s="3337" t="s">
        <v>121</v>
      </c>
    </row>
    <row r="43" spans="1:7" ht="13.5" customHeight="1">
      <c r="A43" s="951" t="s">
        <v>792</v>
      </c>
      <c r="B43" s="258" t="s">
        <v>1061</v>
      </c>
      <c r="C43" s="281">
        <f ca="1">ROUND(IF('数据-取费表'!B22&lt;=1,C39*F22*'数据-取费表'!B21/2,C39*(POWER((1+F22),'数据-取费表'!B21/2)-1)),0)</f>
        <v>3</v>
      </c>
      <c r="D43" s="281"/>
      <c r="E43" s="281"/>
      <c r="F43" s="282"/>
      <c r="G43" s="3338"/>
    </row>
    <row r="44" spans="1:7" ht="13.5" customHeight="1">
      <c r="A44" s="951" t="s">
        <v>793</v>
      </c>
      <c r="B44" s="258" t="s">
        <v>1063</v>
      </c>
      <c r="C44" s="281">
        <f ca="1">ROUND(IF('数据-取费表'!B22&lt;=1,C40*F22*'数据-取费表'!B21/2,C40*(POWER((1+F22),'数据-取费表'!B21/2)-1)),4)</f>
        <v>2.9999999999999997E-4</v>
      </c>
      <c r="D44" s="281"/>
      <c r="E44" s="281"/>
      <c r="F44" s="282"/>
      <c r="G44" s="3339"/>
    </row>
    <row r="45" spans="1:7" s="257" customFormat="1" ht="13.5" customHeight="1">
      <c r="A45" s="948" t="s">
        <v>786</v>
      </c>
      <c r="B45" s="287" t="s">
        <v>112</v>
      </c>
      <c r="C45" s="288">
        <f>C46</f>
        <v>2177</v>
      </c>
      <c r="D45" s="278">
        <f>C47</f>
        <v>7.4999999999999997E-3</v>
      </c>
      <c r="E45" s="279" t="s">
        <v>129</v>
      </c>
      <c r="F45" s="289"/>
      <c r="G45" s="290" t="s">
        <v>1069</v>
      </c>
    </row>
    <row r="46" spans="1:7" s="257" customFormat="1" ht="13.5" customHeight="1">
      <c r="A46" s="951" t="s">
        <v>794</v>
      </c>
      <c r="B46" s="291" t="s">
        <v>1062</v>
      </c>
      <c r="C46" s="292">
        <f>ROUND((C33+C39)*F27,0)</f>
        <v>2177</v>
      </c>
      <c r="D46" s="306"/>
      <c r="E46" s="279"/>
      <c r="F46" s="289"/>
      <c r="G46" s="290"/>
    </row>
    <row r="47" spans="1:7" s="257" customFormat="1" ht="13.5" customHeight="1">
      <c r="A47" s="951" t="s">
        <v>792</v>
      </c>
      <c r="B47" s="291" t="s">
        <v>1064</v>
      </c>
      <c r="C47" s="281">
        <f>ROUND(C40*F27,4)</f>
        <v>7.4999999999999997E-3</v>
      </c>
      <c r="D47" s="306"/>
      <c r="E47" s="279"/>
      <c r="F47" s="289"/>
      <c r="G47" s="290"/>
    </row>
    <row r="48" spans="1:7" s="257" customFormat="1" ht="13.5" customHeight="1">
      <c r="A48" s="948" t="s">
        <v>787</v>
      </c>
      <c r="B48" s="253" t="s">
        <v>122</v>
      </c>
      <c r="C48" s="305">
        <f>F30</f>
        <v>5.5000000000000007E-2</v>
      </c>
      <c r="D48" s="279" t="s">
        <v>130</v>
      </c>
      <c r="E48" s="275"/>
      <c r="F48" s="280"/>
      <c r="G48" s="277" t="s">
        <v>123</v>
      </c>
    </row>
    <row r="49" spans="1:7" ht="16.5" customHeight="1">
      <c r="A49" s="948" t="s">
        <v>788</v>
      </c>
      <c r="B49" s="253" t="s">
        <v>131</v>
      </c>
      <c r="C49" s="275">
        <f ca="1">ROUND((C33+C39+C41+C45)/(1-C40-D41-D45-C48/(1+'数据-取费表'!B42)),0)</f>
        <v>12067</v>
      </c>
      <c r="D49" s="275"/>
      <c r="E49" s="275"/>
      <c r="F49" s="307"/>
      <c r="G49" s="277" t="s">
        <v>1070</v>
      </c>
    </row>
    <row r="50" spans="1:7" s="301" customFormat="1" ht="24">
      <c r="A50" s="948" t="s">
        <v>789</v>
      </c>
      <c r="B50" s="253" t="s">
        <v>124</v>
      </c>
      <c r="C50" s="275"/>
      <c r="D50" s="275"/>
      <c r="E50" s="275"/>
      <c r="F50" s="307">
        <f>IF('数据-取费表'!B24=0,'数据-取费表'!N16,1)</f>
        <v>0.98</v>
      </c>
      <c r="G50" s="290" t="s">
        <v>125</v>
      </c>
    </row>
    <row r="51" spans="1:7" ht="16.5" customHeight="1">
      <c r="A51" s="948" t="s">
        <v>790</v>
      </c>
      <c r="B51" s="253" t="s">
        <v>132</v>
      </c>
      <c r="C51" s="275">
        <f ca="1">ROUND(C49*F50,0)</f>
        <v>11826</v>
      </c>
      <c r="D51" s="275"/>
      <c r="E51" s="275"/>
      <c r="F51" s="307"/>
      <c r="G51" s="277" t="s">
        <v>64</v>
      </c>
    </row>
    <row r="52" spans="1:7" s="251" customFormat="1" ht="16.5" thickBot="1">
      <c r="A52" s="308" t="s">
        <v>65</v>
      </c>
      <c r="B52" s="309"/>
      <c r="C52" s="310">
        <f ca="1">C31+C51</f>
        <v>41978</v>
      </c>
      <c r="D52" s="309"/>
      <c r="E52" s="309"/>
      <c r="F52" s="309"/>
      <c r="G52" s="311"/>
    </row>
    <row r="55" spans="1:7" ht="15">
      <c r="B55" s="313" t="s">
        <v>66</v>
      </c>
      <c r="C55" s="314"/>
    </row>
    <row r="56" spans="1:7">
      <c r="B56" s="316" t="s">
        <v>67</v>
      </c>
      <c r="C56" s="317">
        <f ca="1">ROUND(C51/C52,3)</f>
        <v>0.28199999999999997</v>
      </c>
    </row>
    <row r="57" spans="1:7">
      <c r="B57" s="316" t="s">
        <v>68</v>
      </c>
      <c r="C57" s="318">
        <f ca="1">1-C56</f>
        <v>0.71799999999999997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570" t="s">
        <v>156</v>
      </c>
      <c r="B1" s="3570"/>
      <c r="C1" s="3570"/>
      <c r="D1" s="3570"/>
      <c r="E1" s="3570"/>
      <c r="F1" s="357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571" t="s">
        <v>169</v>
      </c>
      <c r="B2" s="3571"/>
      <c r="C2" s="3571"/>
      <c r="D2" s="3571"/>
      <c r="E2" s="3571"/>
      <c r="F2" s="357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57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57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1637</v>
      </c>
      <c r="B2" s="3257" t="s">
        <v>1638</v>
      </c>
      <c r="C2" s="3257" t="s">
        <v>1639</v>
      </c>
      <c r="D2" s="3257" t="str">
        <f>'结果表（办公）'!D116</f>
        <v>出让国有建设用地使用权价值</v>
      </c>
      <c r="E2" s="3257"/>
      <c r="F2" s="3257" t="str">
        <f>'结果表（办公）'!F116</f>
        <v>在建建筑物价值</v>
      </c>
      <c r="G2" s="3257"/>
      <c r="H2" s="3257" t="str">
        <f>IF(项目基本情况!B9="房地产市场价值","房地产市场价值","房地产价值")</f>
        <v>房地产价值</v>
      </c>
      <c r="I2" s="3257"/>
    </row>
    <row r="3" spans="1:9" ht="15">
      <c r="A3" s="3251"/>
      <c r="B3" s="3251"/>
      <c r="C3" s="3251"/>
      <c r="D3" s="1044" t="s">
        <v>1634</v>
      </c>
      <c r="E3" s="1044" t="s">
        <v>1640</v>
      </c>
      <c r="F3" s="1044" t="s">
        <v>1634</v>
      </c>
      <c r="G3" s="1044" t="s">
        <v>1635</v>
      </c>
      <c r="H3" s="1044" t="s">
        <v>1634</v>
      </c>
      <c r="I3" s="1044" t="s">
        <v>1635</v>
      </c>
    </row>
    <row r="4" spans="1:9" ht="30">
      <c r="A4" s="1972" t="str">
        <f>项目基本情况!S2</f>
        <v>北京市经济技术开发区荣华南路1号院1号楼房地产</v>
      </c>
      <c r="B4" s="1044">
        <f>项目基本情况!C17</f>
        <v>16929.979999999996</v>
      </c>
      <c r="C4" s="1044">
        <f>项目基本情况!C18</f>
        <v>0</v>
      </c>
      <c r="D4" s="1044" t="e">
        <f ca="1">'结果表（办公）'!D118</f>
        <v>#REF!</v>
      </c>
      <c r="E4" s="1044" t="e">
        <f ca="1">'结果表（办公）'!E118</f>
        <v>#REF!</v>
      </c>
      <c r="F4" s="1044" t="e">
        <f ca="1">'结果表（办公）'!F118</f>
        <v>#REF!</v>
      </c>
      <c r="G4" s="1044" t="e">
        <f ca="1">'结果表（办公）'!G118</f>
        <v>#REF!</v>
      </c>
      <c r="H4" s="1044">
        <f ca="1">'结果表（办公）'!H118</f>
        <v>63143</v>
      </c>
      <c r="I4" s="1044">
        <f ca="1">'结果表（办公）'!I118</f>
        <v>37297</v>
      </c>
    </row>
    <row r="5" spans="1:9" ht="30" customHeight="1">
      <c r="A5" s="3251" t="s">
        <v>1636</v>
      </c>
      <c r="B5" s="3251"/>
      <c r="C5" s="3251"/>
      <c r="D5" s="3252" t="e">
        <f ca="1">'结果表（办公）'!D119</f>
        <v>#REF!</v>
      </c>
      <c r="E5" s="3252"/>
      <c r="F5" s="3252" t="e">
        <f ca="1">'结果表（办公）'!F119</f>
        <v>#REF!</v>
      </c>
      <c r="G5" s="3252"/>
      <c r="H5" s="3252" t="str">
        <f ca="1">'结果表（办公）'!H119</f>
        <v>陆亿叁仟壹佰肆拾叁万元整</v>
      </c>
      <c r="I5" s="3252"/>
    </row>
    <row r="6" spans="1:9" ht="15.75">
      <c r="A6" s="3250" t="str">
        <f>'结果表（办公）'!A120</f>
        <v>估价师知悉的法定优先受偿款</v>
      </c>
      <c r="B6" s="3250"/>
      <c r="C6" s="3250"/>
      <c r="D6" s="3250">
        <f>'结果表（办公）'!D120</f>
        <v>0</v>
      </c>
      <c r="E6" s="3250"/>
      <c r="F6" s="3250"/>
      <c r="G6" s="3250"/>
      <c r="H6" s="3250"/>
      <c r="I6" s="3250"/>
    </row>
    <row r="7" spans="1:9" ht="15">
      <c r="A7" s="3251" t="s">
        <v>1636</v>
      </c>
      <c r="B7" s="3251"/>
      <c r="C7" s="3251"/>
      <c r="D7" s="3253" t="str">
        <f>'结果表（办公）'!D121</f>
        <v>零元整</v>
      </c>
      <c r="E7" s="3254"/>
      <c r="F7" s="3254"/>
      <c r="G7" s="3254"/>
      <c r="H7" s="3254"/>
      <c r="I7" s="3255"/>
    </row>
    <row r="8" spans="1:9" ht="15.75">
      <c r="A8" s="3250" t="str">
        <f>'结果表（办公）'!A122</f>
        <v>房地产抵押价值</v>
      </c>
      <c r="B8" s="3250"/>
      <c r="C8" s="3250"/>
      <c r="D8" s="3250">
        <f ca="1">'结果表（办公）'!D122</f>
        <v>63143</v>
      </c>
      <c r="E8" s="3250"/>
      <c r="F8" s="3250"/>
      <c r="G8" s="3250"/>
      <c r="H8" s="3250"/>
      <c r="I8" s="3250"/>
    </row>
    <row r="9" spans="1:9" ht="15">
      <c r="A9" s="3251" t="s">
        <v>1636</v>
      </c>
      <c r="B9" s="3251"/>
      <c r="C9" s="3251"/>
      <c r="D9" s="3252" t="str">
        <f ca="1">'结果表（办公）'!D123</f>
        <v>陆亿叁仟壹佰肆拾叁万元整</v>
      </c>
      <c r="E9" s="3252"/>
      <c r="F9" s="3252"/>
      <c r="G9" s="3252"/>
      <c r="H9" s="3252"/>
      <c r="I9" s="3252"/>
    </row>
    <row r="10" spans="1:9" ht="15.75">
      <c r="A10" s="3250" t="str">
        <f>'结果表（办公）'!A124</f>
        <v>抵押担保权已注销时的房地产抵押价值</v>
      </c>
      <c r="B10" s="3250"/>
      <c r="C10" s="3250"/>
      <c r="D10" s="3250">
        <f ca="1">'结果表（办公）'!D124</f>
        <v>63143</v>
      </c>
      <c r="E10" s="3250"/>
      <c r="F10" s="3250"/>
      <c r="G10" s="3250"/>
      <c r="H10" s="3250"/>
      <c r="I10" s="3250"/>
    </row>
    <row r="11" spans="1:9" ht="15">
      <c r="A11" s="3251" t="s">
        <v>1636</v>
      </c>
      <c r="B11" s="3251"/>
      <c r="C11" s="3251"/>
      <c r="D11" s="3252" t="str">
        <f ca="1">'结果表（办公）'!D125</f>
        <v>陆亿叁仟壹佰肆拾叁万元整</v>
      </c>
      <c r="E11" s="3252"/>
      <c r="F11" s="3252"/>
      <c r="G11" s="3252"/>
      <c r="H11" s="3252"/>
      <c r="I11" s="3252"/>
    </row>
    <row r="12" spans="1:9" ht="15.75">
      <c r="A12" s="3250" t="str">
        <f>'结果表（办公）'!A126</f>
        <v/>
      </c>
      <c r="B12" s="3250"/>
      <c r="C12" s="3250"/>
      <c r="D12" s="3250" t="str">
        <f>'结果表（办公）'!D126</f>
        <v>——</v>
      </c>
      <c r="E12" s="3250"/>
      <c r="F12" s="3250"/>
      <c r="G12" s="3250"/>
      <c r="H12" s="3250"/>
      <c r="I12" s="3250"/>
    </row>
    <row r="13" spans="1:9" ht="15.75" thickBot="1">
      <c r="A13" s="3247" t="s">
        <v>1636</v>
      </c>
      <c r="B13" s="3247"/>
      <c r="C13" s="3247"/>
      <c r="D13" s="3248" t="e">
        <f>'结果表（办公）'!D127</f>
        <v>#VALUE!</v>
      </c>
      <c r="E13" s="3248"/>
      <c r="F13" s="3248"/>
      <c r="G13" s="3248"/>
      <c r="H13" s="3248"/>
      <c r="I13" s="3248"/>
    </row>
    <row r="14" spans="1:9" ht="15" thickTop="1">
      <c r="A14" s="3249" t="s">
        <v>1641</v>
      </c>
      <c r="B14" s="3249"/>
      <c r="C14" s="3249"/>
      <c r="D14" s="3249"/>
      <c r="E14" s="3249"/>
      <c r="F14" s="3249"/>
      <c r="G14" s="3249"/>
      <c r="H14" s="3249"/>
      <c r="I14" s="3249"/>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570" t="s">
        <v>868</v>
      </c>
      <c r="B1" s="357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43553</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141"/>
  <sheetViews>
    <sheetView view="pageBreakPreview" zoomScaleNormal="100" zoomScaleSheetLayoutView="100" zoomScalePageLayoutView="80" workbookViewId="0">
      <selection activeCell="I1" sqref="I1"/>
    </sheetView>
  </sheetViews>
  <sheetFormatPr defaultColWidth="12.625" defaultRowHeight="21.75" customHeight="1"/>
  <cols>
    <col min="1" max="2" width="12.625" style="2221"/>
    <col min="3" max="4" width="12.625" style="2221" customWidth="1"/>
    <col min="5" max="9" width="12.625" style="2221"/>
    <col min="10" max="11" width="12.625" style="2221" customWidth="1"/>
    <col min="12" max="12" width="12.625" style="2221"/>
    <col min="13" max="13" width="14.125" style="2221" bestFit="1" customWidth="1"/>
    <col min="14" max="16384" width="12.625" style="2221"/>
  </cols>
  <sheetData>
    <row r="1" spans="1:12" ht="21.75" customHeight="1" thickBot="1">
      <c r="A1" s="2221" t="s">
        <v>2118</v>
      </c>
      <c r="C1" s="3066" t="s">
        <v>3067</v>
      </c>
      <c r="F1" s="2416" t="s">
        <v>2119</v>
      </c>
      <c r="G1" s="2067" t="s">
        <v>3202</v>
      </c>
      <c r="H1" s="2417" t="str">
        <f>IF(G1="现房","——","估价对象范围")</f>
        <v>——</v>
      </c>
      <c r="I1" s="2418"/>
    </row>
    <row r="2" spans="1:12" ht="21.75" customHeight="1" thickBot="1">
      <c r="A2" s="3373" t="str">
        <f>项目基本情况!S2</f>
        <v>北京市经济技术开发区荣华南路1号院1号楼房地产</v>
      </c>
      <c r="B2" s="3374"/>
      <c r="C2" s="3374"/>
      <c r="D2" s="3374"/>
      <c r="E2" s="3374"/>
      <c r="F2" s="3374"/>
      <c r="G2" s="3374"/>
      <c r="H2" s="3374"/>
      <c r="I2" s="3375"/>
    </row>
    <row r="3" spans="1:12" ht="18">
      <c r="A3" s="3377" t="s">
        <v>2121</v>
      </c>
      <c r="B3" s="3378"/>
      <c r="C3" s="3378"/>
      <c r="D3" s="3378"/>
      <c r="E3" s="3378"/>
      <c r="F3" s="3378"/>
      <c r="G3" s="3378"/>
      <c r="H3" s="3378"/>
      <c r="I3" s="3378"/>
    </row>
    <row r="4" spans="1:12" ht="18">
      <c r="A4" s="2421" t="s">
        <v>2122</v>
      </c>
      <c r="B4" s="2422" t="s">
        <v>2123</v>
      </c>
      <c r="C4" s="2423" t="s">
        <v>3201</v>
      </c>
      <c r="D4" s="2423" t="s">
        <v>3200</v>
      </c>
      <c r="E4" s="3370" t="s">
        <v>2124</v>
      </c>
      <c r="F4" s="3371"/>
      <c r="G4" s="3371"/>
      <c r="H4" s="3371"/>
      <c r="I4" s="3379"/>
      <c r="K4" s="2424" t="str">
        <f>IF(ISNUMBER(FIND("比较法",'结果表-仓储'!C4)),"比较法",IF(ISNUMBER(FIND("成本法",'结果表-仓储'!C4)),"成本法",IF(ISNUMBER(FIND("假设开发法",'结果表-仓储'!C4)),"假设开发法",IF(ISNUMBER(FIND("收益法",'结果表-仓储'!C4)),"收益法","基准地价系数修正法"))))</f>
        <v>成本法</v>
      </c>
      <c r="L4" s="242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8">
      <c r="A5" s="3353" t="s">
        <v>2125</v>
      </c>
      <c r="B5" s="3280">
        <v>25</v>
      </c>
      <c r="C5" s="3356"/>
      <c r="D5" s="3376"/>
      <c r="E5" s="139" t="s">
        <v>2126</v>
      </c>
      <c r="F5" s="2425"/>
      <c r="G5" s="2425"/>
      <c r="H5" s="2425"/>
      <c r="I5" s="1830"/>
    </row>
    <row r="6" spans="1:12" ht="18">
      <c r="A6" s="3353"/>
      <c r="B6" s="3280"/>
      <c r="C6" s="3357"/>
      <c r="D6" s="3376"/>
      <c r="E6" s="139" t="s">
        <v>2127</v>
      </c>
      <c r="F6" s="2425"/>
      <c r="G6" s="2425"/>
      <c r="H6" s="2425"/>
      <c r="I6" s="1830"/>
    </row>
    <row r="7" spans="1:12" ht="18">
      <c r="A7" s="3353"/>
      <c r="B7" s="3280"/>
      <c r="C7" s="3358"/>
      <c r="D7" s="3376"/>
      <c r="E7" s="139" t="s">
        <v>2128</v>
      </c>
      <c r="F7" s="2425"/>
      <c r="G7" s="2425"/>
      <c r="H7" s="2425"/>
      <c r="I7" s="1830"/>
    </row>
    <row r="8" spans="1:12" ht="18">
      <c r="A8" s="3353" t="s">
        <v>2129</v>
      </c>
      <c r="B8" s="3280">
        <v>15</v>
      </c>
      <c r="C8" s="3356"/>
      <c r="D8" s="3376"/>
      <c r="E8" s="139" t="s">
        <v>2130</v>
      </c>
      <c r="F8" s="2425"/>
      <c r="G8" s="2425"/>
      <c r="H8" s="2425"/>
      <c r="I8" s="1830"/>
    </row>
    <row r="9" spans="1:12" ht="18">
      <c r="A9" s="3353"/>
      <c r="B9" s="3280"/>
      <c r="C9" s="3358"/>
      <c r="D9" s="3376"/>
      <c r="E9" s="139" t="s">
        <v>2131</v>
      </c>
      <c r="F9" s="2425"/>
      <c r="G9" s="2425"/>
      <c r="H9" s="2425"/>
      <c r="I9" s="1830"/>
    </row>
    <row r="10" spans="1:12" ht="18">
      <c r="A10" s="3353" t="s">
        <v>2132</v>
      </c>
      <c r="B10" s="3280">
        <v>15</v>
      </c>
      <c r="C10" s="3356"/>
      <c r="D10" s="3376"/>
      <c r="E10" s="139" t="s">
        <v>2133</v>
      </c>
      <c r="F10" s="2425"/>
      <c r="G10" s="2425"/>
      <c r="H10" s="2425"/>
      <c r="I10" s="1830"/>
    </row>
    <row r="11" spans="1:12" ht="18">
      <c r="A11" s="3353"/>
      <c r="B11" s="3280"/>
      <c r="C11" s="3358"/>
      <c r="D11" s="3376"/>
      <c r="E11" s="139" t="s">
        <v>2134</v>
      </c>
      <c r="F11" s="2425"/>
      <c r="G11" s="2425"/>
      <c r="H11" s="2425"/>
      <c r="I11" s="1830"/>
    </row>
    <row r="12" spans="1:12" ht="18">
      <c r="A12" s="3353" t="s">
        <v>2135</v>
      </c>
      <c r="B12" s="3280">
        <v>15</v>
      </c>
      <c r="C12" s="3356"/>
      <c r="D12" s="3376"/>
      <c r="E12" s="139" t="s">
        <v>2136</v>
      </c>
      <c r="F12" s="2425"/>
      <c r="G12" s="2425"/>
      <c r="H12" s="2425"/>
      <c r="I12" s="1830"/>
    </row>
    <row r="13" spans="1:12" ht="18">
      <c r="A13" s="3353"/>
      <c r="B13" s="3280"/>
      <c r="C13" s="3358"/>
      <c r="D13" s="3376"/>
      <c r="E13" s="139" t="s">
        <v>2137</v>
      </c>
      <c r="F13" s="2425"/>
      <c r="G13" s="2425"/>
      <c r="H13" s="2425"/>
      <c r="I13" s="1830"/>
    </row>
    <row r="14" spans="1:12" ht="18">
      <c r="A14" s="3353" t="s">
        <v>2138</v>
      </c>
      <c r="B14" s="3280">
        <v>30</v>
      </c>
      <c r="C14" s="3356">
        <v>5</v>
      </c>
      <c r="D14" s="3376">
        <v>5</v>
      </c>
      <c r="E14" s="139" t="s">
        <v>2139</v>
      </c>
      <c r="F14" s="2425"/>
      <c r="G14" s="2425"/>
      <c r="H14" s="2425"/>
      <c r="I14" s="1830"/>
    </row>
    <row r="15" spans="1:12" ht="18">
      <c r="A15" s="3353"/>
      <c r="B15" s="3280"/>
      <c r="C15" s="3357"/>
      <c r="D15" s="3376"/>
      <c r="E15" s="139" t="s">
        <v>2140</v>
      </c>
      <c r="F15" s="2425"/>
      <c r="G15" s="2425"/>
      <c r="H15" s="2425"/>
      <c r="I15" s="1830"/>
    </row>
    <row r="16" spans="1:12" ht="18">
      <c r="A16" s="3353"/>
      <c r="B16" s="3280"/>
      <c r="C16" s="3358"/>
      <c r="D16" s="3376"/>
      <c r="E16" s="139" t="s">
        <v>2141</v>
      </c>
      <c r="F16" s="2425"/>
      <c r="G16" s="2425"/>
      <c r="H16" s="2425"/>
      <c r="I16" s="1830"/>
    </row>
    <row r="17" spans="1:13" ht="18">
      <c r="A17" s="2426" t="s">
        <v>2142</v>
      </c>
      <c r="B17" s="63"/>
      <c r="C17" s="140">
        <f>SUM(C5:C16)</f>
        <v>5</v>
      </c>
      <c r="D17" s="140">
        <f>SUM(D5:D16)</f>
        <v>5</v>
      </c>
      <c r="K17" s="2424"/>
      <c r="L17" s="2427" t="s">
        <v>2143</v>
      </c>
      <c r="M17" s="2427" t="s">
        <v>2144</v>
      </c>
    </row>
    <row r="18" spans="1:13" ht="18.75" thickBot="1">
      <c r="A18" s="2428" t="s">
        <v>2145</v>
      </c>
      <c r="C18" s="141">
        <f>ROUND(C17/SUM(C17:D17),2)</f>
        <v>0.5</v>
      </c>
      <c r="D18" s="141">
        <f>1-C18</f>
        <v>0.5</v>
      </c>
      <c r="K18" s="2424" t="s">
        <v>2146</v>
      </c>
      <c r="L18" s="2424">
        <f>IF(C1="",'数据-汇总表'!E3,SUMIF(项目类型,C1,'数据-汇总表'!E17:E26)+SUMIF(项目类型,C1,'数据-汇总表'!I17:I26))</f>
        <v>0</v>
      </c>
      <c r="M18" s="2424">
        <f>IF(C1="",'数据-汇总表'!E3,SUMIF(项目类型,C1,'数据-汇总表'!E17:E26))</f>
        <v>0</v>
      </c>
    </row>
    <row r="19" spans="1:13" ht="18">
      <c r="A19" s="2430" t="s">
        <v>2147</v>
      </c>
      <c r="B19" s="2431" t="s">
        <v>2148</v>
      </c>
      <c r="C19" s="142" t="e">
        <f ca="1">SUMIF(INDIRECT("'"&amp;C4&amp;"'"&amp;"!A:A"),'结果表-仓储'!B19,INDIRECT("'"&amp;C4&amp;"'"&amp;"!B:B"))</f>
        <v>#DIV/0!</v>
      </c>
      <c r="D19" s="143" t="e">
        <f ca="1">SUMIF(INDIRECT("'"&amp;D4&amp;"'"&amp;"!A:A"),'结果表-仓储'!B19,INDIRECT("'"&amp;D4&amp;"'"&amp;"!B:B"))</f>
        <v>#N/A</v>
      </c>
      <c r="E19" s="2430" t="s">
        <v>2149</v>
      </c>
      <c r="F19" s="2431" t="s">
        <v>2148</v>
      </c>
      <c r="G19" s="144" t="e">
        <f ca="1">ROUND(C19*$C$18+D19*$D$18,0)</f>
        <v>#DIV/0!</v>
      </c>
      <c r="H19" s="2432" t="s">
        <v>2150</v>
      </c>
      <c r="K19" s="2424" t="s">
        <v>2151</v>
      </c>
      <c r="L19" s="2424">
        <f>IF(C1="",'数据-汇总表'!D3,SUMIF(项目类型,C1,'数据-汇总表'!D17:D26)+SUMIF(项目类型,C1,'数据-汇总表'!H17:H27))</f>
        <v>0</v>
      </c>
      <c r="M19" s="2424">
        <f>IF(C1="",'数据-汇总表'!D3,SUMIF(项目类型,C1,'数据-汇总表'!D17:D26))</f>
        <v>0</v>
      </c>
    </row>
    <row r="20" spans="1:13" ht="18">
      <c r="A20" s="2433"/>
      <c r="B20" s="1246" t="s">
        <v>2152</v>
      </c>
      <c r="C20" s="145" t="e">
        <f ca="1">SUMIF(INDIRECT("'"&amp;C4&amp;"'"&amp;"!A:A"),'结果表-仓储'!B20,INDIRECT("'"&amp;C4&amp;"'"&amp;"!B:B"))</f>
        <v>#DIV/0!</v>
      </c>
      <c r="D20" s="146">
        <f ca="1">SUMIF(INDIRECT("'"&amp;D4&amp;"'"&amp;"!A:A"),'结果表-仓储'!B20,INDIRECT("'"&amp;D4&amp;"'"&amp;"!B:B"))</f>
        <v>0</v>
      </c>
      <c r="E20" s="2433"/>
      <c r="F20" s="1246" t="s">
        <v>2152</v>
      </c>
      <c r="G20" s="147" t="e">
        <f ca="1">ROUND(C20*$C$18+D20*$D$18,0)</f>
        <v>#DIV/0!</v>
      </c>
      <c r="H20" s="980" t="s">
        <v>2153</v>
      </c>
    </row>
    <row r="21" spans="1:13" ht="15" customHeight="1" thickBot="1">
      <c r="A21" s="1000"/>
      <c r="B21" s="2434" t="s">
        <v>2154</v>
      </c>
      <c r="C21" s="786" t="e">
        <f ca="1">ROUND(C19*10000/L19,0)</f>
        <v>#DIV/0!</v>
      </c>
      <c r="D21" s="787" t="e">
        <f ca="1">ROUND(D19*10000/L19,0)</f>
        <v>#N/A</v>
      </c>
      <c r="E21" s="1000"/>
      <c r="F21" s="2434" t="s">
        <v>2154</v>
      </c>
      <c r="G21" s="148" t="e">
        <f ca="1">ROUND(G19*10000/L19,0)</f>
        <v>#DIV/0!</v>
      </c>
      <c r="H21" s="2435" t="s">
        <v>2153</v>
      </c>
    </row>
    <row r="22" spans="1:13" ht="18.75" thickBot="1">
      <c r="A22" s="2276" t="s">
        <v>2155</v>
      </c>
      <c r="B22" s="2436"/>
      <c r="C22" s="2437"/>
      <c r="D22" s="788" t="e">
        <f ca="1">IF(C19&lt;D19,D19/C19-1,C19/D19-1)</f>
        <v>#DIV/0!</v>
      </c>
    </row>
    <row r="23" spans="1:13" ht="18.75" thickBot="1"/>
    <row r="24" spans="1:13" ht="18">
      <c r="A24" s="3347" t="s">
        <v>2156</v>
      </c>
      <c r="B24" s="2431" t="s">
        <v>2148</v>
      </c>
      <c r="C24" s="144">
        <f>IF(B30=0,0,D30)</f>
        <v>0</v>
      </c>
      <c r="D24" s="2438"/>
    </row>
    <row r="25" spans="1:13" ht="18">
      <c r="A25" s="3348"/>
      <c r="B25" s="1246" t="s">
        <v>2152</v>
      </c>
      <c r="C25" s="149">
        <f>IF(B30=0,0,C30)</f>
        <v>0</v>
      </c>
      <c r="D25" s="2439"/>
    </row>
    <row r="26" spans="1:13" ht="13.5" customHeight="1">
      <c r="A26" s="2440" t="s">
        <v>2157</v>
      </c>
      <c r="B26" s="150" t="s">
        <v>2158</v>
      </c>
      <c r="C26" s="150" t="s">
        <v>2159</v>
      </c>
      <c r="D26" s="151" t="s">
        <v>2160</v>
      </c>
    </row>
    <row r="27" spans="1:13" ht="18">
      <c r="A27" s="2440"/>
      <c r="B27" s="150">
        <v>0</v>
      </c>
      <c r="C27" s="150">
        <v>0</v>
      </c>
      <c r="D27" s="151">
        <f>ROUND(C27*B27/10000,0)</f>
        <v>0</v>
      </c>
    </row>
    <row r="28" spans="1:13" ht="18">
      <c r="A28" s="2440"/>
      <c r="B28" s="150"/>
      <c r="C28" s="150"/>
      <c r="D28" s="151"/>
    </row>
    <row r="29" spans="1:13" ht="18">
      <c r="A29" s="2440"/>
      <c r="B29" s="150"/>
      <c r="C29" s="150"/>
      <c r="D29" s="151"/>
    </row>
    <row r="30" spans="1:13" ht="18">
      <c r="A30" s="150" t="s">
        <v>2161</v>
      </c>
      <c r="B30" s="150"/>
      <c r="C30" s="150"/>
      <c r="D30" s="150"/>
      <c r="E30" s="2221" t="s">
        <v>3035</v>
      </c>
    </row>
    <row r="31" spans="1:13" ht="18.75" thickBot="1"/>
    <row r="32" spans="1:13" ht="18.75" thickBot="1">
      <c r="A32" s="2443" t="s">
        <v>2162</v>
      </c>
      <c r="B32" s="2444"/>
      <c r="C32" s="152" t="e">
        <f ca="1">IF(D32="总价",G19-C24,G20-C25)</f>
        <v>#DIV/0!</v>
      </c>
      <c r="D32" s="2445" t="s">
        <v>2163</v>
      </c>
    </row>
    <row r="33" spans="1:15" ht="18">
      <c r="A33" s="957" t="s">
        <v>2164</v>
      </c>
      <c r="B33" s="2446"/>
      <c r="C33" s="2447" t="s">
        <v>3204</v>
      </c>
      <c r="D33" s="2448" t="s">
        <v>3201</v>
      </c>
      <c r="E33" s="2449" t="s">
        <v>2165</v>
      </c>
      <c r="F33" s="2977" t="str">
        <f>IF(D32="楼面单价","取值（单价）","取值（总价）")</f>
        <v>取值（总价）</v>
      </c>
    </row>
    <row r="34" spans="1:15" ht="18">
      <c r="A34" s="2451"/>
      <c r="B34" s="2452" t="s">
        <v>2166</v>
      </c>
      <c r="C34" s="156" t="e">
        <f ca="1">IF(C33="自定义",F34,C32-C35)</f>
        <v>#DIV/0!</v>
      </c>
      <c r="D34" s="1055" t="e">
        <f ca="1">IF(C33="自定义",ROUND(C34/C32,3),IF(C33="收益比率",SUMIF(INDIRECT("'"&amp;D33&amp;"'"&amp;"!b:b"),"土地收益比率",INDIRECT("'"&amp;D33&amp;"'"&amp;"!c:c")),SUMIF(INDIRECT("'"&amp;D33&amp;"'"&amp;"!b:b"),"土地成本比率",INDIRECT("'"&amp;D33&amp;"'"&amp;"!c:c"))))</f>
        <v>#N/A</v>
      </c>
      <c r="E34" s="2453" t="s">
        <v>2167</v>
      </c>
      <c r="F34" s="1735"/>
    </row>
    <row r="35" spans="1:15" ht="18.75" thickBot="1">
      <c r="A35" s="2454"/>
      <c r="B35" s="2455" t="s">
        <v>2168</v>
      </c>
      <c r="C35" s="1440" t="e">
        <f ca="1">IF(C33="自定义",F35,ROUND(C32*D35,0))</f>
        <v>#DIV/0!</v>
      </c>
      <c r="D35" s="1441" t="e">
        <f ca="1">IF(C33="自定义",ROUND(C35/C32,3),IF(C33="收益比率",SUMIF(INDIRECT("'"&amp;D33&amp;"'"&amp;"!b:b"),"建筑物收益比率",INDIRECT("'"&amp;D33&amp;"'"&amp;"!c:c")),SUMIF(INDIRECT("'"&amp;D33&amp;"'"&amp;"!b:b"),"建筑物成本比率",INDIRECT("'"&amp;D33&amp;"'"&amp;"!c:c"))))</f>
        <v>#N/A</v>
      </c>
      <c r="E35" s="2456" t="s">
        <v>2169</v>
      </c>
      <c r="F35" s="162"/>
    </row>
    <row r="36" spans="1:15" ht="18.75" thickBot="1">
      <c r="A36" s="3365" t="s">
        <v>2170</v>
      </c>
      <c r="B36" s="2457" t="s">
        <v>2171</v>
      </c>
      <c r="C36" s="153"/>
      <c r="D36" s="2458"/>
      <c r="E36" s="2459"/>
    </row>
    <row r="37" spans="1:15" ht="18.75" thickBot="1">
      <c r="A37" s="3366"/>
      <c r="B37" s="2262" t="s">
        <v>2172</v>
      </c>
      <c r="C37" s="155"/>
    </row>
    <row r="38" spans="1:15" ht="18.75" thickBot="1">
      <c r="A38" s="3367"/>
      <c r="B38" s="2461" t="s">
        <v>2173</v>
      </c>
      <c r="C38" s="724"/>
      <c r="D38" s="2462" t="s">
        <v>2174</v>
      </c>
    </row>
    <row r="39" spans="1:15" ht="18">
      <c r="A39" s="2433" t="s">
        <v>2175</v>
      </c>
      <c r="B39" s="2463" t="s">
        <v>2158</v>
      </c>
      <c r="C39" s="2464" t="s">
        <v>2159</v>
      </c>
      <c r="D39" s="2464" t="s">
        <v>2178</v>
      </c>
      <c r="E39" s="2465" t="s">
        <v>2160</v>
      </c>
    </row>
    <row r="40" spans="1:15" ht="18">
      <c r="A40" s="2466" t="s">
        <v>2180</v>
      </c>
      <c r="B40" s="157"/>
      <c r="C40" s="158"/>
      <c r="D40" s="158"/>
      <c r="E40" s="159"/>
    </row>
    <row r="41" spans="1:15" ht="18">
      <c r="A41" s="2466" t="s">
        <v>2181</v>
      </c>
      <c r="B41" s="157"/>
      <c r="C41" s="158"/>
      <c r="D41" s="158"/>
      <c r="E41" s="159"/>
    </row>
    <row r="42" spans="1:15" ht="18.75" thickBot="1">
      <c r="A42" s="2467"/>
      <c r="B42" s="160"/>
      <c r="C42" s="161"/>
      <c r="D42" s="161"/>
      <c r="E42" s="162"/>
    </row>
    <row r="43" spans="1:15" ht="18"/>
    <row r="44" spans="1:15" ht="18.75">
      <c r="A44" s="2221" t="s">
        <v>2182</v>
      </c>
      <c r="J44" s="2221" t="s">
        <v>2183</v>
      </c>
    </row>
    <row r="45" spans="1:15" ht="14.25" customHeight="1" thickBot="1">
      <c r="A45" s="3344" t="s">
        <v>2184</v>
      </c>
      <c r="B45" s="3345"/>
      <c r="C45" s="3346"/>
      <c r="D45" s="163" t="e">
        <f ca="1">ROUND(H101*F45,0)</f>
        <v>#DIV/0!</v>
      </c>
      <c r="E45" s="164" t="s">
        <v>2185</v>
      </c>
      <c r="F45" s="165">
        <v>1</v>
      </c>
      <c r="G45" s="166" t="s">
        <v>2186</v>
      </c>
      <c r="J45" s="3404" t="s">
        <v>2187</v>
      </c>
      <c r="K45" s="3404"/>
      <c r="L45" s="3404"/>
      <c r="M45" s="3404"/>
      <c r="N45" s="3404"/>
      <c r="O45" s="3404"/>
    </row>
    <row r="46" spans="1:15" ht="14.25" customHeight="1">
      <c r="A46" s="3341" t="s">
        <v>2188</v>
      </c>
      <c r="B46" s="3342"/>
      <c r="C46" s="3342"/>
      <c r="D46" s="3342"/>
      <c r="E46" s="3342"/>
      <c r="F46" s="3342"/>
      <c r="G46" s="3343"/>
      <c r="J46" s="2987">
        <v>1</v>
      </c>
      <c r="K46" s="3404" t="s">
        <v>2189</v>
      </c>
      <c r="L46" s="3404"/>
      <c r="M46" s="3424"/>
      <c r="N46" s="3424"/>
      <c r="O46" s="3424"/>
    </row>
    <row r="47" spans="1:15" ht="12" customHeight="1">
      <c r="A47" s="168" t="s">
        <v>2190</v>
      </c>
      <c r="B47" s="169"/>
      <c r="C47" s="170"/>
      <c r="D47" s="171" t="s">
        <v>2191</v>
      </c>
      <c r="E47" s="23" t="s">
        <v>2192</v>
      </c>
      <c r="F47" s="172" t="s">
        <v>2193</v>
      </c>
      <c r="G47" s="173" t="s">
        <v>2194</v>
      </c>
      <c r="J47" s="2987">
        <v>2</v>
      </c>
      <c r="K47" s="3404" t="s">
        <v>2195</v>
      </c>
      <c r="L47" s="3404"/>
      <c r="M47" s="3425">
        <f>'数据-取费表'!B2</f>
        <v>43553</v>
      </c>
      <c r="N47" s="3425"/>
      <c r="O47" s="3425"/>
    </row>
    <row r="48" spans="1:15" ht="25.5">
      <c r="A48" s="3372" t="s">
        <v>2196</v>
      </c>
      <c r="B48" s="3355"/>
      <c r="C48" s="3355"/>
      <c r="D48" s="139">
        <f>IF(H48="情况1",0,IF(H48="情况2",D52,IF(H48="情况3",D53,IF(H48="情况4",D54))))</f>
        <v>0</v>
      </c>
      <c r="E48" s="2981" t="str">
        <f>IF(H48="情况4","(销售额-原购置价)×税（费）率","销售额×税（费）率")</f>
        <v>销售额×税（费）率</v>
      </c>
      <c r="F48" s="174" t="str">
        <f>IF(H48="情况1","免征",'数据-取费表'!B41)</f>
        <v>免征</v>
      </c>
      <c r="G48" s="2477" t="s">
        <v>2197</v>
      </c>
      <c r="H48" s="2478" t="s">
        <v>2198</v>
      </c>
      <c r="J48" s="2987">
        <v>3</v>
      </c>
      <c r="K48" s="3404" t="s">
        <v>2199</v>
      </c>
      <c r="L48" s="3404"/>
      <c r="M48" s="3426" t="e">
        <f ca="1">H101</f>
        <v>#DIV/0!</v>
      </c>
      <c r="N48" s="3426"/>
      <c r="O48" s="3426"/>
    </row>
    <row r="49" spans="1:16" ht="25.5" customHeight="1">
      <c r="A49" s="175" t="s">
        <v>2200</v>
      </c>
      <c r="B49" s="3340" t="s">
        <v>2201</v>
      </c>
      <c r="C49" s="3340"/>
      <c r="D49" s="176">
        <v>0</v>
      </c>
      <c r="E49" s="22" t="s">
        <v>2202</v>
      </c>
      <c r="F49" s="27" t="s">
        <v>34</v>
      </c>
      <c r="G49" s="3410"/>
      <c r="J49" s="2987">
        <v>4</v>
      </c>
      <c r="K49" s="3404" t="str">
        <f>IF(项目基本情况!E8="房地产抵押价值","房地产抵押价值","抵押担保权已注销时的房地产抵押价值")</f>
        <v>抵押担保权已注销时的房地产抵押价值</v>
      </c>
      <c r="L49" s="3404"/>
      <c r="M49" s="3426" t="e">
        <f ca="1">IF(项目基本情况!E8="房地产抵押价值",H107,H109)</f>
        <v>#DIV/0!</v>
      </c>
      <c r="N49" s="3426"/>
      <c r="O49" s="3426"/>
    </row>
    <row r="50" spans="1:16" ht="25.5" customHeight="1">
      <c r="A50" s="177"/>
      <c r="B50" s="3340" t="s">
        <v>2203</v>
      </c>
      <c r="C50" s="3340"/>
      <c r="D50" s="178"/>
      <c r="E50" s="30"/>
      <c r="F50" s="179"/>
      <c r="G50" s="3411"/>
      <c r="J50" s="3404" t="s">
        <v>2204</v>
      </c>
      <c r="K50" s="3404"/>
      <c r="L50" s="3404"/>
      <c r="M50" s="3404"/>
      <c r="N50" s="3404"/>
      <c r="O50" s="3404"/>
    </row>
    <row r="51" spans="1:16" ht="12" customHeight="1">
      <c r="A51" s="180"/>
      <c r="B51" s="3340" t="s">
        <v>2205</v>
      </c>
      <c r="C51" s="3340"/>
      <c r="D51" s="181"/>
      <c r="E51" s="29"/>
      <c r="F51" s="179"/>
      <c r="G51" s="3412"/>
      <c r="J51" s="2986" t="s">
        <v>2206</v>
      </c>
      <c r="K51" s="3404" t="s">
        <v>2207</v>
      </c>
      <c r="L51" s="3404"/>
      <c r="M51" s="2986" t="s">
        <v>2208</v>
      </c>
      <c r="N51" s="2986" t="s">
        <v>2209</v>
      </c>
      <c r="O51" s="2986" t="s">
        <v>2210</v>
      </c>
    </row>
    <row r="52" spans="1:16" ht="24" customHeight="1">
      <c r="A52" s="182" t="s">
        <v>2211</v>
      </c>
      <c r="B52" s="3340" t="s">
        <v>2212</v>
      </c>
      <c r="C52" s="3340"/>
      <c r="D52" s="181" t="e">
        <f ca="1">ROUND(D45*'数据-取费表'!B41/(1+'数据-取费表'!C42),0)</f>
        <v>#DIV/0!</v>
      </c>
      <c r="E52" s="11" t="s">
        <v>2213</v>
      </c>
      <c r="F52" s="183">
        <f>'数据-取费表'!B41</f>
        <v>5.5000000000000007E-2</v>
      </c>
      <c r="G52" s="2481"/>
      <c r="J52" s="2987">
        <v>1</v>
      </c>
      <c r="K52" s="3405" t="s">
        <v>2214</v>
      </c>
      <c r="L52" s="3405"/>
      <c r="M52" s="1750">
        <f>D48</f>
        <v>0</v>
      </c>
      <c r="N52" s="2987" t="str">
        <f>E48</f>
        <v>销售额×税（费）率</v>
      </c>
      <c r="O52" s="1751" t="str">
        <f>F48</f>
        <v>免征</v>
      </c>
    </row>
    <row r="53" spans="1:16" ht="12" customHeight="1">
      <c r="A53" s="182" t="s">
        <v>2215</v>
      </c>
      <c r="B53" s="3363" t="s">
        <v>2216</v>
      </c>
      <c r="C53" s="3364"/>
      <c r="D53" s="181" t="e">
        <f ca="1">ROUND(D45*'数据-取费表'!B41/(1+'数据-取费表'!C42),0)</f>
        <v>#DIV/0!</v>
      </c>
      <c r="E53" s="11" t="s">
        <v>2213</v>
      </c>
      <c r="F53" s="183">
        <f>'数据-取费表'!B41</f>
        <v>5.5000000000000007E-2</v>
      </c>
      <c r="G53" s="2481"/>
      <c r="J53" s="2987">
        <v>2</v>
      </c>
      <c r="K53" s="3405" t="s">
        <v>2217</v>
      </c>
      <c r="L53" s="3405"/>
      <c r="M53" s="1750" t="e">
        <f t="shared" ref="M53:O54" ca="1" si="0">D55</f>
        <v>#DIV/0!</v>
      </c>
      <c r="N53" s="2987" t="str">
        <f t="shared" si="0"/>
        <v>销售额×税（费）率</v>
      </c>
      <c r="O53" s="1751">
        <f t="shared" si="0"/>
        <v>5.0000000000000001E-4</v>
      </c>
    </row>
    <row r="54" spans="1:16" ht="12" customHeight="1">
      <c r="A54" s="182" t="s">
        <v>2218</v>
      </c>
      <c r="B54" s="3363" t="s">
        <v>2219</v>
      </c>
      <c r="C54" s="3364"/>
      <c r="D54" s="181" t="e">
        <f ca="1">C68</f>
        <v>#DIV/0!</v>
      </c>
      <c r="E54" s="29" t="s">
        <v>2220</v>
      </c>
      <c r="F54" s="183">
        <f>'数据-取费表'!B41</f>
        <v>5.5000000000000007E-2</v>
      </c>
      <c r="G54" s="2481"/>
      <c r="J54" s="2987">
        <v>3</v>
      </c>
      <c r="K54" s="3405" t="s">
        <v>2221</v>
      </c>
      <c r="L54" s="3405"/>
      <c r="M54" s="1750" t="e">
        <f t="shared" ca="1" si="0"/>
        <v>#DIV/0!</v>
      </c>
      <c r="N54" s="2987" t="str">
        <f t="shared" si="0"/>
        <v>增值额×税（费）率</v>
      </c>
      <c r="O54" s="1752" t="str">
        <f t="shared" si="0"/>
        <v>——</v>
      </c>
    </row>
    <row r="55" spans="1:16" ht="24" customHeight="1">
      <c r="A55" s="3354" t="s">
        <v>2222</v>
      </c>
      <c r="B55" s="3355"/>
      <c r="C55" s="3355"/>
      <c r="D55" s="184" t="e">
        <f ca="1">IF(H55="个人住宅",0,ROUND(D45*I55,0))</f>
        <v>#DIV/0!</v>
      </c>
      <c r="E55" s="11" t="s">
        <v>2223</v>
      </c>
      <c r="F55" s="183">
        <f>IF(H55="正常",I55,"免征")</f>
        <v>5.0000000000000001E-4</v>
      </c>
      <c r="G55" s="2481"/>
      <c r="H55" s="2478" t="s">
        <v>2224</v>
      </c>
      <c r="I55" s="185">
        <f>'数据-取费表'!B49</f>
        <v>5.0000000000000001E-4</v>
      </c>
      <c r="J55" s="2987" t="str">
        <f>IF(H59="非个人房产","",4)</f>
        <v/>
      </c>
      <c r="K55" s="3405" t="str">
        <f>IF(H59="非个人房产","——","个人所得税")</f>
        <v>——</v>
      </c>
      <c r="L55" s="3405"/>
      <c r="M55" s="1753" t="str">
        <f>D59</f>
        <v>——</v>
      </c>
      <c r="N55" s="2988" t="str">
        <f>E59</f>
        <v>——</v>
      </c>
      <c r="O55" s="1754" t="str">
        <f>F59</f>
        <v>——</v>
      </c>
    </row>
    <row r="56" spans="1:16" ht="24.75">
      <c r="A56" s="3354" t="s">
        <v>2225</v>
      </c>
      <c r="B56" s="3355"/>
      <c r="C56" s="3355"/>
      <c r="D56" s="184" t="e">
        <f ca="1">IF(H56="个人住宅",D57,D58)</f>
        <v>#DIV/0!</v>
      </c>
      <c r="E56" s="11" t="s">
        <v>2226</v>
      </c>
      <c r="F56" s="183" t="str">
        <f>IF(H56="正常",F58,"免征")</f>
        <v>——</v>
      </c>
      <c r="G56" s="2483" t="s">
        <v>2227</v>
      </c>
      <c r="H56" s="2484" t="s">
        <v>2224</v>
      </c>
      <c r="J56" s="2987" t="str">
        <f>IF(项目基本情况!K6="上海银行",IF(J55="",4,J55+1),"")</f>
        <v/>
      </c>
      <c r="K56" s="3428" t="str">
        <f>IF(项目基本情况!K6="上海银行","其他处置费用","")</f>
        <v/>
      </c>
      <c r="L56" s="3429"/>
      <c r="M56" s="1750" t="str">
        <f>IF(项目基本情况!K6="上海银行",M69,"")</f>
        <v/>
      </c>
      <c r="N56" s="3431" t="str">
        <f>IF(项目基本情况!K6="上海银行","包含处置中涉及的律师、诉讼、拍卖、评估等费用","")</f>
        <v/>
      </c>
      <c r="O56" s="3432"/>
    </row>
    <row r="57" spans="1:16" ht="18">
      <c r="A57" s="182" t="s">
        <v>2200</v>
      </c>
      <c r="B57" s="3370" t="s">
        <v>2228</v>
      </c>
      <c r="C57" s="3379"/>
      <c r="D57" s="186">
        <v>0</v>
      </c>
      <c r="E57" s="22" t="s">
        <v>2202</v>
      </c>
      <c r="F57" s="154"/>
      <c r="G57" s="2481"/>
      <c r="J57" s="3405">
        <f>IF(AND(J55="",J56=""),4,IF(项目基本情况!K6="上海银行",'结果表-仓储'!J56+1,'结果表-仓储'!J55+1))</f>
        <v>4</v>
      </c>
      <c r="K57" s="3405" t="s">
        <v>2229</v>
      </c>
      <c r="L57" s="2486" t="s">
        <v>2230</v>
      </c>
      <c r="M57" s="1755"/>
      <c r="N57" s="1756">
        <f ca="1">SUMIF(M52:M56,"&lt;9e307")</f>
        <v>0</v>
      </c>
      <c r="O57" s="2487"/>
      <c r="P57" s="2221" t="e">
        <f ca="1">N57/M49</f>
        <v>#DIV/0!</v>
      </c>
    </row>
    <row r="58" spans="1:16" ht="24.75">
      <c r="A58" s="182" t="s">
        <v>2211</v>
      </c>
      <c r="B58" s="3370" t="s">
        <v>2231</v>
      </c>
      <c r="C58" s="3371"/>
      <c r="D58" s="184" t="e">
        <f ca="1">IF(H58="转让取得",C81,C97)</f>
        <v>#DIV/0!</v>
      </c>
      <c r="E58" s="11" t="s">
        <v>2226</v>
      </c>
      <c r="F58" s="23" t="s">
        <v>34</v>
      </c>
      <c r="G58" s="2481"/>
      <c r="H58" s="2484" t="s">
        <v>2232</v>
      </c>
      <c r="J58" s="3405"/>
      <c r="K58" s="3405"/>
      <c r="L58" s="2486" t="s">
        <v>2233</v>
      </c>
      <c r="M58" s="1757"/>
      <c r="N58" s="2488" t="str">
        <f ca="1">NUMBERSTRING(INT(N57*10000),2)&amp;"元整"</f>
        <v>零元整</v>
      </c>
      <c r="O58" s="2489"/>
    </row>
    <row r="59" spans="1:16" ht="24.75" thickBot="1">
      <c r="A59" s="3408" t="s">
        <v>2234</v>
      </c>
      <c r="B59" s="3409"/>
      <c r="C59" s="3409"/>
      <c r="D59" s="187" t="str">
        <f>IF(H59="非个人房产","——",IF(H59="个人住宅",0,ROUND(D45*I59,0)))</f>
        <v>——</v>
      </c>
      <c r="E59" s="188" t="str">
        <f>IF(H59="非个人房产","——","销售额×税（费）率")</f>
        <v>——</v>
      </c>
      <c r="F59" s="189" t="str">
        <f>IF(H59="非个人房产","——",IF(H59="个人住宅","免征",I59))</f>
        <v>——</v>
      </c>
      <c r="G59" s="2490" t="s">
        <v>2227</v>
      </c>
      <c r="H59" s="2484" t="s">
        <v>2235</v>
      </c>
      <c r="I59" s="190">
        <v>0.01</v>
      </c>
      <c r="J59" s="3406">
        <f>J57+1</f>
        <v>5</v>
      </c>
      <c r="K59" s="3405" t="s">
        <v>2236</v>
      </c>
      <c r="L59" s="2987" t="s">
        <v>2230</v>
      </c>
      <c r="M59" s="1758"/>
      <c r="N59" s="2221" t="e">
        <f ca="1">M49-N57</f>
        <v>#DIV/0!</v>
      </c>
      <c r="O59" s="2491"/>
    </row>
    <row r="60" spans="1:16" ht="12" customHeight="1">
      <c r="J60" s="3407"/>
      <c r="K60" s="3405"/>
      <c r="L60" s="2486" t="s">
        <v>2233</v>
      </c>
      <c r="M60" s="1757"/>
      <c r="N60" s="2488" t="e">
        <f ca="1">NUMBERSTRING(INT(N59*10000),2)&amp;"元整"</f>
        <v>#DIV/0!</v>
      </c>
      <c r="O60" s="2489"/>
    </row>
    <row r="61" spans="1:16" ht="18.75" thickBot="1">
      <c r="A61" s="3352" t="s">
        <v>2237</v>
      </c>
      <c r="B61" s="3352"/>
      <c r="C61" s="3352"/>
      <c r="D61" s="3352"/>
      <c r="E61" s="3352"/>
      <c r="J61" s="2987">
        <f>J59+1</f>
        <v>6</v>
      </c>
      <c r="K61" s="3405" t="s">
        <v>2238</v>
      </c>
      <c r="L61" s="3405"/>
      <c r="M61" s="1760"/>
      <c r="N61" s="1761" t="e">
        <f ca="1">ROUND(N59*10000/'数据-汇总表'!E3,0)</f>
        <v>#DIV/0!</v>
      </c>
      <c r="O61" s="2494"/>
    </row>
    <row r="62" spans="1:16" ht="18">
      <c r="A62" s="3368" t="s">
        <v>2239</v>
      </c>
      <c r="B62" s="3369"/>
      <c r="C62" s="2984"/>
      <c r="D62" s="2984" t="s">
        <v>2240</v>
      </c>
      <c r="E62" s="191" t="s">
        <v>2241</v>
      </c>
    </row>
    <row r="63" spans="1:16" ht="18">
      <c r="A63" s="202" t="s">
        <v>775</v>
      </c>
      <c r="B63" s="192" t="s">
        <v>2242</v>
      </c>
      <c r="C63" s="193" t="e">
        <f ca="1">ROUND((C64+C65)/(1+'数据-取费表'!C42),0)</f>
        <v>#DIV/0!</v>
      </c>
      <c r="D63" s="194"/>
      <c r="E63" s="195"/>
      <c r="J63" s="3430" t="s">
        <v>2243</v>
      </c>
      <c r="K63" s="2989" t="s">
        <v>2244</v>
      </c>
      <c r="L63" s="1748" t="e">
        <f ca="1">IF(M49&gt;10000,M49*0.5%,IF(AND(M49&gt;1000,M49&lt;=10000),M49*1%,IF(AND(M49&gt;100,M49&lt;=1000),M49*3%,IF(AND(M49&gt;10,M49&lt;=100),M49*5%,M49*8%))))</f>
        <v>#DIV/0!</v>
      </c>
      <c r="M63" s="23" t="e">
        <f ca="1">ROUND(L63,1)</f>
        <v>#DIV/0!</v>
      </c>
    </row>
    <row r="64" spans="1:16" ht="14.25" customHeight="1">
      <c r="A64" s="196" t="s">
        <v>770</v>
      </c>
      <c r="B64" s="197" t="s">
        <v>2245</v>
      </c>
      <c r="C64" s="198" t="e">
        <f ca="1">D45</f>
        <v>#DIV/0!</v>
      </c>
      <c r="D64" s="199" t="s">
        <v>32</v>
      </c>
      <c r="E64" s="200"/>
      <c r="J64" s="3430"/>
      <c r="K64" s="2989" t="s">
        <v>2246</v>
      </c>
      <c r="L64" s="1748" t="e">
        <f ca="1">IF(M49&gt;2000,M49*0.5%,IF(AND(M49&gt;1000,M49&lt;=2000),M49*0.6%,IF(AND(M49&gt;500,M49&lt;=1000),M49*0.7%,IF(AND(M49&gt;200,M49&lt;=500),M49*0.8%,IF(AND(M49&gt;100,M49&lt;=200),M49*0.9%,IF(AND(M49&gt;50,M49&lt;=100),M49*1%,IF(AND(M49&gt;20,M49&lt;=50),M49*1.5%,IF(AND(M49&gt;10,M49&lt;=20),M49*2%,IF(AND(M49&gt;1,M49&lt;=10),M49*2.5%)))))))))</f>
        <v>#DIV/0!</v>
      </c>
      <c r="M64" s="23" t="e">
        <f t="shared" ref="M64:M65" ca="1" si="1">ROUND(L64,1)</f>
        <v>#DIV/0!</v>
      </c>
      <c r="N64" s="2221" t="s">
        <v>2247</v>
      </c>
    </row>
    <row r="65" spans="1:14" ht="14.25" customHeight="1">
      <c r="A65" s="196" t="s">
        <v>771</v>
      </c>
      <c r="B65" s="197" t="s">
        <v>2248</v>
      </c>
      <c r="C65" s="201"/>
      <c r="D65" s="199"/>
      <c r="E65" s="200"/>
      <c r="J65" s="3430"/>
      <c r="K65" s="2989" t="s">
        <v>2249</v>
      </c>
      <c r="L65" s="1748" t="e">
        <f ca="1">IF(M49&gt;1000,M49*0.1%,IF(AND(M49&gt;500,M49&lt;=1000),M49*0.5%,IF(AND(M49&gt;50,M49&lt;=500),M49*1%,IF(AND(M49&gt;1,M49&lt;=50),M49*1.5%))))</f>
        <v>#DIV/0!</v>
      </c>
      <c r="M65" s="23" t="e">
        <f t="shared" ca="1" si="1"/>
        <v>#DIV/0!</v>
      </c>
      <c r="N65" s="2221" t="s">
        <v>2247</v>
      </c>
    </row>
    <row r="66" spans="1:14" ht="14.25" customHeight="1">
      <c r="A66" s="202" t="s">
        <v>772</v>
      </c>
      <c r="B66" s="203" t="s">
        <v>2250</v>
      </c>
      <c r="C66" s="204"/>
      <c r="D66" s="205" t="s">
        <v>32</v>
      </c>
      <c r="E66" s="1772" t="s">
        <v>1367</v>
      </c>
      <c r="J66" s="3430"/>
      <c r="K66" s="2989" t="s">
        <v>2251</v>
      </c>
      <c r="L66" s="1748" t="e">
        <f ca="1">M49*0.5%</f>
        <v>#DIV/0!</v>
      </c>
      <c r="M66" s="23" t="e">
        <f ca="1">IF(L66&gt;0.5,0.5,ROUND(L66,0))</f>
        <v>#DIV/0!</v>
      </c>
      <c r="N66" s="2221" t="s">
        <v>2252</v>
      </c>
    </row>
    <row r="67" spans="1:14" ht="14.25" customHeight="1">
      <c r="A67" s="202" t="s">
        <v>773</v>
      </c>
      <c r="B67" s="203" t="s">
        <v>2253</v>
      </c>
      <c r="C67" s="206" t="e">
        <f ca="1">C63-C66</f>
        <v>#DIV/0!</v>
      </c>
      <c r="D67" s="199" t="s">
        <v>32</v>
      </c>
      <c r="E67" s="200"/>
      <c r="J67" s="3430"/>
      <c r="K67" s="2989" t="s">
        <v>2254</v>
      </c>
      <c r="L67" s="1748" t="e">
        <f ca="1">IF(M49&gt;=10000,(8.25+(M49-10000)*0.01%),IF(AND(M49&gt;=8000,M49&lt;10000),(7.85+(M49-8000)*0.02%),IF(AND(M49&gt;=5000,M49&lt;8000),(6.65+(M49-5000)*0.04%),IF(AND(M49&gt;=2000,M49&lt;5000),(4.25+(PM49-2000)*0.08%),IF(AND(M49&gt;=1000,M49&lt;2000),(2.75+(M49-1000)*0.15%),IF(AND(M49&gt;=100,M49&lt;1000),(0.5+(M49-100)*0.25%),IF(AND(M49&gt;0,M49&lt;100),M49*0.5%)))))))</f>
        <v>#DIV/0!</v>
      </c>
      <c r="M67" s="23" t="e">
        <f ca="1">ROUND(L67*0.9,1)</f>
        <v>#DIV/0!</v>
      </c>
    </row>
    <row r="68" spans="1:14" ht="14.25" customHeight="1" thickBot="1">
      <c r="A68" s="207" t="s">
        <v>774</v>
      </c>
      <c r="B68" s="208" t="s">
        <v>2255</v>
      </c>
      <c r="C68" s="209" t="e">
        <f ca="1">IF(C67&lt;=0,0,ROUND(C67*D68,0))</f>
        <v>#DIV/0!</v>
      </c>
      <c r="D68" s="210">
        <f>'数据-取费表'!B41</f>
        <v>5.5000000000000007E-2</v>
      </c>
      <c r="E68" s="211"/>
      <c r="J68" s="3430"/>
      <c r="K68" s="2989" t="s">
        <v>2256</v>
      </c>
      <c r="L68" s="1748" t="e">
        <f ca="1">IF(M49&gt;10000,M49*0.5%,IF(AND(M49&gt;5000,M49&lt;=10000),M49*1%,IF(AND(M49&gt;1000,M49&lt;=5000),M49*2%,IF(AND(M49&gt;200,M49&lt;=1000),M49*3%,M49*5%))))</f>
        <v>#DIV/0!</v>
      </c>
      <c r="M68" s="23" t="e">
        <f ca="1">ROUND(L68,1)</f>
        <v>#DIV/0!</v>
      </c>
    </row>
    <row r="69" spans="1:14" ht="16.5" customHeight="1">
      <c r="A69" s="2496"/>
      <c r="J69" s="3430"/>
      <c r="K69" s="2989" t="s">
        <v>2257</v>
      </c>
      <c r="L69" s="2501"/>
      <c r="M69" s="23" t="e">
        <f ca="1">ROUND(SUM(M63:M68),0)</f>
        <v>#DIV/0!</v>
      </c>
      <c r="N69" s="2221" t="e">
        <f ca="1">M69/M49</f>
        <v>#DIV/0!</v>
      </c>
    </row>
    <row r="70" spans="1:14" ht="18.75" thickBot="1">
      <c r="A70" s="3389" t="s">
        <v>2258</v>
      </c>
      <c r="B70" s="3529"/>
      <c r="C70" s="3529"/>
      <c r="D70" s="3529"/>
      <c r="E70" s="3529"/>
      <c r="F70" s="3529"/>
      <c r="G70" s="3529"/>
      <c r="H70" s="3529"/>
    </row>
    <row r="71" spans="1:14" ht="18">
      <c r="A71" s="3368" t="s">
        <v>2239</v>
      </c>
      <c r="B71" s="3369"/>
      <c r="C71" s="2984"/>
      <c r="D71" s="2984" t="s">
        <v>2240</v>
      </c>
      <c r="E71" s="212" t="s">
        <v>2241</v>
      </c>
      <c r="F71" s="213"/>
      <c r="G71" s="213"/>
      <c r="H71" s="3049"/>
    </row>
    <row r="72" spans="1:14" ht="18">
      <c r="A72" s="202" t="s">
        <v>775</v>
      </c>
      <c r="B72" s="203" t="s">
        <v>2259</v>
      </c>
      <c r="C72" s="206" t="e">
        <f ca="1">ROUND(D45/(1+'数据-取费表'!C42),0)</f>
        <v>#DIV/0!</v>
      </c>
      <c r="D72" s="199" t="s">
        <v>32</v>
      </c>
      <c r="E72" s="2983"/>
      <c r="F72" s="2978"/>
      <c r="G72" s="2978"/>
      <c r="H72" s="3050"/>
    </row>
    <row r="73" spans="1:14" ht="18">
      <c r="A73" s="202" t="s">
        <v>772</v>
      </c>
      <c r="B73" s="172" t="s">
        <v>2260</v>
      </c>
      <c r="C73" s="206" t="e">
        <f ca="1">C74+C78</f>
        <v>#DIV/0!</v>
      </c>
      <c r="D73" s="199" t="s">
        <v>32</v>
      </c>
      <c r="E73" s="2983"/>
      <c r="F73" s="2978"/>
      <c r="G73" s="2978"/>
      <c r="H73" s="3050"/>
    </row>
    <row r="74" spans="1:14" ht="24">
      <c r="A74" s="216" t="s">
        <v>770</v>
      </c>
      <c r="B74" s="197" t="s">
        <v>2261</v>
      </c>
      <c r="C74" s="199">
        <f>ROUND(IF(G77="2016年5月1日后购买",C75/(1+'数据-取费表'!C42)+C76+C77,C75+C76+C77),0)</f>
        <v>0</v>
      </c>
      <c r="D74" s="199" t="s">
        <v>32</v>
      </c>
      <c r="E74" s="2983"/>
      <c r="F74" s="2978"/>
      <c r="G74" s="2978"/>
      <c r="H74" s="3050"/>
    </row>
    <row r="75" spans="1:14" ht="18">
      <c r="A75" s="216" t="s">
        <v>776</v>
      </c>
      <c r="B75" s="197" t="s">
        <v>2262</v>
      </c>
      <c r="C75" s="217"/>
      <c r="D75" s="199" t="s">
        <v>32</v>
      </c>
      <c r="E75" s="3051" t="s">
        <v>2263</v>
      </c>
      <c r="F75" s="3057" t="s">
        <v>2264</v>
      </c>
      <c r="G75" s="3051" t="s">
        <v>2265</v>
      </c>
      <c r="H75" s="219"/>
    </row>
    <row r="76" spans="1:14" ht="24.75" customHeight="1">
      <c r="A76" s="216" t="s">
        <v>777</v>
      </c>
      <c r="B76" s="220" t="s">
        <v>2266</v>
      </c>
      <c r="C76" s="199">
        <f>IF(F75="购房发票",ROUND(C75*H75*D76,0),0)</f>
        <v>0</v>
      </c>
      <c r="D76" s="2221">
        <v>0.05</v>
      </c>
      <c r="E76" s="3363" t="s">
        <v>2267</v>
      </c>
      <c r="F76" s="3340"/>
      <c r="G76" s="3340"/>
      <c r="H76" s="3388"/>
    </row>
    <row r="77" spans="1:14" ht="24.75" customHeight="1">
      <c r="A77" s="216" t="s">
        <v>778</v>
      </c>
      <c r="B77" s="197" t="s">
        <v>2268</v>
      </c>
      <c r="C77" s="199">
        <f>ROUND(IF(G77="个人住宅",0,IF(G77="2016年5月1日前购买",C75*D77,C75*D77/(1+'数据-取费表'!C42))),0)</f>
        <v>0</v>
      </c>
      <c r="D77" s="222">
        <f>'数据-取费表'!B48+'数据-取费表'!B49</f>
        <v>3.0499999999999999E-2</v>
      </c>
      <c r="E77" s="2990" t="s">
        <v>2269</v>
      </c>
      <c r="F77" s="223"/>
      <c r="G77" s="2509" t="s">
        <v>2270</v>
      </c>
      <c r="H77" s="2985" t="str">
        <f>IF(G77="个人买卖住房","免征印花税"," ")</f>
        <v xml:space="preserve"> </v>
      </c>
    </row>
    <row r="78" spans="1:14" ht="24.75" customHeight="1">
      <c r="A78" s="216" t="s">
        <v>771</v>
      </c>
      <c r="B78" s="197" t="s">
        <v>2271</v>
      </c>
      <c r="C78" s="224" t="e">
        <f ca="1">ROUND(D45*D78/(1+'数据-取费表'!C42),0)</f>
        <v>#DIV/0!</v>
      </c>
      <c r="D78" s="225">
        <f>'数据-取费表'!B43</f>
        <v>5.000000000000001E-3</v>
      </c>
      <c r="E78" s="3349" t="s">
        <v>2272</v>
      </c>
      <c r="F78" s="3350"/>
      <c r="G78" s="3350"/>
      <c r="H78" s="3359"/>
    </row>
    <row r="79" spans="1:14" ht="18">
      <c r="A79" s="2511" t="s">
        <v>773</v>
      </c>
      <c r="B79" s="203" t="s">
        <v>2273</v>
      </c>
      <c r="C79" s="206" t="e">
        <f ca="1">C72-C73</f>
        <v>#DIV/0!</v>
      </c>
      <c r="D79" s="199" t="s">
        <v>32</v>
      </c>
      <c r="E79" s="2983"/>
      <c r="F79" s="2978"/>
      <c r="G79" s="2978"/>
      <c r="H79" s="3050"/>
    </row>
    <row r="80" spans="1:14" ht="24">
      <c r="A80" s="2511" t="s">
        <v>780</v>
      </c>
      <c r="B80" s="203" t="s">
        <v>2274</v>
      </c>
      <c r="C80" s="226" t="e">
        <f ca="1">IF(C79&lt;=0,0,C79/C73)</f>
        <v>#DIV/0!</v>
      </c>
      <c r="D80" s="199" t="s">
        <v>32</v>
      </c>
      <c r="E80" s="2990" t="e">
        <f ca="1">IF(C80&gt;=200%,"增值额超过扣除项目金额200%",IF(C80&gt;=100%,"增值额超过扣除项目金额100%，未超过200%",IF(C80&gt;=50%,"增值额超过扣除项目金额50%，未超过100%",IF(C80&lt;50%,"增值额未超过扣除项目金额50%"))))</f>
        <v>#DIV/0!</v>
      </c>
      <c r="F80" s="2978"/>
      <c r="G80" s="2978"/>
      <c r="H80" s="3050"/>
    </row>
    <row r="81" spans="1:9" ht="24.75" thickBot="1">
      <c r="A81" s="2512" t="s">
        <v>781</v>
      </c>
      <c r="B81" s="208" t="s">
        <v>2275</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3052"/>
    </row>
    <row r="82" spans="1:9" ht="7.5" customHeight="1"/>
    <row r="83" spans="1:9" ht="18.75" thickBot="1">
      <c r="A83" s="3389" t="s">
        <v>2276</v>
      </c>
      <c r="B83" s="3529"/>
      <c r="C83" s="3529"/>
      <c r="D83" s="3529"/>
      <c r="E83" s="3529"/>
      <c r="F83" s="3529"/>
      <c r="G83" s="3529"/>
      <c r="H83" s="3529"/>
    </row>
    <row r="84" spans="1:9" ht="18">
      <c r="A84" s="3368" t="s">
        <v>2239</v>
      </c>
      <c r="B84" s="3369"/>
      <c r="C84" s="2984"/>
      <c r="D84" s="2984" t="s">
        <v>2240</v>
      </c>
      <c r="E84" s="212" t="s">
        <v>2241</v>
      </c>
      <c r="F84" s="213"/>
      <c r="G84" s="213"/>
      <c r="H84" s="3053"/>
    </row>
    <row r="85" spans="1:9" ht="18">
      <c r="A85" s="202" t="s">
        <v>775</v>
      </c>
      <c r="B85" s="203" t="s">
        <v>2259</v>
      </c>
      <c r="C85" s="206" t="e">
        <f ca="1">ROUND(D45/(1+'数据-取费表'!C42),0)</f>
        <v>#DIV/0!</v>
      </c>
      <c r="D85" s="199" t="s">
        <v>32</v>
      </c>
      <c r="E85" s="2983"/>
      <c r="F85" s="2978"/>
      <c r="G85" s="2978"/>
      <c r="H85" s="3054"/>
    </row>
    <row r="86" spans="1:9" ht="18">
      <c r="A86" s="202" t="s">
        <v>772</v>
      </c>
      <c r="B86" s="172" t="s">
        <v>2260</v>
      </c>
      <c r="C86" s="206" t="e">
        <f ca="1">IF(H88="仅含出让金",C87+C90+C91+C92+C93+C94,C87+C91+C92+C93+C94)</f>
        <v>#DIV/0!</v>
      </c>
      <c r="D86" s="234"/>
      <c r="E86" s="2983"/>
      <c r="F86" s="2978"/>
      <c r="G86" s="2978"/>
      <c r="H86" s="3054"/>
    </row>
    <row r="87" spans="1:9" ht="18">
      <c r="A87" s="216" t="s">
        <v>770</v>
      </c>
      <c r="B87" s="197" t="s">
        <v>2277</v>
      </c>
      <c r="C87" s="224">
        <f>C88+C89</f>
        <v>0</v>
      </c>
      <c r="D87" s="225"/>
      <c r="E87" s="2979"/>
      <c r="F87" s="2980"/>
      <c r="G87" s="2980"/>
      <c r="H87" s="2982"/>
    </row>
    <row r="88" spans="1:9" ht="18">
      <c r="A88" s="216" t="s">
        <v>776</v>
      </c>
      <c r="B88" s="197" t="s">
        <v>2278</v>
      </c>
      <c r="C88" s="235"/>
      <c r="D88" s="225"/>
      <c r="E88" s="236" t="s">
        <v>2279</v>
      </c>
      <c r="F88" s="2980"/>
      <c r="G88" s="2221" t="s">
        <v>2280</v>
      </c>
      <c r="H88" s="2513"/>
    </row>
    <row r="89" spans="1:9" ht="18">
      <c r="A89" s="216" t="s">
        <v>777</v>
      </c>
      <c r="B89" s="197" t="s">
        <v>2268</v>
      </c>
      <c r="C89" s="224">
        <f>ROUND(C88*D89,0)</f>
        <v>0</v>
      </c>
      <c r="D89" s="225">
        <f>'数据-取费表'!B48+'数据-取费表'!B49</f>
        <v>3.0499999999999999E-2</v>
      </c>
      <c r="E89" s="236" t="s">
        <v>2281</v>
      </c>
      <c r="F89" s="2980"/>
      <c r="G89" s="2980"/>
      <c r="H89" s="2982"/>
    </row>
    <row r="90" spans="1:9" ht="18">
      <c r="A90" s="216" t="s">
        <v>771</v>
      </c>
      <c r="B90" s="197" t="s">
        <v>2282</v>
      </c>
      <c r="C90" s="235"/>
      <c r="D90" s="225"/>
      <c r="E90" s="236" t="str">
        <f>IF(H88="-","土地取得成本中已包含该笔费用"," ")</f>
        <v xml:space="preserve"> </v>
      </c>
      <c r="F90" s="2980"/>
      <c r="G90" s="2980"/>
      <c r="H90" s="2982"/>
    </row>
    <row r="91" spans="1:9" ht="27.75" customHeight="1">
      <c r="A91" s="216" t="s">
        <v>2283</v>
      </c>
      <c r="B91" s="197" t="s">
        <v>2284</v>
      </c>
      <c r="C91" s="224">
        <f>IF(H91="——",成本法!C33,I91)</f>
        <v>0</v>
      </c>
      <c r="D91" s="225"/>
      <c r="E91" s="3349" t="s">
        <v>2285</v>
      </c>
      <c r="F91" s="3350"/>
      <c r="G91" s="3350"/>
      <c r="H91" s="2514" t="s">
        <v>2286</v>
      </c>
      <c r="I91" s="2515"/>
    </row>
    <row r="92" spans="1:9" ht="25.5" customHeight="1">
      <c r="A92" s="216" t="s">
        <v>2287</v>
      </c>
      <c r="B92" s="197" t="s">
        <v>2288</v>
      </c>
      <c r="C92" s="224">
        <f>ROUND((C87+C90+C91)*D92,0)</f>
        <v>0</v>
      </c>
      <c r="D92" s="225">
        <v>0.1</v>
      </c>
      <c r="E92" s="3349" t="s">
        <v>2289</v>
      </c>
      <c r="F92" s="3350"/>
      <c r="G92" s="3350"/>
      <c r="H92" s="3359"/>
    </row>
    <row r="93" spans="1:9" ht="25.5" customHeight="1">
      <c r="A93" s="216" t="s">
        <v>2290</v>
      </c>
      <c r="B93" s="197" t="s">
        <v>2271</v>
      </c>
      <c r="C93" s="224" t="e">
        <f ca="1">ROUND(D45*D93/(1+'数据-取费表'!C42),0)</f>
        <v>#DIV/0!</v>
      </c>
      <c r="D93" s="225">
        <f>'数据-取费表'!B43</f>
        <v>5.000000000000001E-3</v>
      </c>
      <c r="E93" s="3349" t="s">
        <v>2272</v>
      </c>
      <c r="F93" s="3350"/>
      <c r="G93" s="3350"/>
      <c r="H93" s="3359"/>
    </row>
    <row r="94" spans="1:9" ht="36.75" customHeight="1">
      <c r="A94" s="216" t="s">
        <v>2291</v>
      </c>
      <c r="B94" s="197" t="s">
        <v>2292</v>
      </c>
      <c r="C94" s="235">
        <f>ROUND((C87+C90+C91)*D94,0)</f>
        <v>0</v>
      </c>
      <c r="D94" s="225">
        <v>0.2</v>
      </c>
      <c r="E94" s="3360" t="s">
        <v>2293</v>
      </c>
      <c r="F94" s="3361"/>
      <c r="G94" s="3361"/>
      <c r="H94" s="3362"/>
    </row>
    <row r="95" spans="1:9" ht="18">
      <c r="A95" s="2511" t="s">
        <v>773</v>
      </c>
      <c r="B95" s="203" t="s">
        <v>2273</v>
      </c>
      <c r="C95" s="206" t="e">
        <f ca="1">ROUND(C85-C86,0)</f>
        <v>#DIV/0!</v>
      </c>
      <c r="D95" s="199" t="s">
        <v>32</v>
      </c>
      <c r="E95" s="2983"/>
      <c r="F95" s="2978"/>
      <c r="G95" s="2978"/>
      <c r="H95" s="3054"/>
    </row>
    <row r="96" spans="1:9" ht="24">
      <c r="A96" s="2511" t="s">
        <v>780</v>
      </c>
      <c r="B96" s="203" t="s">
        <v>2274</v>
      </c>
      <c r="C96" s="226" t="e">
        <f ca="1">IF(C95&lt;=0,0,C95/C86)</f>
        <v>#DIV/0!</v>
      </c>
      <c r="D96" s="199" t="s">
        <v>32</v>
      </c>
      <c r="E96" s="2990" t="e">
        <f ca="1">IF(C96&gt;=200%,"增值额超过扣除项目金额200%",IF(C96&gt;=100%,"增值额超过扣除项目金额100%，未超过200%",IF(C96&gt;=50%,"增值额超过扣除项目金额50%，未超过100%",IF(C96&lt;50%,"增值额未超过扣除项目金额50%"))))</f>
        <v>#DIV/0!</v>
      </c>
      <c r="F96" s="2978"/>
      <c r="G96" s="2978"/>
      <c r="H96" s="3054"/>
    </row>
    <row r="97" spans="1:8" ht="24.75" thickBot="1">
      <c r="A97" s="2512" t="s">
        <v>781</v>
      </c>
      <c r="B97" s="208" t="s">
        <v>2275</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3055"/>
    </row>
    <row r="99" spans="1:8" ht="21.75" customHeight="1" thickBot="1">
      <c r="A99" s="2221" t="s">
        <v>2294</v>
      </c>
    </row>
    <row r="100" spans="1:8" ht="18.75" customHeight="1">
      <c r="A100" s="3323" t="s">
        <v>2295</v>
      </c>
      <c r="B100" s="3324"/>
      <c r="C100" s="3324"/>
      <c r="D100" s="3351"/>
      <c r="E100" s="3324" t="s">
        <v>2296</v>
      </c>
      <c r="F100" s="3324"/>
      <c r="G100" s="3324"/>
      <c r="H100" s="3351"/>
    </row>
    <row r="101" spans="1:8" ht="18.75" customHeight="1">
      <c r="A101" s="3413" t="s">
        <v>2297</v>
      </c>
      <c r="B101" s="3414"/>
      <c r="C101" s="733" t="str">
        <f>C4</f>
        <v>成本法</v>
      </c>
      <c r="D101" s="734" t="str">
        <f>D4</f>
        <v>收益法-仓储</v>
      </c>
      <c r="E101" s="3427" t="s">
        <v>2298</v>
      </c>
      <c r="F101" s="3381"/>
      <c r="G101" s="2516" t="s">
        <v>2299</v>
      </c>
      <c r="H101" s="1045" t="e">
        <f ca="1">H118</f>
        <v>#DIV/0!</v>
      </c>
    </row>
    <row r="102" spans="1:8" ht="18.75" customHeight="1">
      <c r="A102" s="3383" t="s">
        <v>2300</v>
      </c>
      <c r="B102" s="2516" t="s">
        <v>2299</v>
      </c>
      <c r="C102" s="733" t="e">
        <f ca="1">C19</f>
        <v>#DIV/0!</v>
      </c>
      <c r="D102" s="734" t="e">
        <f ca="1">D19</f>
        <v>#N/A</v>
      </c>
      <c r="E102" s="3427"/>
      <c r="F102" s="3381"/>
      <c r="G102" s="2516" t="s">
        <v>2301</v>
      </c>
      <c r="H102" s="370" t="e">
        <f ca="1">I118</f>
        <v>#DIV/0!</v>
      </c>
    </row>
    <row r="103" spans="1:8" ht="42.75" customHeight="1">
      <c r="A103" s="3383"/>
      <c r="B103" s="2516" t="s">
        <v>2301</v>
      </c>
      <c r="C103" s="735" t="e">
        <f ca="1">C20</f>
        <v>#DIV/0!</v>
      </c>
      <c r="D103" s="736">
        <f ca="1">D20</f>
        <v>0</v>
      </c>
      <c r="E103" s="3422" t="s">
        <v>2302</v>
      </c>
      <c r="F103" s="3423"/>
      <c r="G103" s="2517" t="s">
        <v>2303</v>
      </c>
      <c r="H103" s="1045">
        <f>IF(D36="正常操作",H104+H105+H106,H105+H106)</f>
        <v>0</v>
      </c>
    </row>
    <row r="104" spans="1:8" ht="18.75" customHeight="1">
      <c r="A104" s="3383" t="s">
        <v>2304</v>
      </c>
      <c r="B104" s="2518" t="s">
        <v>2299</v>
      </c>
      <c r="C104" s="737" t="e">
        <f ca="1">H118</f>
        <v>#DIV/0!</v>
      </c>
      <c r="D104" s="738"/>
      <c r="E104" s="2262" t="s">
        <v>2305</v>
      </c>
      <c r="F104" s="2254"/>
      <c r="G104" s="2517" t="s">
        <v>2303</v>
      </c>
      <c r="H104" s="1046">
        <f>IF(D36="同一抵押权人同一抵押物续贷",C36&amp;"（未扣减，详见特别提示）",C36)</f>
        <v>0</v>
      </c>
    </row>
    <row r="105" spans="1:8" ht="18.75" customHeight="1" thickBot="1">
      <c r="A105" s="3384"/>
      <c r="B105" s="2519" t="s">
        <v>2301</v>
      </c>
      <c r="C105" s="739" t="e">
        <f ca="1">I118</f>
        <v>#DIV/0!</v>
      </c>
      <c r="D105" s="740"/>
      <c r="E105" s="2262" t="s">
        <v>2306</v>
      </c>
      <c r="F105" s="2254"/>
      <c r="G105" s="2517" t="s">
        <v>2303</v>
      </c>
      <c r="H105" s="1046">
        <f>C37</f>
        <v>0</v>
      </c>
    </row>
    <row r="106" spans="1:8" ht="18.75" customHeight="1">
      <c r="A106" s="2221" t="s">
        <v>2307</v>
      </c>
      <c r="E106" s="2520" t="s">
        <v>2308</v>
      </c>
      <c r="F106" s="2254"/>
      <c r="G106" s="2517" t="s">
        <v>2303</v>
      </c>
      <c r="H106" s="1046">
        <f>C38</f>
        <v>0</v>
      </c>
    </row>
    <row r="107" spans="1:8" ht="18.75" customHeight="1">
      <c r="E107" s="3380" t="str">
        <f>IF(项目基本情况!E8="已注销","——","3.房地产抵押价值")</f>
        <v>3.房地产抵押价值</v>
      </c>
      <c r="F107" s="3381"/>
      <c r="G107" s="2516" t="s">
        <v>2299</v>
      </c>
      <c r="H107" s="1045" t="e">
        <f ca="1">IF(E107="——","——",H101-H103)</f>
        <v>#DIV/0!</v>
      </c>
    </row>
    <row r="108" spans="1:8" ht="18.75" customHeight="1">
      <c r="E108" s="3380"/>
      <c r="F108" s="3381"/>
      <c r="G108" s="2516" t="s">
        <v>2301</v>
      </c>
      <c r="H108" s="370" t="e">
        <f ca="1">ROUND(H107*10000/'数据-汇总表'!E3,0)</f>
        <v>#DIV/0!</v>
      </c>
    </row>
    <row r="109" spans="1:8" ht="18.75" customHeight="1">
      <c r="E109" s="3380" t="str">
        <f>IF(项目基本情况!E8="已注销及未注销","4.抵押担保权已注销时的房地产抵押价值",IF(项目基本情况!E8="已注销","3.抵押担保权已注销时的房地产抵押价值","——"))</f>
        <v>4.抵押担保权已注销时的房地产抵押价值</v>
      </c>
      <c r="F109" s="3381"/>
      <c r="G109" s="2516" t="s">
        <v>2299</v>
      </c>
      <c r="H109" s="347" t="e">
        <f ca="1">IF(E109="——","——",H101-H105-H106)</f>
        <v>#DIV/0!</v>
      </c>
    </row>
    <row r="110" spans="1:8" ht="18.75" customHeight="1">
      <c r="E110" s="3380"/>
      <c r="F110" s="3381"/>
      <c r="G110" s="2516" t="s">
        <v>2301</v>
      </c>
      <c r="H110" s="370" t="e">
        <f ca="1">IF(H109="——","——",ROUND(H109*10000/'数据-汇总表'!E3,0))</f>
        <v>#DIV/0!</v>
      </c>
    </row>
    <row r="111" spans="1:8" ht="18.75" customHeight="1">
      <c r="E111" s="3415" t="str">
        <f>IF(项目基本情况!E9="抵押净值",IF(OR(项目基本情况!E8="已注销",项目基本情况!E8="房地产抵押价值"),"4.抵押净值","5.抵押净值"),"——")</f>
        <v>——</v>
      </c>
      <c r="F111" s="3416"/>
      <c r="G111" s="2516" t="s">
        <v>2299</v>
      </c>
      <c r="H111" s="1045" t="str">
        <f>IF(E111="——","——",N59)</f>
        <v>——</v>
      </c>
    </row>
    <row r="112" spans="1:8" ht="18.75" customHeight="1" thickBot="1">
      <c r="E112" s="3417"/>
      <c r="F112" s="3418"/>
      <c r="G112" s="2521" t="s">
        <v>2301</v>
      </c>
      <c r="H112" s="787" t="str">
        <f>IF(E111="——","——",N61)</f>
        <v>——</v>
      </c>
    </row>
    <row r="113" spans="1:11" ht="18.75" customHeight="1">
      <c r="E113" s="3385" t="s">
        <v>2307</v>
      </c>
      <c r="F113" s="3385"/>
      <c r="G113" s="3385"/>
      <c r="H113" s="3385"/>
    </row>
    <row r="114" spans="1:11" ht="3.75" customHeight="1"/>
    <row r="115" spans="1:11" ht="18.75" customHeight="1">
      <c r="A115" s="3398" t="s">
        <v>2309</v>
      </c>
      <c r="B115" s="3399"/>
      <c r="C115" s="3399"/>
      <c r="D115" s="3399"/>
      <c r="E115" s="3399"/>
      <c r="F115" s="3399"/>
      <c r="G115" s="3399"/>
      <c r="H115" s="3399"/>
      <c r="I115" s="3400"/>
    </row>
    <row r="116" spans="1:11" ht="27" customHeight="1">
      <c r="A116" s="3280" t="s">
        <v>2310</v>
      </c>
      <c r="B116" s="3386" t="s">
        <v>3205</v>
      </c>
      <c r="C116" s="3386" t="s">
        <v>3203</v>
      </c>
      <c r="D116" s="3402" t="s">
        <v>2313</v>
      </c>
      <c r="E116" s="3403"/>
      <c r="F116" s="3394" t="s">
        <v>2314</v>
      </c>
      <c r="G116" s="3394"/>
      <c r="H116" s="3280" t="s">
        <v>2315</v>
      </c>
      <c r="I116" s="3280"/>
    </row>
    <row r="117" spans="1:11" ht="18.75" customHeight="1">
      <c r="A117" s="3280"/>
      <c r="B117" s="3387"/>
      <c r="C117" s="3387"/>
      <c r="D117" s="2976" t="s">
        <v>2316</v>
      </c>
      <c r="E117" s="2976" t="s">
        <v>2317</v>
      </c>
      <c r="F117" s="2976" t="s">
        <v>2316</v>
      </c>
      <c r="G117" s="2976" t="s">
        <v>2318</v>
      </c>
      <c r="H117" s="2976" t="s">
        <v>2316</v>
      </c>
      <c r="I117" s="2976" t="s">
        <v>2318</v>
      </c>
    </row>
    <row r="118" spans="1:11" ht="24.75" customHeight="1">
      <c r="A118" s="2522" t="str">
        <f>项目基本情况!S2</f>
        <v>北京市经济技术开发区荣华南路1号院1号楼房地产</v>
      </c>
      <c r="B118" s="2976">
        <f>M18</f>
        <v>0</v>
      </c>
      <c r="C118" s="2976">
        <f>M19</f>
        <v>0</v>
      </c>
      <c r="D118" s="2976" t="e">
        <f ca="1">ROUND(IF(D32="总价",C34,E118*B118/10000),0)</f>
        <v>#DIV/0!</v>
      </c>
      <c r="E118" s="2976" t="e">
        <f ca="1">ROUND(IF(C33="自定义",IF(D32="楼面单价",C34,D118*10000/B118),I118-G118),0)</f>
        <v>#DIV/0!</v>
      </c>
      <c r="F118" s="2976" t="e">
        <f ca="1">ROUND(IF(D32="总价",C35,G118*B118/10000),0)</f>
        <v>#DIV/0!</v>
      </c>
      <c r="G118" s="2976" t="e">
        <f ca="1">ROUND(IF(D32="楼面单价",C35,F118*10000/B118),0)</f>
        <v>#DIV/0!</v>
      </c>
      <c r="H118" s="2976" t="e">
        <f ca="1">ROUND(IF(D32="总价",C32,I118*B118/10000),0)</f>
        <v>#DIV/0!</v>
      </c>
      <c r="I118" s="2976" t="e">
        <f ca="1">ROUND(IF(D32="楼面单价",C32,H118*10000/B118),0)</f>
        <v>#DIV/0!</v>
      </c>
    </row>
    <row r="119" spans="1:11" ht="18.75" customHeight="1">
      <c r="A119" s="3280" t="s">
        <v>2319</v>
      </c>
      <c r="B119" s="3280"/>
      <c r="C119" s="3280"/>
      <c r="D119" s="3391" t="e">
        <f ca="1">NUMBERSTRING(INT(D118*10000),2)&amp;"元整"</f>
        <v>#DIV/0!</v>
      </c>
      <c r="E119" s="3393"/>
      <c r="F119" s="3391" t="e">
        <f ca="1">NUMBERSTRING(INT(F118*10000),2)&amp;"元整"</f>
        <v>#DIV/0!</v>
      </c>
      <c r="G119" s="3393"/>
      <c r="H119" s="3391" t="e">
        <f ca="1">NUMBERSTRING(INT(H118*10000),2)&amp;"元整"</f>
        <v>#DIV/0!</v>
      </c>
      <c r="I119" s="3393"/>
    </row>
    <row r="120" spans="1:11" ht="18.75" customHeight="1">
      <c r="A120" s="3419" t="str">
        <f>IF(项目基本情况!B9="房地产市场价值","",MID(E103,3,LEN(E103)-2))</f>
        <v>估价师知悉的法定优先受偿款</v>
      </c>
      <c r="B120" s="3420"/>
      <c r="C120" s="3421"/>
      <c r="D120" s="3419">
        <f>H103</f>
        <v>0</v>
      </c>
      <c r="E120" s="3420"/>
      <c r="F120" s="3420"/>
      <c r="G120" s="3420"/>
      <c r="H120" s="3420"/>
      <c r="I120" s="3421"/>
      <c r="K120" s="2221" t="str">
        <f>IF(D120=0,"故，本次评估不存在"&amp;A120,"故，本次评估"&amp;A120&amp;"为人民币"&amp;D120&amp;"万元整。")</f>
        <v>故，本次评估不存在估价师知悉的法定优先受偿款</v>
      </c>
    </row>
    <row r="121" spans="1:11" ht="18.75" customHeight="1">
      <c r="A121" s="3395" t="s">
        <v>2319</v>
      </c>
      <c r="B121" s="3396"/>
      <c r="C121" s="3397"/>
      <c r="D121" s="3391" t="str">
        <f>IF(D120=0,"零元整",NUMBERSTRING(INT(D120*10000),2)&amp;"元整")</f>
        <v>零元整</v>
      </c>
      <c r="E121" s="3392"/>
      <c r="F121" s="3392"/>
      <c r="G121" s="3392"/>
      <c r="H121" s="3392"/>
      <c r="I121" s="3393"/>
    </row>
    <row r="122" spans="1:11" ht="18.75" customHeight="1">
      <c r="A122" s="3382" t="str">
        <f>IF(项目基本情况!B9="房地产市场价值","",MID(E107,3,LEN(E107)-2))</f>
        <v>房地产抵押价值</v>
      </c>
      <c r="B122" s="3382"/>
      <c r="C122" s="3382"/>
      <c r="D122" s="3419" t="e">
        <f ca="1">H107</f>
        <v>#DIV/0!</v>
      </c>
      <c r="E122" s="3420"/>
      <c r="F122" s="3420"/>
      <c r="G122" s="3420"/>
      <c r="H122" s="3420"/>
      <c r="I122" s="3421"/>
    </row>
    <row r="123" spans="1:11" ht="18.75" customHeight="1">
      <c r="A123" s="3280" t="s">
        <v>2319</v>
      </c>
      <c r="B123" s="3280"/>
      <c r="C123" s="3280"/>
      <c r="D123" s="3391" t="e">
        <f ca="1">NUMBERSTRING(INT(D122*10000),2)&amp;"元整"</f>
        <v>#DIV/0!</v>
      </c>
      <c r="E123" s="3392"/>
      <c r="F123" s="3392"/>
      <c r="G123" s="3392"/>
      <c r="H123" s="3392"/>
      <c r="I123" s="3393"/>
    </row>
    <row r="124" spans="1:11" ht="18.75" customHeight="1">
      <c r="A124" s="3382" t="str">
        <f>IF(项目基本情况!B9="房地产市场价值","",MID(E109,3,LEN(E109)-2))</f>
        <v>抵押担保权已注销时的房地产抵押价值</v>
      </c>
      <c r="B124" s="3382"/>
      <c r="C124" s="3382"/>
      <c r="D124" s="3419" t="e">
        <f ca="1">H109</f>
        <v>#DIV/0!</v>
      </c>
      <c r="E124" s="3420"/>
      <c r="F124" s="3420"/>
      <c r="G124" s="3420"/>
      <c r="H124" s="3420"/>
      <c r="I124" s="3421"/>
    </row>
    <row r="125" spans="1:11" ht="18.75" customHeight="1">
      <c r="A125" s="3280" t="s">
        <v>2319</v>
      </c>
      <c r="B125" s="3280"/>
      <c r="C125" s="3280"/>
      <c r="D125" s="3391" t="e">
        <f ca="1">NUMBERSTRING(INT(D124*10000),2)&amp;"元整"</f>
        <v>#DIV/0!</v>
      </c>
      <c r="E125" s="3392"/>
      <c r="F125" s="3392"/>
      <c r="G125" s="3392"/>
      <c r="H125" s="3392"/>
      <c r="I125" s="3393"/>
    </row>
    <row r="126" spans="1:11" ht="18.75" customHeight="1">
      <c r="A126" s="3382" t="str">
        <f>IF(项目基本情况!B9="房地产市场价值","",MID(E111,3,LEN(E111)-2))</f>
        <v/>
      </c>
      <c r="B126" s="3382"/>
      <c r="C126" s="3382"/>
      <c r="D126" s="3419" t="str">
        <f>H111</f>
        <v>——</v>
      </c>
      <c r="E126" s="3420"/>
      <c r="F126" s="3420"/>
      <c r="G126" s="3420"/>
      <c r="H126" s="3420"/>
      <c r="I126" s="3421"/>
    </row>
    <row r="127" spans="1:11" ht="18.75" customHeight="1">
      <c r="A127" s="3280" t="s">
        <v>2319</v>
      </c>
      <c r="B127" s="3280"/>
      <c r="C127" s="3280"/>
      <c r="D127" s="3391" t="e">
        <f>NUMBERSTRING(INT(D126*10000),2)&amp;"元整"</f>
        <v>#VALUE!</v>
      </c>
      <c r="E127" s="3392"/>
      <c r="F127" s="3392"/>
      <c r="G127" s="3392"/>
      <c r="H127" s="3392"/>
      <c r="I127" s="3393"/>
    </row>
    <row r="128" spans="1:11" ht="21.75" customHeight="1">
      <c r="A128" s="3401" t="s">
        <v>2320</v>
      </c>
      <c r="B128" s="3401"/>
      <c r="C128" s="3401"/>
      <c r="D128" s="3401"/>
      <c r="E128" s="3401"/>
      <c r="F128" s="3401"/>
      <c r="G128" s="3401"/>
      <c r="H128" s="3401"/>
      <c r="I128" s="3401"/>
    </row>
    <row r="129" spans="1:9" ht="21.75" customHeight="1">
      <c r="A129" s="2523" t="s">
        <v>2321</v>
      </c>
      <c r="B129" s="2524"/>
      <c r="C129" s="2525" t="s">
        <v>2322</v>
      </c>
      <c r="D129" s="2526"/>
      <c r="E129" s="2526"/>
      <c r="F129" s="2526"/>
      <c r="G129" s="2526"/>
      <c r="H129" s="2527"/>
      <c r="I129" s="2528"/>
    </row>
    <row r="130" spans="1:9" ht="21.75" customHeight="1">
      <c r="A130" s="2529">
        <v>1</v>
      </c>
      <c r="I130" s="2533"/>
    </row>
    <row r="131" spans="1:9" ht="21.75" customHeight="1">
      <c r="A131" s="2529">
        <v>2</v>
      </c>
      <c r="I131" s="2533"/>
    </row>
    <row r="132" spans="1:9" ht="21.75" customHeight="1">
      <c r="A132" s="2529">
        <v>3</v>
      </c>
      <c r="I132" s="2533"/>
    </row>
    <row r="133" spans="1:9" ht="21.75" customHeight="1">
      <c r="A133" s="2534"/>
      <c r="B133" s="2535"/>
      <c r="C133" s="2535"/>
      <c r="D133" s="2536"/>
      <c r="E133" s="2536"/>
      <c r="F133" s="2536"/>
      <c r="G133" s="2536"/>
      <c r="H133" s="2537"/>
      <c r="I133" s="2538"/>
    </row>
    <row r="135" spans="1:9" ht="21.75" customHeight="1">
      <c r="F135" s="2539" t="s">
        <v>2323</v>
      </c>
      <c r="G135" s="2540"/>
      <c r="H135" s="2540"/>
      <c r="I135" s="2541" t="s">
        <v>2324</v>
      </c>
    </row>
    <row r="136" spans="1:9" ht="21.75" customHeight="1">
      <c r="B136" s="2221" t="s">
        <v>2325</v>
      </c>
    </row>
    <row r="138" spans="1:9" ht="21.75" customHeight="1">
      <c r="B138" s="2540"/>
      <c r="C138" s="2540"/>
      <c r="D138" s="2540"/>
      <c r="E138" s="2540"/>
      <c r="F138" s="2540"/>
      <c r="G138" s="2540"/>
      <c r="H138" s="2540"/>
      <c r="I138" s="2541" t="s">
        <v>2326</v>
      </c>
    </row>
    <row r="139" spans="1:9" ht="21.75" customHeight="1">
      <c r="B139" s="2221" t="s">
        <v>2327</v>
      </c>
    </row>
    <row r="141" spans="1:9" ht="21.75" customHeight="1">
      <c r="B141" s="2540"/>
      <c r="C141" s="2540"/>
      <c r="D141" s="2540"/>
      <c r="E141" s="2540"/>
      <c r="F141" s="2540"/>
      <c r="G141" s="2540"/>
      <c r="H141" s="2540"/>
      <c r="I141" s="2541" t="s">
        <v>2326</v>
      </c>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B6" sqref="B6"/>
    </sheetView>
  </sheetViews>
  <sheetFormatPr defaultRowHeight="13.5"/>
  <sheetData>
    <row r="1" spans="1:4">
      <c r="A1" t="s">
        <v>3179</v>
      </c>
      <c r="B1" t="s">
        <v>3180</v>
      </c>
      <c r="C1" t="s">
        <v>3181</v>
      </c>
      <c r="D1" t="s">
        <v>3182</v>
      </c>
    </row>
    <row r="2" spans="1:4">
      <c r="A2">
        <v>1</v>
      </c>
      <c r="B2">
        <v>8</v>
      </c>
      <c r="C2">
        <v>1</v>
      </c>
      <c r="D2">
        <f>抵押物清单!C31+抵押物清单!C32+抵押物清单!C33+抵押物清单!C34+抵押物清单!C35+抵押物清单!C36</f>
        <v>1407.55</v>
      </c>
    </row>
    <row r="3" spans="1:4">
      <c r="A3" t="s">
        <v>3183</v>
      </c>
      <c r="B3">
        <f>B2*C3</f>
        <v>4</v>
      </c>
      <c r="C3">
        <v>0.5</v>
      </c>
      <c r="D3">
        <f>抵押物清单!C234+抵押物清单!C236</f>
        <v>0</v>
      </c>
    </row>
    <row r="4" spans="1:4">
      <c r="A4" t="s">
        <v>3184</v>
      </c>
      <c r="B4">
        <f>B2*C4</f>
        <v>2.4</v>
      </c>
      <c r="C4">
        <v>0.3</v>
      </c>
      <c r="D4">
        <f>抵押物清单!C29</f>
        <v>213.49</v>
      </c>
    </row>
    <row r="5" spans="1:4">
      <c r="A5" t="s">
        <v>3185</v>
      </c>
      <c r="B5">
        <f>ROUND((B2*D2+B3*D3+B4*D4)/(D2+D3+D4),2)</f>
        <v>7.26</v>
      </c>
    </row>
  </sheetData>
  <phoneticPr fontId="14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Z45"/>
  <sheetViews>
    <sheetView workbookViewId="0">
      <selection activeCell="C27" sqref="C27"/>
    </sheetView>
  </sheetViews>
  <sheetFormatPr defaultRowHeight="13.5" outlineLevelCol="1"/>
  <cols>
    <col min="1" max="1" width="4.875" customWidth="1"/>
    <col min="2" max="2" width="19.625" style="3154" customWidth="1"/>
    <col min="3" max="3" width="11.625" customWidth="1"/>
    <col min="4" max="4" width="6.5" style="3154" customWidth="1"/>
    <col min="5" max="5" width="11.625" bestFit="1" customWidth="1"/>
    <col min="6" max="6" width="5.75" customWidth="1"/>
    <col min="7" max="8" width="11" bestFit="1" customWidth="1"/>
    <col min="9" max="9" width="20.375" style="3154" customWidth="1"/>
    <col min="10" max="11" width="8.875" bestFit="1" customWidth="1"/>
    <col min="12" max="12" width="15.875" style="3155" customWidth="1"/>
    <col min="13" max="13" width="13.875" bestFit="1" customWidth="1"/>
    <col min="14" max="15" width="16.125" bestFit="1" customWidth="1"/>
    <col min="16" max="16" width="13.875" bestFit="1" customWidth="1"/>
    <col min="17" max="17" width="11.625" bestFit="1" customWidth="1"/>
    <col min="18" max="18" width="16.125" bestFit="1" customWidth="1"/>
    <col min="19" max="19" width="11.625" bestFit="1" customWidth="1"/>
    <col min="20" max="20" width="22.625" customWidth="1"/>
    <col min="21" max="21" width="12.25" bestFit="1" customWidth="1"/>
    <col min="22" max="22" width="12.5" bestFit="1" customWidth="1"/>
    <col min="23" max="23" width="22.625" bestFit="1" customWidth="1"/>
    <col min="24" max="24" width="15.5" style="3156" customWidth="1"/>
    <col min="25" max="25" width="13.875" style="3157" hidden="1" customWidth="1" outlineLevel="1"/>
    <col min="26" max="26" width="9.125" style="3157" hidden="1" customWidth="1" outlineLevel="1"/>
    <col min="27" max="28" width="13.125" style="3157" hidden="1" customWidth="1" outlineLevel="1"/>
    <col min="29" max="29" width="13.875" style="3157" hidden="1" customWidth="1" outlineLevel="1"/>
    <col min="30" max="30" width="9.125" style="3157" hidden="1" customWidth="1" outlineLevel="1"/>
    <col min="31" max="31" width="13.125" style="3157" hidden="1" customWidth="1" outlineLevel="1"/>
    <col min="32" max="32" width="13.875" style="3157" hidden="1" customWidth="1" outlineLevel="1"/>
    <col min="33" max="33" width="13.125" style="3157" hidden="1" customWidth="1" outlineLevel="1"/>
    <col min="34" max="34" width="14" style="3157" hidden="1" customWidth="1" outlineLevel="1"/>
    <col min="35" max="36" width="10" style="3157" hidden="1" customWidth="1" outlineLevel="1"/>
    <col min="37" max="37" width="15.75" style="3158" customWidth="1" collapsed="1"/>
    <col min="38" max="49" width="15.75" style="3158" hidden="1" customWidth="1" outlineLevel="1"/>
    <col min="50" max="50" width="15.75" style="3158" customWidth="1" collapsed="1"/>
    <col min="51" max="52" width="6.625" hidden="1" customWidth="1" outlineLevel="1"/>
    <col min="53" max="56" width="13.125" hidden="1" customWidth="1" outlineLevel="1"/>
    <col min="57" max="58" width="12.75" hidden="1" customWidth="1" outlineLevel="1"/>
    <col min="59" max="62" width="13.875" hidden="1" customWidth="1" outlineLevel="1"/>
    <col min="63" max="63" width="26.125" hidden="1" customWidth="1" outlineLevel="1"/>
    <col min="64" max="64" width="16.75" style="3159" customWidth="1" collapsed="1"/>
    <col min="65" max="67" width="12.75" hidden="1" customWidth="1" outlineLevel="1"/>
    <col min="68" max="69" width="13.875" hidden="1" customWidth="1" outlineLevel="1"/>
    <col min="70" max="70" width="12.75" hidden="1" customWidth="1" outlineLevel="1"/>
    <col min="71" max="76" width="9" hidden="1" customWidth="1" outlineLevel="1"/>
    <col min="77" max="77" width="16.875" style="3159" customWidth="1" collapsed="1"/>
    <col min="78" max="78" width="9" collapsed="1"/>
    <col min="79" max="79" width="16.125" bestFit="1" customWidth="1"/>
  </cols>
  <sheetData>
    <row r="1" spans="1:77" s="3090" customFormat="1">
      <c r="A1" s="3648" t="s">
        <v>3278</v>
      </c>
      <c r="B1" s="3642" t="s">
        <v>3279</v>
      </c>
      <c r="C1" s="3645" t="s">
        <v>3280</v>
      </c>
      <c r="D1" s="3649" t="s">
        <v>3281</v>
      </c>
      <c r="E1" s="3641" t="s">
        <v>3282</v>
      </c>
      <c r="F1" s="3650" t="s">
        <v>3283</v>
      </c>
      <c r="G1" s="3645" t="s">
        <v>3284</v>
      </c>
      <c r="H1" s="3645" t="s">
        <v>3285</v>
      </c>
      <c r="I1" s="3642" t="s">
        <v>3286</v>
      </c>
      <c r="J1" s="3646" t="s">
        <v>3287</v>
      </c>
      <c r="K1" s="3646" t="s">
        <v>3288</v>
      </c>
      <c r="L1" s="3647" t="s">
        <v>3289</v>
      </c>
      <c r="M1" s="3641" t="s">
        <v>3290</v>
      </c>
      <c r="N1" s="3641" t="s">
        <v>3291</v>
      </c>
      <c r="O1" s="3641" t="s">
        <v>3292</v>
      </c>
      <c r="P1" s="3642" t="s">
        <v>3293</v>
      </c>
      <c r="Q1" s="3644" t="s">
        <v>3294</v>
      </c>
      <c r="R1" s="3631" t="s">
        <v>3295</v>
      </c>
      <c r="S1" s="3632"/>
      <c r="T1" s="3633"/>
      <c r="U1" s="3631" t="s">
        <v>3296</v>
      </c>
      <c r="V1" s="3632"/>
      <c r="W1" s="3633"/>
      <c r="X1" s="3634" t="s">
        <v>3297</v>
      </c>
      <c r="Y1" s="3631" t="s">
        <v>3298</v>
      </c>
      <c r="Z1" s="3632"/>
      <c r="AA1" s="3632"/>
      <c r="AB1" s="3632"/>
      <c r="AC1" s="3632"/>
      <c r="AD1" s="3632"/>
      <c r="AE1" s="3632"/>
      <c r="AF1" s="3632"/>
      <c r="AG1" s="3632"/>
      <c r="AH1" s="3632"/>
      <c r="AI1" s="3632"/>
      <c r="AJ1" s="3632"/>
      <c r="AK1" s="3633"/>
      <c r="AL1" s="3636" t="s">
        <v>3299</v>
      </c>
      <c r="AM1" s="3637"/>
      <c r="AN1" s="3637"/>
      <c r="AO1" s="3637"/>
      <c r="AP1" s="3637"/>
      <c r="AQ1" s="3637"/>
      <c r="AR1" s="3637"/>
      <c r="AS1" s="3637"/>
      <c r="AT1" s="3637"/>
      <c r="AU1" s="3637"/>
      <c r="AV1" s="3637"/>
      <c r="AW1" s="3637"/>
      <c r="AX1" s="3638"/>
      <c r="AY1" s="3087" t="s">
        <v>3300</v>
      </c>
      <c r="AZ1" s="3088"/>
      <c r="BA1" s="3088"/>
      <c r="BB1" s="3088"/>
      <c r="BC1" s="3088"/>
      <c r="BD1" s="3088"/>
      <c r="BE1" s="3088"/>
      <c r="BF1" s="3088"/>
      <c r="BG1" s="3088"/>
      <c r="BH1" s="3088"/>
      <c r="BI1" s="3088"/>
      <c r="BJ1" s="3088"/>
      <c r="BK1" s="3639" t="s">
        <v>3301</v>
      </c>
      <c r="BL1" s="3089" t="s">
        <v>3300</v>
      </c>
      <c r="BM1" s="3631" t="s">
        <v>3302</v>
      </c>
      <c r="BN1" s="3632"/>
      <c r="BO1" s="3632"/>
      <c r="BP1" s="3632"/>
      <c r="BQ1" s="3632"/>
      <c r="BR1" s="3632"/>
      <c r="BS1" s="3632"/>
      <c r="BT1" s="3632"/>
      <c r="BU1" s="3632"/>
      <c r="BV1" s="3632"/>
      <c r="BW1" s="3632"/>
      <c r="BX1" s="3632"/>
      <c r="BY1" s="3633"/>
    </row>
    <row r="2" spans="1:77" s="3095" customFormat="1">
      <c r="A2" s="3648"/>
      <c r="B2" s="3643"/>
      <c r="C2" s="3645"/>
      <c r="D2" s="3649"/>
      <c r="E2" s="3641"/>
      <c r="F2" s="3650"/>
      <c r="G2" s="3645"/>
      <c r="H2" s="3645"/>
      <c r="I2" s="3643"/>
      <c r="J2" s="3646"/>
      <c r="K2" s="3646"/>
      <c r="L2" s="3647"/>
      <c r="M2" s="3641"/>
      <c r="N2" s="3641"/>
      <c r="O2" s="3641"/>
      <c r="P2" s="3643"/>
      <c r="Q2" s="3644"/>
      <c r="R2" s="3091" t="s">
        <v>3125</v>
      </c>
      <c r="S2" s="3092" t="s">
        <v>3303</v>
      </c>
      <c r="T2" s="3092" t="s">
        <v>3304</v>
      </c>
      <c r="U2" s="3091" t="s">
        <v>3125</v>
      </c>
      <c r="V2" s="3092" t="s">
        <v>3303</v>
      </c>
      <c r="W2" s="3092" t="s">
        <v>3304</v>
      </c>
      <c r="X2" s="3635"/>
      <c r="Y2" s="3093" t="s">
        <v>3305</v>
      </c>
      <c r="Z2" s="3093" t="s">
        <v>3306</v>
      </c>
      <c r="AA2" s="3093" t="s">
        <v>3307</v>
      </c>
      <c r="AB2" s="3093" t="s">
        <v>3308</v>
      </c>
      <c r="AC2" s="3093" t="s">
        <v>3309</v>
      </c>
      <c r="AD2" s="3093" t="s">
        <v>3310</v>
      </c>
      <c r="AE2" s="3093" t="s">
        <v>3311</v>
      </c>
      <c r="AF2" s="3093" t="s">
        <v>3312</v>
      </c>
      <c r="AG2" s="3093" t="s">
        <v>3313</v>
      </c>
      <c r="AH2" s="3093" t="s">
        <v>3314</v>
      </c>
      <c r="AI2" s="3093" t="s">
        <v>3315</v>
      </c>
      <c r="AJ2" s="3093" t="s">
        <v>3316</v>
      </c>
      <c r="AK2" s="3092" t="s">
        <v>3317</v>
      </c>
      <c r="AL2" s="3094" t="s">
        <v>3318</v>
      </c>
      <c r="AM2" s="3094" t="s">
        <v>3319</v>
      </c>
      <c r="AN2" s="3094" t="s">
        <v>3320</v>
      </c>
      <c r="AO2" s="3094" t="s">
        <v>3321</v>
      </c>
      <c r="AP2" s="3094" t="s">
        <v>3322</v>
      </c>
      <c r="AQ2" s="3094" t="s">
        <v>3323</v>
      </c>
      <c r="AR2" s="3094" t="s">
        <v>3324</v>
      </c>
      <c r="AS2" s="3094" t="s">
        <v>3325</v>
      </c>
      <c r="AT2" s="3094" t="s">
        <v>3326</v>
      </c>
      <c r="AU2" s="3094" t="s">
        <v>3327</v>
      </c>
      <c r="AV2" s="3094" t="s">
        <v>3328</v>
      </c>
      <c r="AW2" s="3094" t="s">
        <v>3329</v>
      </c>
      <c r="AX2" s="3094" t="s">
        <v>3317</v>
      </c>
      <c r="AY2" s="3093" t="s">
        <v>3305</v>
      </c>
      <c r="AZ2" s="3093" t="s">
        <v>3306</v>
      </c>
      <c r="BA2" s="3093" t="s">
        <v>3307</v>
      </c>
      <c r="BB2" s="3093" t="s">
        <v>3308</v>
      </c>
      <c r="BC2" s="3093" t="s">
        <v>3309</v>
      </c>
      <c r="BD2" s="3093" t="s">
        <v>3310</v>
      </c>
      <c r="BE2" s="3093" t="s">
        <v>3311</v>
      </c>
      <c r="BF2" s="3093" t="s">
        <v>3312</v>
      </c>
      <c r="BG2" s="3093" t="s">
        <v>3313</v>
      </c>
      <c r="BH2" s="3093" t="s">
        <v>3314</v>
      </c>
      <c r="BI2" s="3093" t="s">
        <v>3315</v>
      </c>
      <c r="BJ2" s="3093" t="s">
        <v>3316</v>
      </c>
      <c r="BK2" s="3640"/>
      <c r="BL2" s="3092" t="s">
        <v>3317</v>
      </c>
      <c r="BM2" s="3093" t="s">
        <v>3318</v>
      </c>
      <c r="BN2" s="3093" t="s">
        <v>3319</v>
      </c>
      <c r="BO2" s="3093" t="s">
        <v>3320</v>
      </c>
      <c r="BP2" s="3093" t="s">
        <v>3321</v>
      </c>
      <c r="BQ2" s="3093" t="s">
        <v>3322</v>
      </c>
      <c r="BR2" s="3093" t="s">
        <v>3323</v>
      </c>
      <c r="BS2" s="3093" t="s">
        <v>3324</v>
      </c>
      <c r="BT2" s="3093" t="s">
        <v>3325</v>
      </c>
      <c r="BU2" s="3093" t="s">
        <v>3326</v>
      </c>
      <c r="BV2" s="3093" t="s">
        <v>3327</v>
      </c>
      <c r="BW2" s="3093" t="s">
        <v>3328</v>
      </c>
      <c r="BX2" s="3093" t="s">
        <v>3329</v>
      </c>
      <c r="BY2" s="3092" t="s">
        <v>3317</v>
      </c>
    </row>
    <row r="3" spans="1:77" s="3103" customFormat="1" ht="12">
      <c r="A3" s="3096"/>
      <c r="B3" s="3097" t="s">
        <v>3317</v>
      </c>
      <c r="C3" s="3096"/>
      <c r="D3" s="3098"/>
      <c r="E3" s="3099">
        <f>SUM(E$4:E$1048576)</f>
        <v>7041.11</v>
      </c>
      <c r="F3" s="3100"/>
      <c r="G3" s="3096"/>
      <c r="H3" s="3096"/>
      <c r="I3" s="3097"/>
      <c r="J3" s="3099"/>
      <c r="K3" s="3099"/>
      <c r="L3" s="3101"/>
      <c r="M3" s="3099">
        <f>SUM(M$4:M$1048576)</f>
        <v>794006.03500000015</v>
      </c>
      <c r="N3" s="3099">
        <f>SUM(N$4:N$1048576)</f>
        <v>2567543.6359999999</v>
      </c>
      <c r="O3" s="3099">
        <f>SUM(O$4:O$1048576)</f>
        <v>2557440.6799999997</v>
      </c>
      <c r="P3" s="3099">
        <f>SUM(P$4:P$1048576)</f>
        <v>100001.87238107818</v>
      </c>
      <c r="Q3" s="3099"/>
      <c r="R3" s="3099">
        <f>SUM(R$4:R$1048576)</f>
        <v>2722367.77</v>
      </c>
      <c r="S3" s="3096"/>
      <c r="T3" s="3096"/>
      <c r="U3" s="3099">
        <f>SUM(U$4:U$1048576)</f>
        <v>344413.78</v>
      </c>
      <c r="V3" s="3096"/>
      <c r="W3" s="3096"/>
      <c r="X3" s="3099">
        <f t="shared" ref="X3:BY3" si="0">SUM(X$4:X$1048576)</f>
        <v>3066781.5500000003</v>
      </c>
      <c r="Y3" s="3099">
        <f t="shared" si="0"/>
        <v>737278.47000000009</v>
      </c>
      <c r="Z3" s="3099">
        <f t="shared" si="0"/>
        <v>0</v>
      </c>
      <c r="AA3" s="3099">
        <f t="shared" si="0"/>
        <v>182658.96000000002</v>
      </c>
      <c r="AB3" s="3099">
        <f t="shared" si="0"/>
        <v>100393.71</v>
      </c>
      <c r="AC3" s="3099">
        <f t="shared" si="0"/>
        <v>115746.06</v>
      </c>
      <c r="AD3" s="3099">
        <f t="shared" si="0"/>
        <v>0</v>
      </c>
      <c r="AE3" s="3099">
        <f t="shared" si="0"/>
        <v>405537</v>
      </c>
      <c r="AF3" s="3099">
        <f t="shared" si="0"/>
        <v>632770.72</v>
      </c>
      <c r="AG3" s="3099">
        <f t="shared" si="0"/>
        <v>327374.53000000003</v>
      </c>
      <c r="AH3" s="3099">
        <f t="shared" si="0"/>
        <v>95456.73</v>
      </c>
      <c r="AI3" s="3099">
        <f t="shared" si="0"/>
        <v>0</v>
      </c>
      <c r="AJ3" s="3099">
        <f t="shared" si="0"/>
        <v>0</v>
      </c>
      <c r="AK3" s="3102">
        <f t="shared" si="0"/>
        <v>2597216.1800000002</v>
      </c>
      <c r="AL3" s="3102">
        <f t="shared" si="0"/>
        <v>670551.17999999993</v>
      </c>
      <c r="AM3" s="3102">
        <f t="shared" si="0"/>
        <v>207480.33000000002</v>
      </c>
      <c r="AN3" s="3102">
        <f t="shared" si="0"/>
        <v>79006.710000000006</v>
      </c>
      <c r="AO3" s="3102">
        <f t="shared" si="0"/>
        <v>0</v>
      </c>
      <c r="AP3" s="3102">
        <f t="shared" si="0"/>
        <v>0</v>
      </c>
      <c r="AQ3" s="3102">
        <f t="shared" si="0"/>
        <v>0</v>
      </c>
      <c r="AR3" s="3102">
        <f t="shared" si="0"/>
        <v>0</v>
      </c>
      <c r="AS3" s="3102">
        <f t="shared" si="0"/>
        <v>0</v>
      </c>
      <c r="AT3" s="3102">
        <f t="shared" si="0"/>
        <v>0</v>
      </c>
      <c r="AU3" s="3102">
        <f t="shared" si="0"/>
        <v>0</v>
      </c>
      <c r="AV3" s="3102">
        <f t="shared" si="0"/>
        <v>0</v>
      </c>
      <c r="AW3" s="3102">
        <f t="shared" si="0"/>
        <v>0</v>
      </c>
      <c r="AX3" s="3102">
        <f t="shared" si="0"/>
        <v>957038.22</v>
      </c>
      <c r="AY3" s="3102">
        <f t="shared" si="0"/>
        <v>0</v>
      </c>
      <c r="AZ3" s="3102">
        <f t="shared" si="0"/>
        <v>0</v>
      </c>
      <c r="BA3" s="3102">
        <f t="shared" si="0"/>
        <v>0</v>
      </c>
      <c r="BB3" s="3102">
        <f t="shared" si="0"/>
        <v>0</v>
      </c>
      <c r="BC3" s="3102">
        <f t="shared" si="0"/>
        <v>0</v>
      </c>
      <c r="BD3" s="3102">
        <f t="shared" si="0"/>
        <v>0</v>
      </c>
      <c r="BE3" s="3102">
        <f t="shared" si="0"/>
        <v>55351.199999999997</v>
      </c>
      <c r="BF3" s="3102">
        <f t="shared" si="0"/>
        <v>90425.763636363627</v>
      </c>
      <c r="BG3" s="3102">
        <f t="shared" si="0"/>
        <v>122296.78268398267</v>
      </c>
      <c r="BH3" s="3102">
        <f t="shared" si="0"/>
        <v>355424.14025974029</v>
      </c>
      <c r="BI3" s="3102">
        <f t="shared" si="0"/>
        <v>458208.57965367963</v>
      </c>
      <c r="BJ3" s="3102">
        <f t="shared" si="0"/>
        <v>580754.79696969688</v>
      </c>
      <c r="BK3" s="3102">
        <f t="shared" si="0"/>
        <v>0</v>
      </c>
      <c r="BL3" s="3102">
        <f t="shared" si="0"/>
        <v>1662461.2632034633</v>
      </c>
      <c r="BM3" s="3102">
        <f t="shared" si="0"/>
        <v>280147.9939393939</v>
      </c>
      <c r="BN3" s="3102">
        <f t="shared" si="0"/>
        <v>224763.33939393939</v>
      </c>
      <c r="BO3" s="3102">
        <f t="shared" si="0"/>
        <v>147273.84545454546</v>
      </c>
      <c r="BP3" s="3102">
        <f t="shared" si="0"/>
        <v>150929.20909090905</v>
      </c>
      <c r="BQ3" s="3102">
        <f t="shared" si="0"/>
        <v>100951.29090909089</v>
      </c>
      <c r="BR3" s="3102">
        <f t="shared" si="0"/>
        <v>72025.00909090908</v>
      </c>
      <c r="BS3" s="3102">
        <f t="shared" si="0"/>
        <v>0</v>
      </c>
      <c r="BT3" s="3102">
        <f t="shared" si="0"/>
        <v>0</v>
      </c>
      <c r="BU3" s="3102">
        <f t="shared" si="0"/>
        <v>0</v>
      </c>
      <c r="BV3" s="3102">
        <f t="shared" si="0"/>
        <v>0</v>
      </c>
      <c r="BW3" s="3102">
        <f t="shared" si="0"/>
        <v>0</v>
      </c>
      <c r="BX3" s="3102">
        <f t="shared" si="0"/>
        <v>0</v>
      </c>
      <c r="BY3" s="3102">
        <f t="shared" si="0"/>
        <v>302853.87272727268</v>
      </c>
    </row>
    <row r="4" spans="1:77" s="3121" customFormat="1" ht="14.25" hidden="1">
      <c r="A4" s="3104">
        <v>1</v>
      </c>
      <c r="B4" s="3105" t="s">
        <v>3330</v>
      </c>
      <c r="C4" s="3106">
        <v>101</v>
      </c>
      <c r="D4" s="3107" t="s">
        <v>3331</v>
      </c>
      <c r="E4" s="3108">
        <v>174.63</v>
      </c>
      <c r="F4" s="3109">
        <v>60</v>
      </c>
      <c r="G4" s="3110">
        <v>43296</v>
      </c>
      <c r="H4" s="3110">
        <v>45121</v>
      </c>
      <c r="I4" s="3107" t="s">
        <v>3332</v>
      </c>
      <c r="J4" s="3111"/>
      <c r="K4" s="3111" t="s">
        <v>3333</v>
      </c>
      <c r="L4" s="3112">
        <f>M4/E4/30</f>
        <v>5.2468752982496323</v>
      </c>
      <c r="M4" s="3111">
        <v>27487.855</v>
      </c>
      <c r="N4" s="3111">
        <v>164927.13</v>
      </c>
      <c r="O4" s="3111">
        <v>164927.13</v>
      </c>
      <c r="P4" s="3111"/>
      <c r="Q4" s="3110">
        <v>43569</v>
      </c>
      <c r="R4" s="3111">
        <v>329854.26</v>
      </c>
      <c r="S4" s="3110">
        <v>43299</v>
      </c>
      <c r="T4" s="3113" t="s">
        <v>3334</v>
      </c>
      <c r="U4" s="3113"/>
      <c r="V4" s="3110"/>
      <c r="W4" s="3113"/>
      <c r="X4" s="3114">
        <f>R4+U4</f>
        <v>329854.26</v>
      </c>
      <c r="Y4" s="3115"/>
      <c r="Z4" s="3115"/>
      <c r="AA4" s="3115"/>
      <c r="AB4" s="3115"/>
      <c r="AC4" s="3115"/>
      <c r="AD4" s="3115"/>
      <c r="AE4" s="3111">
        <v>329854.26</v>
      </c>
      <c r="AF4" s="3115"/>
      <c r="AG4" s="3115"/>
      <c r="AH4" s="3115"/>
      <c r="AI4" s="3115"/>
      <c r="AJ4" s="3115"/>
      <c r="AK4" s="3116">
        <f>SUM(Y4:AJ4)</f>
        <v>329854.26</v>
      </c>
      <c r="AL4" s="3116"/>
      <c r="AM4" s="3116"/>
      <c r="AN4" s="3116"/>
      <c r="AO4" s="3116"/>
      <c r="AP4" s="3116"/>
      <c r="AQ4" s="3116"/>
      <c r="AR4" s="3116"/>
      <c r="AS4" s="3116"/>
      <c r="AT4" s="3116"/>
      <c r="AU4" s="3116"/>
      <c r="AV4" s="3116"/>
      <c r="AW4" s="3116"/>
      <c r="AX4" s="3116">
        <f>SUM(AL4:AW4)</f>
        <v>0</v>
      </c>
      <c r="AY4" s="3115"/>
      <c r="AZ4" s="3115"/>
      <c r="BA4" s="3115"/>
      <c r="BB4" s="3115"/>
      <c r="BC4" s="3115"/>
      <c r="BD4" s="3115"/>
      <c r="BE4" s="3115"/>
      <c r="BF4" s="3115"/>
      <c r="BG4" s="3115"/>
      <c r="BH4" s="3115">
        <f>R4/6/1.1</f>
        <v>49977.918181818175</v>
      </c>
      <c r="BI4" s="3115">
        <f>BH4</f>
        <v>49977.918181818175</v>
      </c>
      <c r="BJ4" s="3115">
        <f>BI4</f>
        <v>49977.918181818175</v>
      </c>
      <c r="BK4" s="3115"/>
      <c r="BL4" s="3117">
        <f>SUM(AY4:BJ4)</f>
        <v>149933.75454545452</v>
      </c>
      <c r="BM4" s="3118">
        <f>BJ4</f>
        <v>49977.918181818175</v>
      </c>
      <c r="BN4" s="3118">
        <f>BM4</f>
        <v>49977.918181818175</v>
      </c>
      <c r="BO4" s="3118">
        <f t="shared" ref="BO4:BP4" si="1">BN4</f>
        <v>49977.918181818175</v>
      </c>
      <c r="BP4" s="3118">
        <f t="shared" si="1"/>
        <v>49977.918181818175</v>
      </c>
      <c r="BQ4" s="3119"/>
      <c r="BR4" s="3119"/>
      <c r="BS4" s="3119"/>
      <c r="BT4" s="3119"/>
      <c r="BU4" s="3119"/>
      <c r="BV4" s="3119"/>
      <c r="BW4" s="3119"/>
      <c r="BX4" s="3119"/>
      <c r="BY4" s="3120"/>
    </row>
    <row r="5" spans="1:77" s="3121" customFormat="1" ht="14.25" hidden="1">
      <c r="A5" s="3104">
        <v>2</v>
      </c>
      <c r="B5" s="3122" t="s">
        <v>3335</v>
      </c>
      <c r="C5" s="3106" t="s">
        <v>3336</v>
      </c>
      <c r="D5" s="3628" t="s">
        <v>3331</v>
      </c>
      <c r="E5" s="3108">
        <v>124.02</v>
      </c>
      <c r="F5" s="3614">
        <v>72</v>
      </c>
      <c r="G5" s="3629">
        <v>43332</v>
      </c>
      <c r="H5" s="3629">
        <v>45523</v>
      </c>
      <c r="I5" s="3630" t="s">
        <v>3337</v>
      </c>
      <c r="J5" s="3614"/>
      <c r="K5" s="3623" t="s">
        <v>3338</v>
      </c>
      <c r="L5" s="3624">
        <f>M5/(E5+E6)/30</f>
        <v>5.7791668587763381</v>
      </c>
      <c r="M5" s="3626">
        <v>75206.61</v>
      </c>
      <c r="N5" s="3613">
        <v>225619.83</v>
      </c>
      <c r="O5" s="3613">
        <v>225619.83</v>
      </c>
      <c r="P5" s="3613"/>
      <c r="Q5" s="3614" t="s">
        <v>3339</v>
      </c>
      <c r="R5" s="3613">
        <v>225619.83</v>
      </c>
      <c r="S5" s="3621">
        <v>43341</v>
      </c>
      <c r="T5" s="3614" t="s">
        <v>3340</v>
      </c>
      <c r="U5" s="3614"/>
      <c r="V5" s="3110"/>
      <c r="W5" s="3614"/>
      <c r="X5" s="3618">
        <f t="shared" ref="X5:X26" si="2">R5+U5</f>
        <v>225619.83</v>
      </c>
      <c r="Y5" s="3614"/>
      <c r="Z5" s="3614"/>
      <c r="AA5" s="3614"/>
      <c r="AB5" s="3614"/>
      <c r="AC5" s="3614"/>
      <c r="AD5" s="3614"/>
      <c r="AE5" s="3614"/>
      <c r="AF5" s="3613">
        <v>225619.83</v>
      </c>
      <c r="AG5" s="3614"/>
      <c r="AH5" s="3614"/>
      <c r="AI5" s="3614"/>
      <c r="AJ5" s="3614"/>
      <c r="AK5" s="3615">
        <f>SUM(Y5:AJ6)</f>
        <v>225619.83</v>
      </c>
      <c r="AL5" s="3116"/>
      <c r="AM5" s="3116"/>
      <c r="AN5" s="3116"/>
      <c r="AO5" s="3116"/>
      <c r="AP5" s="3116"/>
      <c r="AQ5" s="3116"/>
      <c r="AR5" s="3116"/>
      <c r="AS5" s="3116"/>
      <c r="AT5" s="3116"/>
      <c r="AU5" s="3116"/>
      <c r="AV5" s="3116"/>
      <c r="AW5" s="3116"/>
      <c r="AX5" s="3616">
        <f t="shared" ref="AX5:AX26" si="3">SUM(AL5:AW5)</f>
        <v>0</v>
      </c>
      <c r="AY5" s="3613"/>
      <c r="AZ5" s="3613"/>
      <c r="BA5" s="3613"/>
      <c r="BB5" s="3613"/>
      <c r="BC5" s="3613"/>
      <c r="BD5" s="3613"/>
      <c r="BE5" s="3613"/>
      <c r="BF5" s="3613"/>
      <c r="BG5" s="3613"/>
      <c r="BH5" s="3613"/>
      <c r="BI5" s="3613"/>
      <c r="BJ5" s="3613">
        <f>R5/3/1.1</f>
        <v>68369.645454545447</v>
      </c>
      <c r="BK5" s="3111"/>
      <c r="BL5" s="3616">
        <f>SUM(AY5:BJ6)</f>
        <v>68369.645454545447</v>
      </c>
      <c r="BM5" s="3611">
        <f>BJ5</f>
        <v>68369.645454545447</v>
      </c>
      <c r="BN5" s="3611">
        <f>BM5</f>
        <v>68369.645454545447</v>
      </c>
      <c r="BO5" s="3611">
        <f>BN5</f>
        <v>68369.645454545447</v>
      </c>
      <c r="BP5" s="3611"/>
      <c r="BQ5" s="3611"/>
      <c r="BR5" s="3611"/>
      <c r="BS5" s="3611"/>
      <c r="BT5" s="3611"/>
      <c r="BU5" s="3611"/>
      <c r="BV5" s="3611"/>
      <c r="BW5" s="3611"/>
      <c r="BX5" s="3611"/>
      <c r="BY5" s="3616"/>
    </row>
    <row r="6" spans="1:77" s="3121" customFormat="1" ht="14.25" hidden="1">
      <c r="A6" s="3104">
        <v>3</v>
      </c>
      <c r="B6" s="3122" t="s">
        <v>3335</v>
      </c>
      <c r="C6" s="3106" t="s">
        <v>3341</v>
      </c>
      <c r="D6" s="3628"/>
      <c r="E6" s="3108">
        <v>309.76</v>
      </c>
      <c r="F6" s="3614"/>
      <c r="G6" s="3629"/>
      <c r="H6" s="3629"/>
      <c r="I6" s="3630"/>
      <c r="J6" s="3614"/>
      <c r="K6" s="3623"/>
      <c r="L6" s="3625"/>
      <c r="M6" s="3627"/>
      <c r="N6" s="3613"/>
      <c r="O6" s="3613"/>
      <c r="P6" s="3613"/>
      <c r="Q6" s="3614"/>
      <c r="R6" s="3613"/>
      <c r="S6" s="3622"/>
      <c r="T6" s="3614"/>
      <c r="U6" s="3614"/>
      <c r="V6" s="3110"/>
      <c r="W6" s="3614"/>
      <c r="X6" s="3619"/>
      <c r="Y6" s="3614"/>
      <c r="Z6" s="3614"/>
      <c r="AA6" s="3614"/>
      <c r="AB6" s="3614"/>
      <c r="AC6" s="3614"/>
      <c r="AD6" s="3614"/>
      <c r="AE6" s="3614"/>
      <c r="AF6" s="3613"/>
      <c r="AG6" s="3614"/>
      <c r="AH6" s="3614"/>
      <c r="AI6" s="3614"/>
      <c r="AJ6" s="3614"/>
      <c r="AK6" s="3615"/>
      <c r="AL6" s="3116"/>
      <c r="AM6" s="3116"/>
      <c r="AN6" s="3116"/>
      <c r="AO6" s="3116"/>
      <c r="AP6" s="3116"/>
      <c r="AQ6" s="3116"/>
      <c r="AR6" s="3116"/>
      <c r="AS6" s="3116"/>
      <c r="AT6" s="3116"/>
      <c r="AU6" s="3116"/>
      <c r="AV6" s="3116"/>
      <c r="AW6" s="3116"/>
      <c r="AX6" s="3617"/>
      <c r="AY6" s="3613"/>
      <c r="AZ6" s="3613"/>
      <c r="BA6" s="3613"/>
      <c r="BB6" s="3613"/>
      <c r="BC6" s="3613"/>
      <c r="BD6" s="3613"/>
      <c r="BE6" s="3613"/>
      <c r="BF6" s="3613"/>
      <c r="BG6" s="3613"/>
      <c r="BH6" s="3613"/>
      <c r="BI6" s="3613"/>
      <c r="BJ6" s="3613"/>
      <c r="BK6" s="3111"/>
      <c r="BL6" s="3617"/>
      <c r="BM6" s="3612"/>
      <c r="BN6" s="3612"/>
      <c r="BO6" s="3612"/>
      <c r="BP6" s="3612"/>
      <c r="BQ6" s="3612"/>
      <c r="BR6" s="3612"/>
      <c r="BS6" s="3612"/>
      <c r="BT6" s="3612"/>
      <c r="BU6" s="3612"/>
      <c r="BV6" s="3612"/>
      <c r="BW6" s="3612"/>
      <c r="BX6" s="3612"/>
      <c r="BY6" s="3617"/>
    </row>
    <row r="7" spans="1:77" s="3121" customFormat="1" ht="14.25" hidden="1">
      <c r="A7" s="3104">
        <v>6</v>
      </c>
      <c r="B7" s="3123" t="s">
        <v>3342</v>
      </c>
      <c r="C7" s="3106" t="s">
        <v>3343</v>
      </c>
      <c r="D7" s="3124" t="s">
        <v>3331</v>
      </c>
      <c r="E7" s="3108">
        <v>182.36</v>
      </c>
      <c r="F7" s="3109" t="s">
        <v>3344</v>
      </c>
      <c r="G7" s="3110">
        <v>43266</v>
      </c>
      <c r="H7" s="3110">
        <v>45091</v>
      </c>
      <c r="I7" s="3105" t="s">
        <v>3345</v>
      </c>
      <c r="J7" s="3125"/>
      <c r="K7" s="3126" t="s">
        <v>3346</v>
      </c>
      <c r="L7" s="3127">
        <f>M7/E7/30</f>
        <v>9.5305549462601444</v>
      </c>
      <c r="M7" s="3128">
        <v>52139.76</v>
      </c>
      <c r="N7" s="3114">
        <v>156419.29</v>
      </c>
      <c r="O7" s="3114">
        <v>156419.29</v>
      </c>
      <c r="P7" s="3114"/>
      <c r="Q7" s="3129">
        <v>43510</v>
      </c>
      <c r="R7" s="3111">
        <v>156419.29</v>
      </c>
      <c r="S7" s="3110">
        <v>43126</v>
      </c>
      <c r="T7" s="3108" t="s">
        <v>3347</v>
      </c>
      <c r="U7" s="3108"/>
      <c r="V7" s="3110"/>
      <c r="W7" s="3108"/>
      <c r="X7" s="3114">
        <f t="shared" si="2"/>
        <v>156419.29</v>
      </c>
      <c r="Y7" s="3111">
        <v>156419.29</v>
      </c>
      <c r="Z7" s="3115"/>
      <c r="AA7" s="3115"/>
      <c r="AB7" s="3115"/>
      <c r="AC7" s="3115"/>
      <c r="AD7" s="3115"/>
      <c r="AE7" s="3115"/>
      <c r="AF7" s="3115"/>
      <c r="AG7" s="3115"/>
      <c r="AH7" s="3115"/>
      <c r="AI7" s="3115"/>
      <c r="AJ7" s="3115"/>
      <c r="AK7" s="3116">
        <f t="shared" ref="AK7:AK17" si="4">SUM(Y7:AJ7)</f>
        <v>156419.29</v>
      </c>
      <c r="AL7" s="3116"/>
      <c r="AM7" s="3116"/>
      <c r="AN7" s="3116"/>
      <c r="AO7" s="3116"/>
      <c r="AP7" s="3116"/>
      <c r="AQ7" s="3116"/>
      <c r="AR7" s="3116"/>
      <c r="AS7" s="3116"/>
      <c r="AT7" s="3116"/>
      <c r="AU7" s="3116"/>
      <c r="AV7" s="3116"/>
      <c r="AW7" s="3116"/>
      <c r="AX7" s="3116">
        <f t="shared" si="3"/>
        <v>0</v>
      </c>
      <c r="AY7" s="3115"/>
      <c r="AZ7" s="3115"/>
      <c r="BA7" s="3115"/>
      <c r="BB7" s="3115"/>
      <c r="BC7" s="3115"/>
      <c r="BD7" s="3115"/>
      <c r="BE7" s="3115"/>
      <c r="BF7" s="3115"/>
      <c r="BG7" s="3115"/>
      <c r="BH7" s="3115"/>
      <c r="BI7" s="3115">
        <f>R7/3/1.1</f>
        <v>47399.784848484844</v>
      </c>
      <c r="BJ7" s="3115">
        <f>BI7</f>
        <v>47399.784848484844</v>
      </c>
      <c r="BK7" s="3115"/>
      <c r="BL7" s="3117">
        <f t="shared" ref="BL7:BL17" si="5">SUM(AY7:BJ7)</f>
        <v>94799.569696969687</v>
      </c>
      <c r="BM7" s="3118">
        <f>BJ7</f>
        <v>47399.784848484844</v>
      </c>
      <c r="BN7" s="3118">
        <f>BM7</f>
        <v>47399.784848484844</v>
      </c>
      <c r="BO7" s="3118"/>
      <c r="BP7" s="3118"/>
      <c r="BQ7" s="3119"/>
      <c r="BR7" s="3119"/>
      <c r="BS7" s="3119"/>
      <c r="BT7" s="3119"/>
      <c r="BU7" s="3119"/>
      <c r="BV7" s="3119"/>
      <c r="BW7" s="3119"/>
      <c r="BX7" s="3119"/>
      <c r="BY7" s="3120"/>
    </row>
    <row r="8" spans="1:77" s="3121" customFormat="1" ht="14.25" hidden="1">
      <c r="A8" s="3104">
        <v>9</v>
      </c>
      <c r="B8" s="3123" t="s">
        <v>3348</v>
      </c>
      <c r="C8" s="3106">
        <v>1302</v>
      </c>
      <c r="D8" s="3107"/>
      <c r="E8" s="3108">
        <v>275.75</v>
      </c>
      <c r="F8" s="3109">
        <v>36</v>
      </c>
      <c r="G8" s="3110">
        <v>43266</v>
      </c>
      <c r="H8" s="3110">
        <v>44361</v>
      </c>
      <c r="I8" s="3107" t="s">
        <v>3349</v>
      </c>
      <c r="J8" s="3111"/>
      <c r="K8" s="3126" t="s">
        <v>3346</v>
      </c>
      <c r="L8" s="3127">
        <f t="shared" ref="L8:L26" si="6">M8/E8/30</f>
        <v>4.6638887881535203</v>
      </c>
      <c r="M8" s="3126">
        <v>38582.019999999997</v>
      </c>
      <c r="N8" s="3111">
        <v>115746.06</v>
      </c>
      <c r="O8" s="3111">
        <v>115746.06</v>
      </c>
      <c r="P8" s="3111"/>
      <c r="Q8" s="3129">
        <v>43538</v>
      </c>
      <c r="R8" s="3111">
        <v>115746.06</v>
      </c>
      <c r="S8" s="3110">
        <v>43240</v>
      </c>
      <c r="T8" s="3108" t="s">
        <v>3350</v>
      </c>
      <c r="U8" s="3111">
        <f>38582.02+115746.06</f>
        <v>154328.07999999999</v>
      </c>
      <c r="V8" s="3110">
        <v>43449</v>
      </c>
      <c r="W8" s="3108" t="s">
        <v>3351</v>
      </c>
      <c r="X8" s="3114">
        <f t="shared" si="2"/>
        <v>270074.14</v>
      </c>
      <c r="Y8" s="3115"/>
      <c r="Z8" s="3115"/>
      <c r="AA8" s="3115"/>
      <c r="AB8" s="3115"/>
      <c r="AC8" s="3115">
        <v>115746.06</v>
      </c>
      <c r="AD8" s="3115"/>
      <c r="AE8" s="3115"/>
      <c r="AF8" s="3115"/>
      <c r="AG8" s="3108"/>
      <c r="AH8" s="3115"/>
      <c r="AI8" s="3115"/>
      <c r="AJ8" s="3115"/>
      <c r="AK8" s="3116">
        <f t="shared" si="4"/>
        <v>115746.06</v>
      </c>
      <c r="AL8" s="3116"/>
      <c r="AM8" s="3116"/>
      <c r="AN8" s="3116"/>
      <c r="AO8" s="3116"/>
      <c r="AP8" s="3116"/>
      <c r="AQ8" s="3116"/>
      <c r="AR8" s="3116"/>
      <c r="AS8" s="3116"/>
      <c r="AT8" s="3116"/>
      <c r="AU8" s="3116"/>
      <c r="AV8" s="3116"/>
      <c r="AW8" s="3116"/>
      <c r="AX8" s="3116">
        <f t="shared" si="3"/>
        <v>0</v>
      </c>
      <c r="AY8" s="3115"/>
      <c r="AZ8" s="3115"/>
      <c r="BA8" s="3115"/>
      <c r="BB8" s="3115"/>
      <c r="BC8" s="3115"/>
      <c r="BD8" s="3115"/>
      <c r="BE8" s="3115"/>
      <c r="BF8" s="3115">
        <f>R8/3/1.1</f>
        <v>35074.563636363629</v>
      </c>
      <c r="BG8" s="3115">
        <f>BF8</f>
        <v>35074.563636363629</v>
      </c>
      <c r="BH8" s="3115">
        <f>BG8</f>
        <v>35074.563636363629</v>
      </c>
      <c r="BI8" s="3115">
        <f>BH8</f>
        <v>35074.563636363629</v>
      </c>
      <c r="BJ8" s="3115">
        <f>BI8</f>
        <v>35074.563636363629</v>
      </c>
      <c r="BK8" s="3115"/>
      <c r="BL8" s="3117">
        <f t="shared" si="5"/>
        <v>175372.81818181815</v>
      </c>
      <c r="BM8" s="3118">
        <f>BJ8</f>
        <v>35074.563636363629</v>
      </c>
      <c r="BN8" s="3118">
        <f>BM8</f>
        <v>35074.563636363629</v>
      </c>
      <c r="BO8" s="3118"/>
      <c r="BP8" s="3119"/>
      <c r="BQ8" s="3119"/>
      <c r="BR8" s="3119"/>
      <c r="BS8" s="3119"/>
      <c r="BT8" s="3119"/>
      <c r="BU8" s="3119"/>
      <c r="BV8" s="3119"/>
      <c r="BW8" s="3119"/>
      <c r="BX8" s="3119"/>
      <c r="BY8" s="3120"/>
    </row>
    <row r="9" spans="1:77" s="3196" customFormat="1" ht="14.25">
      <c r="A9" s="3130">
        <v>11</v>
      </c>
      <c r="B9" s="3131" t="s">
        <v>3352</v>
      </c>
      <c r="C9" s="3132">
        <v>1304</v>
      </c>
      <c r="D9" s="3133" t="s">
        <v>3331</v>
      </c>
      <c r="E9" s="3134">
        <v>169.47</v>
      </c>
      <c r="F9" s="3135" t="s">
        <v>3353</v>
      </c>
      <c r="G9" s="3136">
        <v>43191</v>
      </c>
      <c r="H9" s="3136">
        <v>44286</v>
      </c>
      <c r="I9" s="3137" t="s">
        <v>3354</v>
      </c>
      <c r="J9" s="3138"/>
      <c r="K9" s="3142" t="s">
        <v>3346</v>
      </c>
      <c r="L9" s="3139">
        <f t="shared" si="6"/>
        <v>5.8805550638264394</v>
      </c>
      <c r="M9" s="3140">
        <v>29897.33</v>
      </c>
      <c r="N9" s="3140">
        <v>89692</v>
      </c>
      <c r="O9" s="3140">
        <v>89692</v>
      </c>
      <c r="P9" s="3140"/>
      <c r="Q9" s="3141">
        <v>43465</v>
      </c>
      <c r="R9" s="3142">
        <v>89692</v>
      </c>
      <c r="S9" s="3136">
        <v>43175</v>
      </c>
      <c r="T9" s="3134" t="s">
        <v>3355</v>
      </c>
      <c r="U9" s="3142">
        <v>89691.99</v>
      </c>
      <c r="V9" s="3136">
        <v>43368</v>
      </c>
      <c r="W9" s="3134" t="s">
        <v>3356</v>
      </c>
      <c r="X9" s="3140">
        <f t="shared" si="2"/>
        <v>179383.99</v>
      </c>
      <c r="Y9" s="3192"/>
      <c r="Z9" s="3192"/>
      <c r="AA9" s="3142">
        <v>89692</v>
      </c>
      <c r="AB9" s="3192"/>
      <c r="AC9" s="3142"/>
      <c r="AD9" s="3192"/>
      <c r="AE9" s="3192"/>
      <c r="AF9" s="3192"/>
      <c r="AG9" s="3142">
        <v>89692</v>
      </c>
      <c r="AH9" s="3192"/>
      <c r="AI9" s="3192"/>
      <c r="AJ9" s="3192"/>
      <c r="AK9" s="3144">
        <f>SUM(Y9:AJ9)</f>
        <v>179384</v>
      </c>
      <c r="AL9" s="3142">
        <v>89691.99</v>
      </c>
      <c r="AM9" s="3144"/>
      <c r="AN9" s="3144"/>
      <c r="AO9" s="3144"/>
      <c r="AP9" s="3144"/>
      <c r="AQ9" s="3144"/>
      <c r="AR9" s="3144"/>
      <c r="AS9" s="3144"/>
      <c r="AT9" s="3144"/>
      <c r="AU9" s="3144"/>
      <c r="AV9" s="3144"/>
      <c r="AW9" s="3144"/>
      <c r="AX9" s="3144">
        <f t="shared" si="3"/>
        <v>89691.99</v>
      </c>
      <c r="AY9" s="3192"/>
      <c r="AZ9" s="3192"/>
      <c r="BA9" s="3192"/>
      <c r="BB9" s="3192"/>
      <c r="BC9" s="3192"/>
      <c r="BD9" s="3192"/>
      <c r="BE9" s="3192">
        <v>27179.393939393936</v>
      </c>
      <c r="BF9" s="3192">
        <f>BE9</f>
        <v>27179.393939393936</v>
      </c>
      <c r="BG9" s="3192">
        <f t="shared" ref="BG9:BJ9" si="7">BF9</f>
        <v>27179.393939393936</v>
      </c>
      <c r="BH9" s="3192">
        <f t="shared" si="7"/>
        <v>27179.393939393936</v>
      </c>
      <c r="BI9" s="3192">
        <f t="shared" si="7"/>
        <v>27179.393939393936</v>
      </c>
      <c r="BJ9" s="3192">
        <f t="shared" si="7"/>
        <v>27179.393939393936</v>
      </c>
      <c r="BK9" s="3192" t="s">
        <v>3357</v>
      </c>
      <c r="BL9" s="3193">
        <f t="shared" si="5"/>
        <v>163076.36363636359</v>
      </c>
      <c r="BM9" s="3194"/>
      <c r="BN9" s="3194"/>
      <c r="BO9" s="3194"/>
      <c r="BP9" s="3194"/>
      <c r="BQ9" s="3194"/>
      <c r="BR9" s="3194"/>
      <c r="BS9" s="3194"/>
      <c r="BT9" s="3194"/>
      <c r="BU9" s="3194"/>
      <c r="BV9" s="3194"/>
      <c r="BW9" s="3194"/>
      <c r="BX9" s="3194"/>
      <c r="BY9" s="3195"/>
    </row>
    <row r="10" spans="1:77" s="3196" customFormat="1" ht="14.25" hidden="1">
      <c r="A10" s="3130">
        <v>12</v>
      </c>
      <c r="B10" s="3131" t="s">
        <v>3458</v>
      </c>
      <c r="C10" s="3132">
        <v>1305</v>
      </c>
      <c r="D10" s="3133"/>
      <c r="E10" s="3134">
        <v>244.49</v>
      </c>
      <c r="F10" s="3135">
        <v>36</v>
      </c>
      <c r="G10" s="3136">
        <v>43332</v>
      </c>
      <c r="H10" s="3136">
        <v>43423</v>
      </c>
      <c r="I10" s="3133" t="s">
        <v>3358</v>
      </c>
      <c r="J10" s="3142"/>
      <c r="K10" s="3142" t="s">
        <v>3346</v>
      </c>
      <c r="L10" s="3139">
        <f t="shared" si="6"/>
        <v>4.5625001704227843</v>
      </c>
      <c r="M10" s="3142">
        <v>33464.57</v>
      </c>
      <c r="N10" s="3142">
        <v>100393.71</v>
      </c>
      <c r="O10" s="3142">
        <v>100393.71</v>
      </c>
      <c r="P10" s="3142"/>
      <c r="Q10" s="3136">
        <v>43515</v>
      </c>
      <c r="R10" s="3142">
        <v>100393.71</v>
      </c>
      <c r="S10" s="3136">
        <v>43210</v>
      </c>
      <c r="T10" s="3134" t="s">
        <v>3359</v>
      </c>
      <c r="U10" s="3142">
        <v>100393.71</v>
      </c>
      <c r="V10" s="3136">
        <v>43449</v>
      </c>
      <c r="W10" s="3134" t="s">
        <v>3360</v>
      </c>
      <c r="X10" s="3140">
        <f t="shared" si="2"/>
        <v>200787.42</v>
      </c>
      <c r="Y10" s="3192"/>
      <c r="Z10" s="3192"/>
      <c r="AA10" s="3192"/>
      <c r="AB10" s="3142">
        <v>100393.71</v>
      </c>
      <c r="AC10" s="3192"/>
      <c r="AD10" s="3192"/>
      <c r="AE10" s="3134"/>
      <c r="AF10" s="3192"/>
      <c r="AG10" s="3192"/>
      <c r="AH10" s="3192"/>
      <c r="AI10" s="3192"/>
      <c r="AJ10" s="3192"/>
      <c r="AK10" s="3144">
        <f>SUM(Y10:AJ10)</f>
        <v>100393.71</v>
      </c>
      <c r="AL10" s="3144"/>
      <c r="AM10" s="3144">
        <v>100393.71</v>
      </c>
      <c r="AN10" s="3144"/>
      <c r="AO10" s="3144"/>
      <c r="AP10" s="3144"/>
      <c r="AQ10" s="3144"/>
      <c r="AR10" s="3144"/>
      <c r="AS10" s="3144"/>
      <c r="AT10" s="3144"/>
      <c r="AU10" s="3144"/>
      <c r="AV10" s="3144"/>
      <c r="AW10" s="3144"/>
      <c r="AX10" s="3144">
        <f t="shared" si="3"/>
        <v>100393.71</v>
      </c>
      <c r="AY10" s="3192"/>
      <c r="AZ10" s="3192"/>
      <c r="BA10" s="3192"/>
      <c r="BB10" s="3192"/>
      <c r="BC10" s="3192"/>
      <c r="BD10" s="3192"/>
      <c r="BE10" s="3192"/>
      <c r="BF10" s="3192"/>
      <c r="BG10" s="3192">
        <f>R10/3/1.05</f>
        <v>31871.019047619047</v>
      </c>
      <c r="BH10" s="3192">
        <f>BG10</f>
        <v>31871.019047619047</v>
      </c>
      <c r="BI10" s="3192">
        <f>BH10</f>
        <v>31871.019047619047</v>
      </c>
      <c r="BJ10" s="3192">
        <v>30422.336363636361</v>
      </c>
      <c r="BK10" s="3192" t="s">
        <v>3361</v>
      </c>
      <c r="BL10" s="3193">
        <f t="shared" si="5"/>
        <v>126035.39350649351</v>
      </c>
      <c r="BM10" s="3194"/>
      <c r="BN10" s="3194"/>
      <c r="BO10" s="3194"/>
      <c r="BP10" s="3194"/>
      <c r="BQ10" s="3194"/>
      <c r="BR10" s="3194"/>
      <c r="BS10" s="3194"/>
      <c r="BT10" s="3194"/>
      <c r="BU10" s="3194"/>
      <c r="BV10" s="3194"/>
      <c r="BW10" s="3194"/>
      <c r="BX10" s="3194"/>
      <c r="BY10" s="3195"/>
    </row>
    <row r="11" spans="1:77" s="3197" customFormat="1" ht="14.25" hidden="1">
      <c r="A11" s="3130">
        <v>15</v>
      </c>
      <c r="B11" s="3131" t="s">
        <v>3362</v>
      </c>
      <c r="C11" s="3132">
        <v>1308</v>
      </c>
      <c r="D11" s="3133" t="s">
        <v>3413</v>
      </c>
      <c r="E11" s="3134"/>
      <c r="F11" s="3135" t="s">
        <v>3363</v>
      </c>
      <c r="G11" s="3136"/>
      <c r="H11" s="3136"/>
      <c r="I11" s="3137" t="s">
        <v>3364</v>
      </c>
      <c r="J11" s="3138"/>
      <c r="K11" s="3138"/>
      <c r="L11" s="3139">
        <f>M11/E12/30</f>
        <v>0</v>
      </c>
      <c r="M11" s="3140"/>
      <c r="N11" s="3140">
        <v>92966.96</v>
      </c>
      <c r="O11" s="3140">
        <v>92966.96</v>
      </c>
      <c r="P11" s="3140"/>
      <c r="Q11" s="3141">
        <v>43380</v>
      </c>
      <c r="R11" s="3142">
        <v>92966.96</v>
      </c>
      <c r="S11" s="3136">
        <v>43185</v>
      </c>
      <c r="T11" s="3134" t="s">
        <v>3365</v>
      </c>
      <c r="U11" s="3134"/>
      <c r="V11" s="3136"/>
      <c r="W11" s="3134"/>
      <c r="X11" s="3140">
        <f t="shared" si="2"/>
        <v>92966.96</v>
      </c>
      <c r="Y11" s="3143"/>
      <c r="Z11" s="3143"/>
      <c r="AA11" s="3142">
        <v>92966.96</v>
      </c>
      <c r="AB11" s="3143"/>
      <c r="AC11" s="3142"/>
      <c r="AD11" s="3143"/>
      <c r="AE11" s="3143"/>
      <c r="AF11" s="3143"/>
      <c r="AG11" s="3143"/>
      <c r="AH11" s="3143"/>
      <c r="AI11" s="3143"/>
      <c r="AJ11" s="3143"/>
      <c r="AK11" s="3144">
        <f t="shared" si="4"/>
        <v>92966.96</v>
      </c>
      <c r="AL11" s="3144"/>
      <c r="AM11" s="3144"/>
      <c r="AN11" s="3144"/>
      <c r="AO11" s="3144"/>
      <c r="AP11" s="3144"/>
      <c r="AQ11" s="3144"/>
      <c r="AR11" s="3144"/>
      <c r="AS11" s="3144"/>
      <c r="AT11" s="3144"/>
      <c r="AU11" s="3144"/>
      <c r="AV11" s="3144"/>
      <c r="AW11" s="3144"/>
      <c r="AX11" s="3144">
        <f t="shared" si="3"/>
        <v>0</v>
      </c>
      <c r="AY11" s="3143"/>
      <c r="AZ11" s="3143"/>
      <c r="BA11" s="3143"/>
      <c r="BB11" s="3143"/>
      <c r="BC11" s="3143"/>
      <c r="BD11" s="3143"/>
      <c r="BE11" s="3143">
        <f>R11/3/1.1</f>
        <v>28171.806060606061</v>
      </c>
      <c r="BF11" s="3192">
        <f>BE11</f>
        <v>28171.806060606061</v>
      </c>
      <c r="BG11" s="3192">
        <f>BF11</f>
        <v>28171.806060606061</v>
      </c>
      <c r="BH11" s="3143"/>
      <c r="BI11" s="3143"/>
      <c r="BJ11" s="3143"/>
      <c r="BK11" s="3143"/>
      <c r="BL11" s="3145">
        <f t="shared" si="5"/>
        <v>84515.418181818182</v>
      </c>
      <c r="BM11" s="3146"/>
      <c r="BN11" s="3146"/>
      <c r="BO11" s="3146"/>
      <c r="BP11" s="3146"/>
      <c r="BQ11" s="3146"/>
      <c r="BR11" s="3146"/>
      <c r="BS11" s="3146"/>
      <c r="BT11" s="3146"/>
      <c r="BU11" s="3146"/>
      <c r="BV11" s="3146"/>
      <c r="BW11" s="3146"/>
      <c r="BX11" s="3146"/>
      <c r="BY11" s="3147"/>
    </row>
    <row r="12" spans="1:77" s="3196" customFormat="1" ht="14.25">
      <c r="A12" s="3130">
        <v>15</v>
      </c>
      <c r="B12" s="3131" t="s">
        <v>3366</v>
      </c>
      <c r="C12" s="3132">
        <v>1308</v>
      </c>
      <c r="D12" s="3133" t="s">
        <v>3367</v>
      </c>
      <c r="E12" s="3134">
        <v>159.5</v>
      </c>
      <c r="F12" s="3135" t="s">
        <v>3368</v>
      </c>
      <c r="G12" s="3136">
        <v>43466</v>
      </c>
      <c r="H12" s="3136">
        <v>44196</v>
      </c>
      <c r="I12" s="3137" t="s">
        <v>3369</v>
      </c>
      <c r="J12" s="3138"/>
      <c r="K12" s="3142" t="s">
        <v>3370</v>
      </c>
      <c r="L12" s="3139">
        <f t="shared" ref="L12" si="8">M12/E12/30</f>
        <v>6.1847230929989552</v>
      </c>
      <c r="M12" s="3140">
        <v>29593.9</v>
      </c>
      <c r="N12" s="3140">
        <v>88781.7</v>
      </c>
      <c r="O12" s="3140">
        <v>88781.7</v>
      </c>
      <c r="P12" s="3140"/>
      <c r="Q12" s="3141">
        <v>43646</v>
      </c>
      <c r="R12" s="3142">
        <v>88781.7</v>
      </c>
      <c r="S12" s="3136">
        <v>43447</v>
      </c>
      <c r="T12" s="3134" t="s">
        <v>3371</v>
      </c>
      <c r="U12" s="3134"/>
      <c r="V12" s="3136"/>
      <c r="W12" s="3134"/>
      <c r="X12" s="3140">
        <f t="shared" si="2"/>
        <v>88781.7</v>
      </c>
      <c r="Y12" s="3192"/>
      <c r="Z12" s="3192"/>
      <c r="AA12" s="3142"/>
      <c r="AB12" s="3192"/>
      <c r="AC12" s="3142"/>
      <c r="AD12" s="3192"/>
      <c r="AE12" s="3192"/>
      <c r="AF12" s="3192"/>
      <c r="AG12" s="3192"/>
      <c r="AH12" s="3192"/>
      <c r="AI12" s="3192"/>
      <c r="AJ12" s="3192"/>
      <c r="AK12" s="3144"/>
      <c r="AL12" s="3144"/>
      <c r="AM12" s="3144"/>
      <c r="AN12" s="3144"/>
      <c r="AO12" s="3144"/>
      <c r="AP12" s="3144"/>
      <c r="AQ12" s="3144"/>
      <c r="AR12" s="3144"/>
      <c r="AS12" s="3144"/>
      <c r="AT12" s="3144"/>
      <c r="AU12" s="3144"/>
      <c r="AV12" s="3144"/>
      <c r="AW12" s="3144"/>
      <c r="AX12" s="3144">
        <f t="shared" si="3"/>
        <v>0</v>
      </c>
      <c r="AY12" s="3192"/>
      <c r="AZ12" s="3192"/>
      <c r="BA12" s="3192"/>
      <c r="BB12" s="3192"/>
      <c r="BC12" s="3192"/>
      <c r="BD12" s="3192"/>
      <c r="BE12" s="3192"/>
      <c r="BF12" s="3192"/>
      <c r="BG12" s="3192"/>
      <c r="BH12" s="3192"/>
      <c r="BI12" s="3192"/>
      <c r="BJ12" s="3192"/>
      <c r="BK12" s="3192"/>
      <c r="BL12" s="3193"/>
      <c r="BM12" s="3194"/>
      <c r="BN12" s="3194"/>
      <c r="BO12" s="3194"/>
      <c r="BP12" s="3194"/>
      <c r="BQ12" s="3194"/>
      <c r="BR12" s="3194"/>
      <c r="BS12" s="3194"/>
      <c r="BT12" s="3194"/>
      <c r="BU12" s="3194"/>
      <c r="BV12" s="3194"/>
      <c r="BW12" s="3194"/>
      <c r="BX12" s="3194"/>
      <c r="BY12" s="3195"/>
    </row>
    <row r="13" spans="1:77" s="3212" customFormat="1" ht="14.25">
      <c r="A13" s="3198">
        <v>33</v>
      </c>
      <c r="B13" s="3199" t="s">
        <v>3372</v>
      </c>
      <c r="C13" s="3200">
        <v>1602</v>
      </c>
      <c r="D13" s="3199" t="s">
        <v>3331</v>
      </c>
      <c r="E13" s="3201">
        <v>275.75</v>
      </c>
      <c r="F13" s="3202">
        <v>24</v>
      </c>
      <c r="G13" s="3203">
        <v>43383</v>
      </c>
      <c r="H13" s="3203">
        <v>44113</v>
      </c>
      <c r="I13" s="3199" t="s">
        <v>3373</v>
      </c>
      <c r="J13" s="3204"/>
      <c r="K13" s="3204" t="s">
        <v>3370</v>
      </c>
      <c r="L13" s="3205">
        <f t="shared" si="6"/>
        <v>4.6943052281656081</v>
      </c>
      <c r="M13" s="3204">
        <v>38833.64</v>
      </c>
      <c r="N13" s="3204">
        <v>116500.93</v>
      </c>
      <c r="O13" s="3204">
        <v>116500.93</v>
      </c>
      <c r="P13" s="3204">
        <v>0</v>
      </c>
      <c r="Q13" s="3203">
        <v>43474</v>
      </c>
      <c r="R13" s="3204">
        <v>116500.93</v>
      </c>
      <c r="S13" s="3203">
        <v>43326</v>
      </c>
      <c r="T13" s="3201" t="s">
        <v>3374</v>
      </c>
      <c r="U13" s="3201"/>
      <c r="V13" s="3201"/>
      <c r="W13" s="3201"/>
      <c r="X13" s="3206">
        <f t="shared" si="2"/>
        <v>116500.93</v>
      </c>
      <c r="Y13" s="3207"/>
      <c r="Z13" s="3207"/>
      <c r="AA13" s="3207"/>
      <c r="AB13" s="3207"/>
      <c r="AC13" s="3207"/>
      <c r="AD13" s="3207"/>
      <c r="AE13" s="3207"/>
      <c r="AF13" s="3204">
        <v>116500.93</v>
      </c>
      <c r="AG13" s="3207"/>
      <c r="AH13" s="3207"/>
      <c r="AI13" s="3207"/>
      <c r="AJ13" s="3207"/>
      <c r="AK13" s="3208">
        <f t="shared" si="4"/>
        <v>116500.93</v>
      </c>
      <c r="AL13" s="3208"/>
      <c r="AM13" s="3208"/>
      <c r="AN13" s="3208"/>
      <c r="AO13" s="3208"/>
      <c r="AP13" s="3208"/>
      <c r="AQ13" s="3208"/>
      <c r="AR13" s="3208"/>
      <c r="AS13" s="3208"/>
      <c r="AT13" s="3208"/>
      <c r="AU13" s="3208"/>
      <c r="AV13" s="3208"/>
      <c r="AW13" s="3208"/>
      <c r="AX13" s="3208">
        <f t="shared" si="3"/>
        <v>0</v>
      </c>
      <c r="AY13" s="3207"/>
      <c r="AZ13" s="3204"/>
      <c r="BA13" s="3207"/>
      <c r="BB13" s="3207"/>
      <c r="BC13" s="3207"/>
      <c r="BD13" s="3207"/>
      <c r="BE13" s="3207"/>
      <c r="BF13" s="3207"/>
      <c r="BG13" s="3207"/>
      <c r="BH13" s="3207">
        <f>R13/3/1.1</f>
        <v>35303.312121212119</v>
      </c>
      <c r="BI13" s="3207">
        <f>BH13</f>
        <v>35303.312121212119</v>
      </c>
      <c r="BJ13" s="3207">
        <f>BI13</f>
        <v>35303.312121212119</v>
      </c>
      <c r="BK13" s="3207"/>
      <c r="BL13" s="3209">
        <f t="shared" si="5"/>
        <v>105909.93636363636</v>
      </c>
      <c r="BM13" s="3210"/>
      <c r="BN13" s="3210"/>
      <c r="BO13" s="3210"/>
      <c r="BP13" s="3210"/>
      <c r="BQ13" s="3210"/>
      <c r="BR13" s="3210"/>
      <c r="BS13" s="3210"/>
      <c r="BT13" s="3210"/>
      <c r="BU13" s="3210"/>
      <c r="BV13" s="3210"/>
      <c r="BW13" s="3210"/>
      <c r="BX13" s="3210"/>
      <c r="BY13" s="3211"/>
    </row>
    <row r="14" spans="1:77" s="3212" customFormat="1" ht="14.25">
      <c r="A14" s="3198">
        <v>34</v>
      </c>
      <c r="B14" s="3199" t="s">
        <v>3375</v>
      </c>
      <c r="C14" s="3200">
        <v>1603</v>
      </c>
      <c r="D14" s="3199" t="s">
        <v>3331</v>
      </c>
      <c r="E14" s="3201">
        <v>212.19</v>
      </c>
      <c r="F14" s="3202">
        <v>36</v>
      </c>
      <c r="G14" s="3203">
        <v>43374</v>
      </c>
      <c r="H14" s="3203">
        <v>44469</v>
      </c>
      <c r="I14" s="3199" t="s">
        <v>3376</v>
      </c>
      <c r="J14" s="3204"/>
      <c r="K14" s="3204" t="s">
        <v>3346</v>
      </c>
      <c r="L14" s="3205">
        <f t="shared" si="6"/>
        <v>5.4750003927297861</v>
      </c>
      <c r="M14" s="3204">
        <v>34852.21</v>
      </c>
      <c r="N14" s="3204">
        <v>104556.63</v>
      </c>
      <c r="O14" s="3204">
        <v>104556.63</v>
      </c>
      <c r="P14" s="3204">
        <v>0</v>
      </c>
      <c r="Q14" s="3203">
        <v>43524</v>
      </c>
      <c r="R14" s="3204">
        <v>104556.63</v>
      </c>
      <c r="S14" s="3203">
        <v>43339</v>
      </c>
      <c r="T14" s="3201" t="s">
        <v>3377</v>
      </c>
      <c r="U14" s="3201"/>
      <c r="V14" s="3201"/>
      <c r="W14" s="3201"/>
      <c r="X14" s="3206">
        <f t="shared" si="2"/>
        <v>104556.63</v>
      </c>
      <c r="Y14" s="3207"/>
      <c r="Z14" s="3207"/>
      <c r="AA14" s="3207"/>
      <c r="AB14" s="3207"/>
      <c r="AC14" s="3207"/>
      <c r="AD14" s="3207"/>
      <c r="AE14" s="3207"/>
      <c r="AF14" s="3204">
        <v>104556.63</v>
      </c>
      <c r="AG14" s="3207"/>
      <c r="AH14" s="3207"/>
      <c r="AI14" s="3207"/>
      <c r="AJ14" s="3207"/>
      <c r="AK14" s="3208">
        <f t="shared" si="4"/>
        <v>104556.63</v>
      </c>
      <c r="AL14" s="3208"/>
      <c r="AM14" s="3208"/>
      <c r="AN14" s="3208"/>
      <c r="AO14" s="3208"/>
      <c r="AP14" s="3208"/>
      <c r="AQ14" s="3208"/>
      <c r="AR14" s="3208"/>
      <c r="AS14" s="3208"/>
      <c r="AT14" s="3208"/>
      <c r="AU14" s="3208"/>
      <c r="AV14" s="3208"/>
      <c r="AW14" s="3208"/>
      <c r="AX14" s="3208">
        <f t="shared" si="3"/>
        <v>0</v>
      </c>
      <c r="AY14" s="3207"/>
      <c r="AZ14" s="3204"/>
      <c r="BA14" s="3207"/>
      <c r="BB14" s="3207"/>
      <c r="BC14" s="3207"/>
      <c r="BD14" s="3207"/>
      <c r="BE14" s="3207"/>
      <c r="BF14" s="3207"/>
      <c r="BG14" s="3207"/>
      <c r="BH14" s="3207"/>
      <c r="BI14" s="3207"/>
      <c r="BJ14" s="3207">
        <f>R14/3/1.1</f>
        <v>31683.827272727271</v>
      </c>
      <c r="BK14" s="3207"/>
      <c r="BL14" s="3209">
        <f t="shared" si="5"/>
        <v>31683.827272727271</v>
      </c>
      <c r="BM14" s="3210"/>
      <c r="BN14" s="3210"/>
      <c r="BO14" s="3210"/>
      <c r="BP14" s="3210"/>
      <c r="BQ14" s="3210"/>
      <c r="BR14" s="3210"/>
      <c r="BS14" s="3210"/>
      <c r="BT14" s="3210"/>
      <c r="BU14" s="3210"/>
      <c r="BV14" s="3210"/>
      <c r="BW14" s="3210"/>
      <c r="BX14" s="3210"/>
      <c r="BY14" s="3211"/>
    </row>
    <row r="15" spans="1:77" s="3212" customFormat="1" ht="14.25">
      <c r="A15" s="3198">
        <v>35</v>
      </c>
      <c r="B15" s="3199" t="s">
        <v>3378</v>
      </c>
      <c r="C15" s="3200">
        <v>1604</v>
      </c>
      <c r="D15" s="3199" t="s">
        <v>3331</v>
      </c>
      <c r="E15" s="3201">
        <v>169.77</v>
      </c>
      <c r="F15" s="3202">
        <v>36</v>
      </c>
      <c r="G15" s="3203">
        <v>43344</v>
      </c>
      <c r="H15" s="3203">
        <v>44439</v>
      </c>
      <c r="I15" s="3199" t="s">
        <v>3379</v>
      </c>
      <c r="J15" s="3204"/>
      <c r="K15" s="3204" t="s">
        <v>3346</v>
      </c>
      <c r="L15" s="3205">
        <f t="shared" si="6"/>
        <v>5.170833087903242</v>
      </c>
      <c r="M15" s="3204">
        <v>26335.57</v>
      </c>
      <c r="N15" s="3204">
        <v>79006.710000000006</v>
      </c>
      <c r="O15" s="3204">
        <v>79006.710000000006</v>
      </c>
      <c r="P15" s="3204">
        <v>0</v>
      </c>
      <c r="Q15" s="3203">
        <v>43524</v>
      </c>
      <c r="R15" s="3204">
        <v>79006.710000000006</v>
      </c>
      <c r="S15" s="3203">
        <v>43314</v>
      </c>
      <c r="T15" s="3201" t="s">
        <v>3380</v>
      </c>
      <c r="U15" s="3201"/>
      <c r="V15" s="3201"/>
      <c r="W15" s="3201"/>
      <c r="X15" s="3206">
        <f t="shared" si="2"/>
        <v>79006.710000000006</v>
      </c>
      <c r="Y15" s="3207"/>
      <c r="Z15" s="3207"/>
      <c r="AA15" s="3207"/>
      <c r="AB15" s="3207"/>
      <c r="AC15" s="3207"/>
      <c r="AD15" s="3207"/>
      <c r="AE15" s="3207"/>
      <c r="AF15" s="3204">
        <v>79006.710000000006</v>
      </c>
      <c r="AG15" s="3207"/>
      <c r="AH15" s="3207"/>
      <c r="AI15" s="3207"/>
      <c r="AJ15" s="3207"/>
      <c r="AK15" s="3208">
        <f t="shared" si="4"/>
        <v>79006.710000000006</v>
      </c>
      <c r="AL15" s="3208"/>
      <c r="AM15" s="3208"/>
      <c r="AN15" s="3208">
        <v>79006.710000000006</v>
      </c>
      <c r="AO15" s="3208"/>
      <c r="AP15" s="3208"/>
      <c r="AQ15" s="3208"/>
      <c r="AR15" s="3208"/>
      <c r="AS15" s="3208"/>
      <c r="AT15" s="3208"/>
      <c r="AU15" s="3208"/>
      <c r="AV15" s="3208"/>
      <c r="AW15" s="3208"/>
      <c r="AX15" s="3208">
        <f t="shared" si="3"/>
        <v>79006.710000000006</v>
      </c>
      <c r="AY15" s="3207"/>
      <c r="AZ15" s="3204"/>
      <c r="BA15" s="3207"/>
      <c r="BB15" s="3207"/>
      <c r="BC15" s="3207"/>
      <c r="BD15" s="3207"/>
      <c r="BE15" s="3207"/>
      <c r="BF15" s="3207"/>
      <c r="BG15" s="3207"/>
      <c r="BH15" s="3207"/>
      <c r="BI15" s="3207"/>
      <c r="BJ15" s="3207">
        <f>R15/3/1.1</f>
        <v>23941.427272727273</v>
      </c>
      <c r="BK15" s="3207" t="s">
        <v>3381</v>
      </c>
      <c r="BL15" s="3209">
        <f t="shared" si="5"/>
        <v>23941.427272727273</v>
      </c>
      <c r="BM15" s="3213">
        <f>BJ15</f>
        <v>23941.427272727273</v>
      </c>
      <c r="BN15" s="3213">
        <f>BM15</f>
        <v>23941.427272727273</v>
      </c>
      <c r="BO15" s="3210"/>
      <c r="BP15" s="3210"/>
      <c r="BQ15" s="3210"/>
      <c r="BR15" s="3210"/>
      <c r="BS15" s="3210"/>
      <c r="BT15" s="3210"/>
      <c r="BU15" s="3210"/>
      <c r="BV15" s="3210"/>
      <c r="BW15" s="3210"/>
      <c r="BX15" s="3210"/>
      <c r="BY15" s="3211"/>
    </row>
    <row r="16" spans="1:77" s="3212" customFormat="1" ht="14.25">
      <c r="A16" s="3198">
        <v>36</v>
      </c>
      <c r="B16" s="3199" t="s">
        <v>3382</v>
      </c>
      <c r="C16" s="3200">
        <v>1605</v>
      </c>
      <c r="D16" s="3199" t="s">
        <v>3331</v>
      </c>
      <c r="E16" s="3201">
        <v>244.49</v>
      </c>
      <c r="F16" s="3202">
        <v>24</v>
      </c>
      <c r="G16" s="3203" t="s">
        <v>3383</v>
      </c>
      <c r="H16" s="3203" t="s">
        <v>3384</v>
      </c>
      <c r="I16" s="3199" t="s">
        <v>3385</v>
      </c>
      <c r="J16" s="3204"/>
      <c r="K16" s="3204" t="s">
        <v>3346</v>
      </c>
      <c r="L16" s="3205">
        <f t="shared" si="6"/>
        <v>4.8666666666666663</v>
      </c>
      <c r="M16" s="3204">
        <v>35695.54</v>
      </c>
      <c r="N16" s="3204">
        <v>107086.62</v>
      </c>
      <c r="O16" s="3204">
        <v>107086.62</v>
      </c>
      <c r="P16" s="3204">
        <v>0</v>
      </c>
      <c r="Q16" s="3203">
        <v>43488</v>
      </c>
      <c r="R16" s="3204">
        <v>107086.62</v>
      </c>
      <c r="S16" s="3203">
        <v>43339</v>
      </c>
      <c r="T16" s="3201" t="s">
        <v>3386</v>
      </c>
      <c r="U16" s="3201"/>
      <c r="V16" s="3201"/>
      <c r="W16" s="3201"/>
      <c r="X16" s="3206">
        <f t="shared" si="2"/>
        <v>107086.62</v>
      </c>
      <c r="Y16" s="3207"/>
      <c r="Z16" s="3207"/>
      <c r="AA16" s="3207"/>
      <c r="AB16" s="3207"/>
      <c r="AC16" s="3207"/>
      <c r="AD16" s="3207"/>
      <c r="AE16" s="3207"/>
      <c r="AF16" s="3204">
        <v>107086.62</v>
      </c>
      <c r="AG16" s="3207"/>
      <c r="AH16" s="3207"/>
      <c r="AI16" s="3207"/>
      <c r="AJ16" s="3207"/>
      <c r="AK16" s="3208">
        <f t="shared" si="4"/>
        <v>107086.62</v>
      </c>
      <c r="AL16" s="3208"/>
      <c r="AM16" s="3208">
        <v>107086.62</v>
      </c>
      <c r="AN16" s="3208"/>
      <c r="AO16" s="3208"/>
      <c r="AP16" s="3208"/>
      <c r="AQ16" s="3208"/>
      <c r="AR16" s="3208"/>
      <c r="AS16" s="3208"/>
      <c r="AT16" s="3208"/>
      <c r="AU16" s="3208"/>
      <c r="AV16" s="3208"/>
      <c r="AW16" s="3208"/>
      <c r="AX16" s="3208">
        <f t="shared" si="3"/>
        <v>107086.62</v>
      </c>
      <c r="AY16" s="3207"/>
      <c r="AZ16" s="3204"/>
      <c r="BA16" s="3207"/>
      <c r="BB16" s="3207"/>
      <c r="BC16" s="3207"/>
      <c r="BD16" s="3207"/>
      <c r="BE16" s="3207"/>
      <c r="BF16" s="3207"/>
      <c r="BG16" s="3207"/>
      <c r="BH16" s="3207"/>
      <c r="BI16" s="3207">
        <f>R16/3/1.1</f>
        <v>32450.490909090906</v>
      </c>
      <c r="BJ16" s="3214">
        <f>BI16</f>
        <v>32450.490909090906</v>
      </c>
      <c r="BK16" s="3214" t="s">
        <v>3387</v>
      </c>
      <c r="BL16" s="3209">
        <f t="shared" si="5"/>
        <v>64900.981818181812</v>
      </c>
      <c r="BM16" s="3213">
        <f>BJ16</f>
        <v>32450.490909090906</v>
      </c>
      <c r="BN16" s="3210"/>
      <c r="BO16" s="3210"/>
      <c r="BP16" s="3210"/>
      <c r="BQ16" s="3210"/>
      <c r="BR16" s="3210"/>
      <c r="BS16" s="3210"/>
      <c r="BT16" s="3210"/>
      <c r="BU16" s="3210"/>
      <c r="BV16" s="3210"/>
      <c r="BW16" s="3210"/>
      <c r="BX16" s="3210"/>
      <c r="BY16" s="3211"/>
    </row>
    <row r="17" spans="1:77" s="3212" customFormat="1" ht="14.25">
      <c r="A17" s="3198">
        <v>39</v>
      </c>
      <c r="B17" s="3199" t="s">
        <v>3388</v>
      </c>
      <c r="C17" s="3200">
        <v>1608</v>
      </c>
      <c r="D17" s="3199" t="s">
        <v>3331</v>
      </c>
      <c r="E17" s="3201">
        <v>159.5</v>
      </c>
      <c r="F17" s="3202">
        <v>24</v>
      </c>
      <c r="G17" s="3203">
        <v>43344</v>
      </c>
      <c r="H17" s="3203">
        <v>44074</v>
      </c>
      <c r="I17" s="3199" t="s">
        <v>3389</v>
      </c>
      <c r="J17" s="3204"/>
      <c r="K17" s="3204" t="s">
        <v>3390</v>
      </c>
      <c r="L17" s="3205">
        <f t="shared" si="6"/>
        <v>5.2722215256008367</v>
      </c>
      <c r="M17" s="3204">
        <v>25227.58</v>
      </c>
      <c r="N17" s="3204">
        <v>75682.740000000005</v>
      </c>
      <c r="O17" s="3204">
        <v>75682.740000000005</v>
      </c>
      <c r="P17" s="3204">
        <v>0</v>
      </c>
      <c r="Q17" s="3203">
        <v>43496</v>
      </c>
      <c r="R17" s="3204">
        <v>75682.740000000005</v>
      </c>
      <c r="S17" s="3203">
        <v>43288</v>
      </c>
      <c r="T17" s="3201" t="s">
        <v>3391</v>
      </c>
      <c r="U17" s="3201"/>
      <c r="V17" s="3201"/>
      <c r="W17" s="3201"/>
      <c r="X17" s="3206">
        <f t="shared" si="2"/>
        <v>75682.740000000005</v>
      </c>
      <c r="Y17" s="3207"/>
      <c r="Z17" s="3207"/>
      <c r="AA17" s="3207"/>
      <c r="AB17" s="3207"/>
      <c r="AC17" s="3207"/>
      <c r="AD17" s="3207"/>
      <c r="AE17" s="3204">
        <v>75682.740000000005</v>
      </c>
      <c r="AF17" s="3207"/>
      <c r="AG17" s="3207"/>
      <c r="AH17" s="3207"/>
      <c r="AI17" s="3207"/>
      <c r="AJ17" s="3207"/>
      <c r="AK17" s="3208">
        <f t="shared" si="4"/>
        <v>75682.740000000005</v>
      </c>
      <c r="AL17" s="3208"/>
      <c r="AM17" s="3208"/>
      <c r="AN17" s="3208"/>
      <c r="AO17" s="3208"/>
      <c r="AP17" s="3208"/>
      <c r="AQ17" s="3208"/>
      <c r="AR17" s="3208"/>
      <c r="AS17" s="3208"/>
      <c r="AT17" s="3208"/>
      <c r="AU17" s="3208"/>
      <c r="AV17" s="3208"/>
      <c r="AW17" s="3208"/>
      <c r="AX17" s="3208">
        <f t="shared" si="3"/>
        <v>0</v>
      </c>
      <c r="AY17" s="3207"/>
      <c r="AZ17" s="3207"/>
      <c r="BA17" s="3207"/>
      <c r="BB17" s="3207"/>
      <c r="BC17" s="3207"/>
      <c r="BD17" s="3207"/>
      <c r="BE17" s="3207"/>
      <c r="BF17" s="3207"/>
      <c r="BG17" s="3207"/>
      <c r="BH17" s="3207"/>
      <c r="BI17" s="3207">
        <f>R17/3/1.1</f>
        <v>22934.163636363635</v>
      </c>
      <c r="BJ17" s="3207">
        <f>BI17</f>
        <v>22934.163636363635</v>
      </c>
      <c r="BK17" s="3207"/>
      <c r="BL17" s="3209">
        <f t="shared" si="5"/>
        <v>45868.327272727271</v>
      </c>
      <c r="BM17" s="3213">
        <f>BJ17</f>
        <v>22934.163636363635</v>
      </c>
      <c r="BN17" s="3210"/>
      <c r="BO17" s="3210"/>
      <c r="BP17" s="3210"/>
      <c r="BQ17" s="3210"/>
      <c r="BR17" s="3210"/>
      <c r="BS17" s="3210"/>
      <c r="BT17" s="3210"/>
      <c r="BU17" s="3210"/>
      <c r="BV17" s="3210"/>
      <c r="BW17" s="3210"/>
      <c r="BX17" s="3210"/>
      <c r="BY17" s="3211"/>
    </row>
    <row r="18" spans="1:77" s="3212" customFormat="1" ht="14.25">
      <c r="A18" s="3198">
        <v>40</v>
      </c>
      <c r="B18" s="3199" t="s">
        <v>3392</v>
      </c>
      <c r="C18" s="3200" t="s">
        <v>3393</v>
      </c>
      <c r="D18" s="3609" t="s">
        <v>3394</v>
      </c>
      <c r="E18" s="3596">
        <v>554.20000000000005</v>
      </c>
      <c r="F18" s="3620">
        <v>36</v>
      </c>
      <c r="G18" s="3607">
        <v>43461</v>
      </c>
      <c r="H18" s="3607">
        <v>44556</v>
      </c>
      <c r="I18" s="3609" t="s">
        <v>3395</v>
      </c>
      <c r="J18" s="3596"/>
      <c r="K18" s="3596" t="s">
        <v>3370</v>
      </c>
      <c r="L18" s="3610">
        <f t="shared" si="6"/>
        <v>4.7652778780223741</v>
      </c>
      <c r="M18" s="3595">
        <v>79227.509999999995</v>
      </c>
      <c r="N18" s="3595">
        <v>237682.53</v>
      </c>
      <c r="O18" s="3595">
        <v>237682.53</v>
      </c>
      <c r="P18" s="3595">
        <v>0</v>
      </c>
      <c r="Q18" s="3606">
        <v>43642</v>
      </c>
      <c r="R18" s="3593">
        <v>237682.53</v>
      </c>
      <c r="S18" s="3607">
        <v>43372</v>
      </c>
      <c r="T18" s="3596" t="s">
        <v>3396</v>
      </c>
      <c r="U18" s="3201"/>
      <c r="V18" s="3201"/>
      <c r="W18" s="3201"/>
      <c r="X18" s="3598">
        <f t="shared" si="2"/>
        <v>237682.53</v>
      </c>
      <c r="Y18" s="3596"/>
      <c r="Z18" s="3596"/>
      <c r="AA18" s="3596"/>
      <c r="AB18" s="3596"/>
      <c r="AC18" s="3596"/>
      <c r="AD18" s="3596"/>
      <c r="AE18" s="3596"/>
      <c r="AF18" s="3596"/>
      <c r="AG18" s="3596">
        <v>237682.53</v>
      </c>
      <c r="AH18" s="3596"/>
      <c r="AI18" s="3596"/>
      <c r="AJ18" s="3596"/>
      <c r="AK18" s="3597">
        <f>SUM(Y18:AJ19)</f>
        <v>237682.53</v>
      </c>
      <c r="AL18" s="3208"/>
      <c r="AM18" s="3208"/>
      <c r="AN18" s="3208"/>
      <c r="AO18" s="3208"/>
      <c r="AP18" s="3208"/>
      <c r="AQ18" s="3208"/>
      <c r="AR18" s="3208"/>
      <c r="AS18" s="3208"/>
      <c r="AT18" s="3208"/>
      <c r="AU18" s="3208"/>
      <c r="AV18" s="3208"/>
      <c r="AW18" s="3208"/>
      <c r="AX18" s="3208">
        <f t="shared" si="3"/>
        <v>0</v>
      </c>
      <c r="AY18" s="3595"/>
      <c r="AZ18" s="3595"/>
      <c r="BA18" s="3595"/>
      <c r="BB18" s="3595"/>
      <c r="BC18" s="3595"/>
      <c r="BD18" s="3595"/>
      <c r="BE18" s="3595"/>
      <c r="BF18" s="3595"/>
      <c r="BG18" s="3595"/>
      <c r="BH18" s="3595"/>
      <c r="BI18" s="3595"/>
      <c r="BJ18" s="3595"/>
      <c r="BK18" s="3204"/>
      <c r="BL18" s="3600">
        <f>SUM(AY18:BJ19)</f>
        <v>0</v>
      </c>
      <c r="BM18" s="3593"/>
      <c r="BN18" s="3593"/>
      <c r="BO18" s="3593"/>
      <c r="BP18" s="3593">
        <f>AK18/3/1.1</f>
        <v>72025.00909090908</v>
      </c>
      <c r="BQ18" s="3593">
        <f>BP18</f>
        <v>72025.00909090908</v>
      </c>
      <c r="BR18" s="3593">
        <f>BQ18</f>
        <v>72025.00909090908</v>
      </c>
      <c r="BS18" s="3593"/>
      <c r="BT18" s="3593"/>
      <c r="BU18" s="3593"/>
      <c r="BV18" s="3593"/>
      <c r="BW18" s="3593"/>
      <c r="BX18" s="3593"/>
      <c r="BY18" s="3600">
        <f>SUM(BM18:BX19)</f>
        <v>216075.02727272722</v>
      </c>
    </row>
    <row r="19" spans="1:77" s="3215" customFormat="1" ht="14.25">
      <c r="A19" s="3198">
        <v>41</v>
      </c>
      <c r="B19" s="3199" t="s">
        <v>3392</v>
      </c>
      <c r="C19" s="3200">
        <v>1708</v>
      </c>
      <c r="D19" s="3609"/>
      <c r="E19" s="3596"/>
      <c r="F19" s="3620"/>
      <c r="G19" s="3608"/>
      <c r="H19" s="3608"/>
      <c r="I19" s="3609"/>
      <c r="J19" s="3596"/>
      <c r="K19" s="3596"/>
      <c r="L19" s="3610" t="e">
        <f t="shared" si="6"/>
        <v>#DIV/0!</v>
      </c>
      <c r="M19" s="3595"/>
      <c r="N19" s="3595"/>
      <c r="O19" s="3595"/>
      <c r="P19" s="3595"/>
      <c r="Q19" s="3606"/>
      <c r="R19" s="3594"/>
      <c r="S19" s="3608"/>
      <c r="T19" s="3596"/>
      <c r="U19" s="3201"/>
      <c r="V19" s="3201"/>
      <c r="W19" s="3201"/>
      <c r="X19" s="3599"/>
      <c r="Y19" s="3596"/>
      <c r="Z19" s="3596"/>
      <c r="AA19" s="3596"/>
      <c r="AB19" s="3596"/>
      <c r="AC19" s="3596"/>
      <c r="AD19" s="3596"/>
      <c r="AE19" s="3596"/>
      <c r="AF19" s="3596"/>
      <c r="AG19" s="3596"/>
      <c r="AH19" s="3596"/>
      <c r="AI19" s="3596"/>
      <c r="AJ19" s="3596"/>
      <c r="AK19" s="3597"/>
      <c r="AL19" s="3208"/>
      <c r="AM19" s="3208"/>
      <c r="AN19" s="3208"/>
      <c r="AO19" s="3208"/>
      <c r="AP19" s="3208"/>
      <c r="AQ19" s="3208"/>
      <c r="AR19" s="3208"/>
      <c r="AS19" s="3208"/>
      <c r="AT19" s="3208"/>
      <c r="AU19" s="3208"/>
      <c r="AV19" s="3208"/>
      <c r="AW19" s="3208"/>
      <c r="AX19" s="3208">
        <f t="shared" si="3"/>
        <v>0</v>
      </c>
      <c r="AY19" s="3595"/>
      <c r="AZ19" s="3595"/>
      <c r="BA19" s="3595"/>
      <c r="BB19" s="3595"/>
      <c r="BC19" s="3595"/>
      <c r="BD19" s="3595"/>
      <c r="BE19" s="3595"/>
      <c r="BF19" s="3595"/>
      <c r="BG19" s="3595"/>
      <c r="BH19" s="3595"/>
      <c r="BI19" s="3595"/>
      <c r="BJ19" s="3595"/>
      <c r="BK19" s="3204"/>
      <c r="BL19" s="3601"/>
      <c r="BM19" s="3594"/>
      <c r="BN19" s="3594"/>
      <c r="BO19" s="3594"/>
      <c r="BP19" s="3594"/>
      <c r="BQ19" s="3594"/>
      <c r="BR19" s="3594"/>
      <c r="BS19" s="3594"/>
      <c r="BT19" s="3594"/>
      <c r="BU19" s="3594"/>
      <c r="BV19" s="3594"/>
      <c r="BW19" s="3594"/>
      <c r="BX19" s="3594"/>
      <c r="BY19" s="3601"/>
    </row>
    <row r="20" spans="1:77" s="3215" customFormat="1" ht="14.25">
      <c r="A20" s="3198">
        <v>42</v>
      </c>
      <c r="B20" s="3216" t="s">
        <v>3397</v>
      </c>
      <c r="C20" s="3200">
        <v>1702</v>
      </c>
      <c r="D20" s="3199" t="s">
        <v>3398</v>
      </c>
      <c r="E20" s="3201">
        <v>276.3</v>
      </c>
      <c r="F20" s="3202">
        <v>24</v>
      </c>
      <c r="G20" s="3203">
        <v>43525</v>
      </c>
      <c r="H20" s="3203">
        <v>44255</v>
      </c>
      <c r="I20" s="3199" t="s">
        <v>3399</v>
      </c>
      <c r="J20" s="3217"/>
      <c r="K20" s="3204" t="s">
        <v>3400</v>
      </c>
      <c r="L20" s="3205">
        <f t="shared" si="6"/>
        <v>5.0694450476535158</v>
      </c>
      <c r="M20" s="3204">
        <v>42020.63</v>
      </c>
      <c r="N20" s="3204">
        <v>126061.89</v>
      </c>
      <c r="O20" s="3204">
        <v>126061.89</v>
      </c>
      <c r="P20" s="3204"/>
      <c r="Q20" s="3203">
        <v>43677</v>
      </c>
      <c r="R20" s="3204">
        <v>126061.89</v>
      </c>
      <c r="S20" s="3203">
        <v>43461</v>
      </c>
      <c r="T20" s="3201" t="s">
        <v>3401</v>
      </c>
      <c r="U20" s="3217"/>
      <c r="V20" s="3217"/>
      <c r="W20" s="3217"/>
      <c r="X20" s="3206">
        <f t="shared" si="2"/>
        <v>126061.89</v>
      </c>
      <c r="Y20" s="3218"/>
      <c r="Z20" s="3218"/>
      <c r="AA20" s="3218"/>
      <c r="AB20" s="3218"/>
      <c r="AC20" s="3218"/>
      <c r="AD20" s="3218"/>
      <c r="AE20" s="3218"/>
      <c r="AF20" s="3218"/>
      <c r="AG20" s="3218"/>
      <c r="AH20" s="3218"/>
      <c r="AI20" s="3218"/>
      <c r="AJ20" s="3218"/>
      <c r="AK20" s="3208">
        <f t="shared" ref="AK20:AK25" si="9">SUM(Y20:AJ20)</f>
        <v>0</v>
      </c>
      <c r="AL20" s="3208"/>
      <c r="AM20" s="3208"/>
      <c r="AN20" s="3208"/>
      <c r="AO20" s="3208"/>
      <c r="AP20" s="3208"/>
      <c r="AQ20" s="3208"/>
      <c r="AR20" s="3208"/>
      <c r="AS20" s="3208"/>
      <c r="AT20" s="3208"/>
      <c r="AU20" s="3208"/>
      <c r="AV20" s="3208"/>
      <c r="AW20" s="3208"/>
      <c r="AX20" s="3208">
        <f t="shared" si="3"/>
        <v>0</v>
      </c>
      <c r="AY20" s="3219"/>
      <c r="AZ20" s="3219"/>
      <c r="BA20" s="3219"/>
      <c r="BB20" s="3219"/>
      <c r="BC20" s="3219"/>
      <c r="BD20" s="3219"/>
      <c r="BE20" s="3219"/>
      <c r="BF20" s="3219"/>
      <c r="BG20" s="3219"/>
      <c r="BH20" s="3219"/>
      <c r="BI20" s="3219"/>
      <c r="BJ20" s="3219"/>
      <c r="BK20" s="3219"/>
      <c r="BL20" s="3209">
        <f>SUM(AY20:BJ20)</f>
        <v>0</v>
      </c>
      <c r="BM20" s="3217"/>
      <c r="BN20" s="3217"/>
      <c r="BO20" s="3217"/>
      <c r="BP20" s="3217"/>
      <c r="BQ20" s="3217"/>
      <c r="BR20" s="3217"/>
      <c r="BS20" s="3217"/>
      <c r="BT20" s="3217"/>
      <c r="BU20" s="3217"/>
      <c r="BV20" s="3217"/>
      <c r="BW20" s="3217"/>
      <c r="BX20" s="3217"/>
      <c r="BY20" s="3220"/>
    </row>
    <row r="21" spans="1:77" s="3212" customFormat="1" ht="14.25">
      <c r="A21" s="3198">
        <v>43</v>
      </c>
      <c r="B21" s="3199" t="s">
        <v>3402</v>
      </c>
      <c r="C21" s="3200">
        <v>1703</v>
      </c>
      <c r="D21" s="3199" t="s">
        <v>3331</v>
      </c>
      <c r="E21" s="3201">
        <v>213.49</v>
      </c>
      <c r="F21" s="3202">
        <v>36</v>
      </c>
      <c r="G21" s="3203">
        <v>43435</v>
      </c>
      <c r="H21" s="3203">
        <v>44530</v>
      </c>
      <c r="I21" s="3199" t="s">
        <v>3403</v>
      </c>
      <c r="J21" s="3204"/>
      <c r="K21" s="3204" t="s">
        <v>3400</v>
      </c>
      <c r="L21" s="3205">
        <f t="shared" si="6"/>
        <v>4.9680562711758549</v>
      </c>
      <c r="M21" s="3204">
        <v>31818.91</v>
      </c>
      <c r="N21" s="3204">
        <v>95456.73</v>
      </c>
      <c r="O21" s="3204">
        <v>95456.73</v>
      </c>
      <c r="P21" s="3204"/>
      <c r="Q21" s="3203">
        <v>43616</v>
      </c>
      <c r="R21" s="3204">
        <v>95456.73</v>
      </c>
      <c r="S21" s="3203">
        <v>43390</v>
      </c>
      <c r="T21" s="3201" t="s">
        <v>3404</v>
      </c>
      <c r="U21" s="3201"/>
      <c r="V21" s="3201"/>
      <c r="W21" s="3201"/>
      <c r="X21" s="3206">
        <f t="shared" si="2"/>
        <v>95456.73</v>
      </c>
      <c r="Y21" s="3207"/>
      <c r="Z21" s="3207"/>
      <c r="AA21" s="3207"/>
      <c r="AB21" s="3207"/>
      <c r="AC21" s="3207"/>
      <c r="AD21" s="3207"/>
      <c r="AE21" s="3207"/>
      <c r="AF21" s="3207"/>
      <c r="AG21" s="3207"/>
      <c r="AH21" s="3204">
        <v>95456.73</v>
      </c>
      <c r="AI21" s="3207"/>
      <c r="AJ21" s="3207"/>
      <c r="AK21" s="3208">
        <f t="shared" si="9"/>
        <v>95456.73</v>
      </c>
      <c r="AL21" s="3208"/>
      <c r="AM21" s="3208"/>
      <c r="AN21" s="3208"/>
      <c r="AO21" s="3208"/>
      <c r="AP21" s="3208"/>
      <c r="AQ21" s="3208"/>
      <c r="AR21" s="3208"/>
      <c r="AS21" s="3208"/>
      <c r="AT21" s="3208"/>
      <c r="AU21" s="3208"/>
      <c r="AV21" s="3208"/>
      <c r="AW21" s="3208"/>
      <c r="AX21" s="3208">
        <f t="shared" si="3"/>
        <v>0</v>
      </c>
      <c r="AY21" s="3207"/>
      <c r="AZ21" s="3207"/>
      <c r="BA21" s="3207"/>
      <c r="BB21" s="3207"/>
      <c r="BC21" s="3207"/>
      <c r="BD21" s="3204"/>
      <c r="BE21" s="3207"/>
      <c r="BF21" s="3207"/>
      <c r="BG21" s="3207"/>
      <c r="BH21" s="3207"/>
      <c r="BI21" s="3207"/>
      <c r="BJ21" s="3207"/>
      <c r="BK21" s="3207"/>
      <c r="BL21" s="3209">
        <f t="shared" ref="BL21:BL25" si="10">SUM(AY21:BJ21)</f>
        <v>0</v>
      </c>
      <c r="BM21" s="3210"/>
      <c r="BN21" s="3210"/>
      <c r="BO21" s="3213">
        <f>AK21/3/1.1</f>
        <v>28926.281818181815</v>
      </c>
      <c r="BP21" s="3213">
        <f>BO21</f>
        <v>28926.281818181815</v>
      </c>
      <c r="BQ21" s="3213">
        <f>BP21</f>
        <v>28926.281818181815</v>
      </c>
      <c r="BR21" s="3210"/>
      <c r="BS21" s="3210"/>
      <c r="BT21" s="3210"/>
      <c r="BU21" s="3210"/>
      <c r="BV21" s="3210"/>
      <c r="BW21" s="3210"/>
      <c r="BX21" s="3210"/>
      <c r="BY21" s="3209">
        <f>SUBTOTAL(9,BM21:BX21)</f>
        <v>86778.845454545444</v>
      </c>
    </row>
    <row r="22" spans="1:77" ht="14.25" hidden="1">
      <c r="A22" s="3104">
        <v>56</v>
      </c>
      <c r="B22" s="3148" t="s">
        <v>3405</v>
      </c>
      <c r="C22" s="3106">
        <v>1901</v>
      </c>
      <c r="D22" s="3124" t="s">
        <v>3406</v>
      </c>
      <c r="E22" s="3108">
        <v>524.89</v>
      </c>
      <c r="F22" s="3149"/>
      <c r="G22" s="3110"/>
      <c r="H22" s="3110"/>
      <c r="I22" s="3148"/>
      <c r="J22" s="3149"/>
      <c r="K22" s="3153"/>
      <c r="L22" s="3127">
        <f t="shared" si="6"/>
        <v>0</v>
      </c>
      <c r="M22" s="3153"/>
      <c r="N22" s="3149"/>
      <c r="O22" s="3149"/>
      <c r="P22" s="3602">
        <v>100000</v>
      </c>
      <c r="Q22" s="3149"/>
      <c r="R22" s="3149"/>
      <c r="S22" s="3110"/>
      <c r="T22" s="3149"/>
      <c r="U22" s="3149"/>
      <c r="V22" s="3149"/>
      <c r="W22" s="3149"/>
      <c r="X22" s="3114">
        <f t="shared" si="2"/>
        <v>0</v>
      </c>
      <c r="Y22" s="3150"/>
      <c r="Z22" s="3150"/>
      <c r="AA22" s="3150"/>
      <c r="AB22" s="3150"/>
      <c r="AC22" s="3150"/>
      <c r="AD22" s="3150"/>
      <c r="AE22" s="3150"/>
      <c r="AF22" s="3150"/>
      <c r="AG22" s="3150"/>
      <c r="AH22" s="3150"/>
      <c r="AI22" s="3150"/>
      <c r="AJ22" s="3150"/>
      <c r="AK22" s="3116">
        <f t="shared" si="9"/>
        <v>0</v>
      </c>
      <c r="AL22" s="3116"/>
      <c r="AM22" s="3116"/>
      <c r="AN22" s="3116"/>
      <c r="AO22" s="3116"/>
      <c r="AP22" s="3116"/>
      <c r="AQ22" s="3116"/>
      <c r="AR22" s="3116"/>
      <c r="AS22" s="3116"/>
      <c r="AT22" s="3116"/>
      <c r="AU22" s="3116"/>
      <c r="AV22" s="3116"/>
      <c r="AW22" s="3116"/>
      <c r="AX22" s="3116">
        <f t="shared" si="3"/>
        <v>0</v>
      </c>
      <c r="AY22" s="3151"/>
      <c r="AZ22" s="3151"/>
      <c r="BA22" s="3151"/>
      <c r="BB22" s="3151"/>
      <c r="BC22" s="3151"/>
      <c r="BD22" s="3151"/>
      <c r="BE22" s="3151"/>
      <c r="BF22" s="3151"/>
      <c r="BG22" s="3151"/>
      <c r="BH22" s="3151"/>
      <c r="BI22" s="3151"/>
      <c r="BJ22" s="3151"/>
      <c r="BK22" s="3151"/>
      <c r="BL22" s="3117">
        <f t="shared" si="10"/>
        <v>0</v>
      </c>
      <c r="BM22" s="3149"/>
      <c r="BN22" s="3149"/>
      <c r="BO22" s="3149"/>
      <c r="BP22" s="3149"/>
      <c r="BQ22" s="3149"/>
      <c r="BR22" s="3149"/>
      <c r="BS22" s="3149"/>
      <c r="BT22" s="3149"/>
      <c r="BU22" s="3149"/>
      <c r="BV22" s="3149"/>
      <c r="BW22" s="3149"/>
      <c r="BX22" s="3149"/>
      <c r="BY22" s="3152"/>
    </row>
    <row r="23" spans="1:77" ht="14.25">
      <c r="A23" s="3104">
        <v>57</v>
      </c>
      <c r="B23" s="3148" t="s">
        <v>3405</v>
      </c>
      <c r="C23" s="3106">
        <v>1902</v>
      </c>
      <c r="D23" s="3124" t="s">
        <v>3406</v>
      </c>
      <c r="E23" s="3108">
        <v>511.79</v>
      </c>
      <c r="F23" s="3149"/>
      <c r="G23" s="3110"/>
      <c r="H23" s="3110"/>
      <c r="I23" s="3148"/>
      <c r="J23" s="3149"/>
      <c r="K23" s="3153"/>
      <c r="L23" s="3127">
        <f t="shared" si="6"/>
        <v>0</v>
      </c>
      <c r="M23" s="3153"/>
      <c r="N23" s="3149"/>
      <c r="O23" s="3149"/>
      <c r="P23" s="3603"/>
      <c r="Q23" s="3149"/>
      <c r="R23" s="3149"/>
      <c r="S23" s="3110"/>
      <c r="T23" s="3149"/>
      <c r="U23" s="3149"/>
      <c r="V23" s="3149"/>
      <c r="W23" s="3149"/>
      <c r="X23" s="3114">
        <f t="shared" si="2"/>
        <v>0</v>
      </c>
      <c r="Y23" s="3150"/>
      <c r="Z23" s="3150"/>
      <c r="AA23" s="3150"/>
      <c r="AB23" s="3150"/>
      <c r="AC23" s="3150"/>
      <c r="AD23" s="3150"/>
      <c r="AE23" s="3150"/>
      <c r="AF23" s="3150"/>
      <c r="AG23" s="3150"/>
      <c r="AH23" s="3150"/>
      <c r="AI23" s="3150"/>
      <c r="AJ23" s="3150"/>
      <c r="AK23" s="3116">
        <f t="shared" si="9"/>
        <v>0</v>
      </c>
      <c r="AL23" s="3116"/>
      <c r="AM23" s="3116"/>
      <c r="AN23" s="3116"/>
      <c r="AO23" s="3116"/>
      <c r="AP23" s="3116"/>
      <c r="AQ23" s="3116"/>
      <c r="AR23" s="3116"/>
      <c r="AS23" s="3116"/>
      <c r="AT23" s="3116"/>
      <c r="AU23" s="3116"/>
      <c r="AV23" s="3116"/>
      <c r="AW23" s="3116"/>
      <c r="AX23" s="3116">
        <f t="shared" si="3"/>
        <v>0</v>
      </c>
      <c r="AY23" s="3151"/>
      <c r="AZ23" s="3151"/>
      <c r="BA23" s="3151"/>
      <c r="BB23" s="3151"/>
      <c r="BC23" s="3151"/>
      <c r="BD23" s="3151"/>
      <c r="BE23" s="3151"/>
      <c r="BF23" s="3151"/>
      <c r="BG23" s="3151"/>
      <c r="BH23" s="3151"/>
      <c r="BI23" s="3151"/>
      <c r="BJ23" s="3151"/>
      <c r="BK23" s="3151"/>
      <c r="BL23" s="3117">
        <f t="shared" si="10"/>
        <v>0</v>
      </c>
      <c r="BM23" s="3149"/>
      <c r="BN23" s="3149"/>
      <c r="BO23" s="3149"/>
      <c r="BP23" s="3149"/>
      <c r="BQ23" s="3149"/>
      <c r="BR23" s="3149"/>
      <c r="BS23" s="3149"/>
      <c r="BT23" s="3149"/>
      <c r="BU23" s="3149"/>
      <c r="BV23" s="3149"/>
      <c r="BW23" s="3149"/>
      <c r="BX23" s="3149"/>
      <c r="BY23" s="3152"/>
    </row>
    <row r="24" spans="1:77" ht="14.25">
      <c r="A24" s="3104">
        <v>58</v>
      </c>
      <c r="B24" s="3148" t="s">
        <v>3405</v>
      </c>
      <c r="C24" s="3106">
        <v>1903</v>
      </c>
      <c r="D24" s="3124" t="s">
        <v>3406</v>
      </c>
      <c r="E24" s="3108">
        <v>468.75</v>
      </c>
      <c r="F24" s="3149"/>
      <c r="G24" s="3110"/>
      <c r="H24" s="3110"/>
      <c r="I24" s="3148"/>
      <c r="J24" s="3149"/>
      <c r="K24" s="3153"/>
      <c r="L24" s="3127">
        <f t="shared" si="6"/>
        <v>0</v>
      </c>
      <c r="M24" s="3153"/>
      <c r="N24" s="3149"/>
      <c r="O24" s="3149"/>
      <c r="P24" s="3603"/>
      <c r="Q24" s="3149"/>
      <c r="R24" s="3149"/>
      <c r="S24" s="3110"/>
      <c r="T24" s="3149"/>
      <c r="U24" s="3149"/>
      <c r="V24" s="3149"/>
      <c r="W24" s="3149"/>
      <c r="X24" s="3114">
        <f t="shared" si="2"/>
        <v>0</v>
      </c>
      <c r="Y24" s="3150"/>
      <c r="Z24" s="3150"/>
      <c r="AA24" s="3150"/>
      <c r="AB24" s="3150"/>
      <c r="AC24" s="3150"/>
      <c r="AD24" s="3150"/>
      <c r="AE24" s="3150"/>
      <c r="AF24" s="3150"/>
      <c r="AG24" s="3150"/>
      <c r="AH24" s="3150"/>
      <c r="AI24" s="3150"/>
      <c r="AJ24" s="3150"/>
      <c r="AK24" s="3116">
        <f t="shared" si="9"/>
        <v>0</v>
      </c>
      <c r="AL24" s="3116"/>
      <c r="AM24" s="3116"/>
      <c r="AN24" s="3116"/>
      <c r="AO24" s="3116"/>
      <c r="AP24" s="3116"/>
      <c r="AQ24" s="3116"/>
      <c r="AR24" s="3116"/>
      <c r="AS24" s="3116"/>
      <c r="AT24" s="3116"/>
      <c r="AU24" s="3116"/>
      <c r="AV24" s="3116"/>
      <c r="AW24" s="3116"/>
      <c r="AX24" s="3116">
        <f t="shared" si="3"/>
        <v>0</v>
      </c>
      <c r="AY24" s="3151"/>
      <c r="AZ24" s="3151"/>
      <c r="BA24" s="3151"/>
      <c r="BB24" s="3151"/>
      <c r="BC24" s="3151"/>
      <c r="BD24" s="3151"/>
      <c r="BE24" s="3151"/>
      <c r="BF24" s="3151"/>
      <c r="BG24" s="3151"/>
      <c r="BH24" s="3151"/>
      <c r="BI24" s="3151"/>
      <c r="BJ24" s="3151"/>
      <c r="BK24" s="3151"/>
      <c r="BL24" s="3117">
        <f t="shared" si="10"/>
        <v>0</v>
      </c>
      <c r="BM24" s="3149"/>
      <c r="BN24" s="3149"/>
      <c r="BO24" s="3149"/>
      <c r="BP24" s="3149"/>
      <c r="BQ24" s="3149"/>
      <c r="BR24" s="3149"/>
      <c r="BS24" s="3149"/>
      <c r="BT24" s="3149"/>
      <c r="BU24" s="3149"/>
      <c r="BV24" s="3149"/>
      <c r="BW24" s="3149"/>
      <c r="BX24" s="3149"/>
      <c r="BY24" s="3152"/>
    </row>
    <row r="25" spans="1:77" ht="14.25">
      <c r="A25" s="3104">
        <v>59</v>
      </c>
      <c r="B25" s="3148" t="s">
        <v>3405</v>
      </c>
      <c r="C25" s="3106">
        <v>1904</v>
      </c>
      <c r="D25" s="3124" t="s">
        <v>3406</v>
      </c>
      <c r="E25" s="3108">
        <v>566.20000000000005</v>
      </c>
      <c r="F25" s="3149"/>
      <c r="G25" s="3110"/>
      <c r="H25" s="3110"/>
      <c r="I25" s="3148"/>
      <c r="J25" s="3149"/>
      <c r="K25" s="3153"/>
      <c r="L25" s="3127">
        <f t="shared" si="6"/>
        <v>0</v>
      </c>
      <c r="M25" s="3153"/>
      <c r="N25" s="3149"/>
      <c r="O25" s="3149"/>
      <c r="P25" s="3604"/>
      <c r="Q25" s="3149"/>
      <c r="R25" s="3149"/>
      <c r="S25" s="3110"/>
      <c r="T25" s="3149"/>
      <c r="U25" s="3149"/>
      <c r="V25" s="3149"/>
      <c r="W25" s="3149"/>
      <c r="X25" s="3114">
        <f t="shared" si="2"/>
        <v>0</v>
      </c>
      <c r="Y25" s="3150"/>
      <c r="Z25" s="3150"/>
      <c r="AA25" s="3150"/>
      <c r="AB25" s="3150"/>
      <c r="AC25" s="3150"/>
      <c r="AD25" s="3150"/>
      <c r="AE25" s="3150"/>
      <c r="AF25" s="3150"/>
      <c r="AG25" s="3150"/>
      <c r="AH25" s="3150"/>
      <c r="AI25" s="3150"/>
      <c r="AJ25" s="3150"/>
      <c r="AK25" s="3116">
        <f t="shared" si="9"/>
        <v>0</v>
      </c>
      <c r="AL25" s="3116"/>
      <c r="AM25" s="3116"/>
      <c r="AN25" s="3116"/>
      <c r="AO25" s="3116"/>
      <c r="AP25" s="3116"/>
      <c r="AQ25" s="3116"/>
      <c r="AR25" s="3116"/>
      <c r="AS25" s="3116"/>
      <c r="AT25" s="3116"/>
      <c r="AU25" s="3116"/>
      <c r="AV25" s="3116"/>
      <c r="AW25" s="3116"/>
      <c r="AX25" s="3116">
        <f t="shared" si="3"/>
        <v>0</v>
      </c>
      <c r="AY25" s="3151"/>
      <c r="AZ25" s="3151"/>
      <c r="BA25" s="3151"/>
      <c r="BB25" s="3151"/>
      <c r="BC25" s="3151"/>
      <c r="BD25" s="3151"/>
      <c r="BE25" s="3151"/>
      <c r="BF25" s="3151"/>
      <c r="BG25" s="3151"/>
      <c r="BH25" s="3151"/>
      <c r="BI25" s="3151"/>
      <c r="BJ25" s="3151"/>
      <c r="BK25" s="3151"/>
      <c r="BL25" s="3117">
        <f t="shared" si="10"/>
        <v>0</v>
      </c>
      <c r="BM25" s="3149"/>
      <c r="BN25" s="3149"/>
      <c r="BO25" s="3149"/>
      <c r="BP25" s="3149"/>
      <c r="BQ25" s="3149"/>
      <c r="BR25" s="3149"/>
      <c r="BS25" s="3149"/>
      <c r="BT25" s="3149"/>
      <c r="BU25" s="3149"/>
      <c r="BV25" s="3149"/>
      <c r="BW25" s="3149"/>
      <c r="BX25" s="3149"/>
      <c r="BY25" s="3152"/>
    </row>
    <row r="26" spans="1:77" s="3227" customFormat="1" ht="14.25">
      <c r="A26" s="3221">
        <v>121</v>
      </c>
      <c r="B26" s="3222" t="s">
        <v>3407</v>
      </c>
      <c r="C26" s="3223" t="s">
        <v>3408</v>
      </c>
      <c r="D26" s="3222" t="s">
        <v>3331</v>
      </c>
      <c r="E26" s="3584">
        <v>979.32</v>
      </c>
      <c r="F26" s="3584" t="s">
        <v>3344</v>
      </c>
      <c r="G26" s="3588">
        <v>43191</v>
      </c>
      <c r="H26" s="3588">
        <v>45016</v>
      </c>
      <c r="I26" s="3605" t="s">
        <v>3409</v>
      </c>
      <c r="J26" s="3584"/>
      <c r="K26" s="3584" t="s">
        <v>3390</v>
      </c>
      <c r="L26" s="3592">
        <f t="shared" si="6"/>
        <v>6.5902779479638935</v>
      </c>
      <c r="M26" s="3580">
        <v>193619.73</v>
      </c>
      <c r="N26" s="3580">
        <v>580859.18000000005</v>
      </c>
      <c r="O26" s="3580">
        <v>580859.18000000005</v>
      </c>
      <c r="P26" s="3580">
        <v>0</v>
      </c>
      <c r="Q26" s="3585">
        <v>43464</v>
      </c>
      <c r="R26" s="3586">
        <v>580859.18000000005</v>
      </c>
      <c r="S26" s="3588">
        <v>43131</v>
      </c>
      <c r="T26" s="3584" t="s">
        <v>3410</v>
      </c>
      <c r="U26" s="3224"/>
      <c r="V26" s="3224"/>
      <c r="W26" s="3224"/>
      <c r="X26" s="3590">
        <f t="shared" si="2"/>
        <v>580859.18000000005</v>
      </c>
      <c r="Y26" s="3584">
        <v>580859.18000000005</v>
      </c>
      <c r="Z26" s="3584"/>
      <c r="AA26" s="3584"/>
      <c r="AB26" s="3584"/>
      <c r="AC26" s="3584"/>
      <c r="AD26" s="3584"/>
      <c r="AE26" s="3584"/>
      <c r="AF26" s="3584"/>
      <c r="AG26" s="3584"/>
      <c r="AH26" s="3584"/>
      <c r="AI26" s="3584"/>
      <c r="AJ26" s="3584"/>
      <c r="AK26" s="3583">
        <f>SUM(Y26:AJ27)</f>
        <v>580859.18000000005</v>
      </c>
      <c r="AL26" s="3581">
        <v>580859.18999999994</v>
      </c>
      <c r="AM26" s="3225"/>
      <c r="AN26" s="3225"/>
      <c r="AO26" s="3225"/>
      <c r="AP26" s="3225"/>
      <c r="AQ26" s="3225"/>
      <c r="AR26" s="3225"/>
      <c r="AS26" s="3225"/>
      <c r="AT26" s="3225"/>
      <c r="AU26" s="3225"/>
      <c r="AV26" s="3225"/>
      <c r="AW26" s="3225"/>
      <c r="AX26" s="3581">
        <f t="shared" si="3"/>
        <v>580859.18999999994</v>
      </c>
      <c r="AY26" s="3580"/>
      <c r="AZ26" s="3580"/>
      <c r="BA26" s="3580"/>
      <c r="BB26" s="3580"/>
      <c r="BC26" s="3580"/>
      <c r="BD26" s="3580"/>
      <c r="BE26" s="3580"/>
      <c r="BF26" s="3580"/>
      <c r="BG26" s="3580"/>
      <c r="BH26" s="3580">
        <f>R26/3/1.1</f>
        <v>176017.93333333335</v>
      </c>
      <c r="BI26" s="3580">
        <f>BH26</f>
        <v>176017.93333333335</v>
      </c>
      <c r="BJ26" s="3580">
        <f>BI26</f>
        <v>176017.93333333335</v>
      </c>
      <c r="BK26" s="3226" t="s">
        <v>3411</v>
      </c>
      <c r="BL26" s="3581">
        <f>SUM(AY26:BJ27)</f>
        <v>528053.80000000005</v>
      </c>
      <c r="BM26" s="3576"/>
      <c r="BN26" s="3576"/>
      <c r="BO26" s="3576"/>
      <c r="BP26" s="3576"/>
      <c r="BQ26" s="3576"/>
      <c r="BR26" s="3576"/>
      <c r="BS26" s="3576"/>
      <c r="BT26" s="3576"/>
      <c r="BU26" s="3576"/>
      <c r="BV26" s="3576"/>
      <c r="BW26" s="3576"/>
      <c r="BX26" s="3576"/>
      <c r="BY26" s="3578"/>
    </row>
    <row r="27" spans="1:77" s="3228" customFormat="1" ht="14.25">
      <c r="A27" s="3221">
        <v>122</v>
      </c>
      <c r="B27" s="3222" t="s">
        <v>3407</v>
      </c>
      <c r="C27" s="3223">
        <v>3203</v>
      </c>
      <c r="D27" s="3222" t="s">
        <v>3331</v>
      </c>
      <c r="E27" s="3584"/>
      <c r="F27" s="3584"/>
      <c r="G27" s="3589"/>
      <c r="H27" s="3589"/>
      <c r="I27" s="3605"/>
      <c r="J27" s="3584"/>
      <c r="K27" s="3584"/>
      <c r="L27" s="3592"/>
      <c r="M27" s="3580"/>
      <c r="N27" s="3580"/>
      <c r="O27" s="3580"/>
      <c r="P27" s="3580"/>
      <c r="Q27" s="3585"/>
      <c r="R27" s="3587"/>
      <c r="S27" s="3589"/>
      <c r="T27" s="3584"/>
      <c r="U27" s="3224"/>
      <c r="V27" s="3224"/>
      <c r="W27" s="3224"/>
      <c r="X27" s="3591"/>
      <c r="Y27" s="3584"/>
      <c r="Z27" s="3584"/>
      <c r="AA27" s="3584"/>
      <c r="AB27" s="3584"/>
      <c r="AC27" s="3584"/>
      <c r="AD27" s="3584"/>
      <c r="AE27" s="3584"/>
      <c r="AF27" s="3584"/>
      <c r="AG27" s="3584"/>
      <c r="AH27" s="3584"/>
      <c r="AI27" s="3584"/>
      <c r="AJ27" s="3584"/>
      <c r="AK27" s="3583"/>
      <c r="AL27" s="3582"/>
      <c r="AM27" s="3225"/>
      <c r="AN27" s="3225"/>
      <c r="AO27" s="3225"/>
      <c r="AP27" s="3225"/>
      <c r="AQ27" s="3225"/>
      <c r="AR27" s="3225"/>
      <c r="AS27" s="3225"/>
      <c r="AT27" s="3225"/>
      <c r="AU27" s="3225"/>
      <c r="AV27" s="3225"/>
      <c r="AW27" s="3225"/>
      <c r="AX27" s="3582"/>
      <c r="AY27" s="3580"/>
      <c r="AZ27" s="3580"/>
      <c r="BA27" s="3580"/>
      <c r="BB27" s="3580"/>
      <c r="BC27" s="3580"/>
      <c r="BD27" s="3580"/>
      <c r="BE27" s="3580"/>
      <c r="BF27" s="3580"/>
      <c r="BG27" s="3580"/>
      <c r="BH27" s="3580"/>
      <c r="BI27" s="3580"/>
      <c r="BJ27" s="3580"/>
      <c r="BK27" s="3226" t="s">
        <v>3411</v>
      </c>
      <c r="BL27" s="3582"/>
      <c r="BM27" s="3577"/>
      <c r="BN27" s="3577"/>
      <c r="BO27" s="3577"/>
      <c r="BP27" s="3577"/>
      <c r="BQ27" s="3577"/>
      <c r="BR27" s="3577"/>
      <c r="BS27" s="3577"/>
      <c r="BT27" s="3577"/>
      <c r="BU27" s="3577"/>
      <c r="BV27" s="3577"/>
      <c r="BW27" s="3577"/>
      <c r="BX27" s="3577"/>
      <c r="BY27" s="3579"/>
    </row>
    <row r="29" spans="1:77">
      <c r="B29" s="3160" t="s">
        <v>3459</v>
      </c>
      <c r="C29">
        <v>1305</v>
      </c>
      <c r="E29" s="3234">
        <v>244.49</v>
      </c>
      <c r="G29" s="3162">
        <v>43240</v>
      </c>
      <c r="H29" s="3162">
        <v>44335</v>
      </c>
      <c r="K29" s="3163" t="s">
        <v>3456</v>
      </c>
      <c r="L29" s="3155">
        <v>4.5</v>
      </c>
    </row>
    <row r="30" spans="1:77" ht="14.25" thickBot="1"/>
    <row r="31" spans="1:77" ht="14.25" thickBot="1">
      <c r="B31" s="3160" t="s">
        <v>3412</v>
      </c>
      <c r="C31" s="3161">
        <f>E9+E12+E13+E14+E15+E16+E17+E18+E20+E21+E29</f>
        <v>2679.1499999999996</v>
      </c>
      <c r="K31" s="3164" t="s">
        <v>3425</v>
      </c>
      <c r="L31" s="3165">
        <v>43553</v>
      </c>
      <c r="M31" s="3166"/>
      <c r="N31" s="3166"/>
      <c r="O31" s="3166"/>
      <c r="P31" s="3166"/>
    </row>
    <row r="32" spans="1:77" ht="40.5">
      <c r="B32" s="3160" t="s">
        <v>3422</v>
      </c>
      <c r="C32" s="3162">
        <v>44530</v>
      </c>
      <c r="K32" s="3167" t="s">
        <v>3426</v>
      </c>
      <c r="L32" s="3168" t="s">
        <v>3427</v>
      </c>
      <c r="M32" s="3169" t="s">
        <v>3428</v>
      </c>
      <c r="N32" s="3168" t="s">
        <v>3429</v>
      </c>
      <c r="O32" s="3170" t="s">
        <v>3430</v>
      </c>
      <c r="P32" s="3166"/>
    </row>
    <row r="33" spans="2:16" customFormat="1" ht="14.25" thickBot="1">
      <c r="B33" s="3163" t="s">
        <v>3423</v>
      </c>
      <c r="C33" s="3162">
        <v>43553</v>
      </c>
      <c r="K33" s="3171">
        <v>40</v>
      </c>
      <c r="L33" s="3172">
        <v>44530</v>
      </c>
      <c r="M33" s="3173">
        <f>ROUNDDOWN(MIN((L33-L31)/365,K33),2)</f>
        <v>2.67</v>
      </c>
      <c r="N33" s="3174">
        <f>IF(ISERROR(ROUND(POWER(1+O33,K33-M33)*(POWER(1+O33,M33)-1)/(POWER(1+O33,K33)-1),3)),0,ROUND(POWER(1+O33,K33-M33)*(POWER(1+O33,M33)-1)/(POWER(1+O33,K33)-1),3))</f>
        <v>0.126</v>
      </c>
      <c r="O33" s="3175">
        <v>0.04</v>
      </c>
      <c r="P33" s="3166"/>
    </row>
    <row r="34" spans="2:16" customFormat="1" ht="14.25" thickBot="1">
      <c r="B34" s="3160" t="s">
        <v>3424</v>
      </c>
      <c r="C34">
        <v>2.67</v>
      </c>
      <c r="K34" s="3166"/>
      <c r="L34" s="3166"/>
      <c r="M34" s="3166"/>
      <c r="N34" s="3166"/>
      <c r="O34" s="3166"/>
      <c r="P34" s="3166"/>
    </row>
    <row r="35" spans="2:16" customFormat="1" ht="14.25" thickBot="1">
      <c r="B35" s="3160" t="s">
        <v>3442</v>
      </c>
      <c r="C35">
        <f>ROUND((6*(E9+E12)+5*(E13+E14+E15+E16+E17+E18+E20+E21)+L29*E29),2)</f>
        <v>13602.48</v>
      </c>
      <c r="K35" s="3176" t="s">
        <v>3431</v>
      </c>
      <c r="L35" s="3177"/>
      <c r="M35" s="3166"/>
      <c r="N35" s="3166"/>
      <c r="O35" s="3166"/>
      <c r="P35" s="3166"/>
    </row>
    <row r="36" spans="2:16" customFormat="1" ht="14.25" thickBot="1">
      <c r="B36" s="3160" t="s">
        <v>3441</v>
      </c>
      <c r="C36">
        <f>ROUND(C35/C31,2)</f>
        <v>5.08</v>
      </c>
      <c r="K36" s="3574" t="s">
        <v>3432</v>
      </c>
      <c r="L36" s="3575"/>
      <c r="M36" s="3574" t="s">
        <v>3430</v>
      </c>
      <c r="N36" s="3575"/>
      <c r="O36" s="3574" t="s">
        <v>3429</v>
      </c>
      <c r="P36" s="3575"/>
    </row>
    <row r="37" spans="2:16" customFormat="1">
      <c r="K37" s="3178" t="s">
        <v>3433</v>
      </c>
      <c r="L37" s="3179">
        <v>50</v>
      </c>
      <c r="M37" s="3180" t="s">
        <v>3434</v>
      </c>
      <c r="N37" s="3181">
        <v>0.06</v>
      </c>
      <c r="O37" s="3180" t="s">
        <v>3435</v>
      </c>
      <c r="P37" s="3182">
        <f>1-(1/(POWER(1+N37,L37)))</f>
        <v>0.94571163818330928</v>
      </c>
    </row>
    <row r="38" spans="2:16" customFormat="1" ht="14.25" thickBot="1">
      <c r="B38" s="3160" t="s">
        <v>3443</v>
      </c>
      <c r="C38">
        <f>'比较法-办公租金'!C50</f>
        <v>5.6</v>
      </c>
      <c r="K38" s="3183" t="s">
        <v>3436</v>
      </c>
      <c r="L38" s="3184">
        <v>44.84</v>
      </c>
      <c r="M38" s="3185" t="s">
        <v>3437</v>
      </c>
      <c r="N38" s="3186">
        <v>0.06</v>
      </c>
      <c r="O38" s="3185" t="s">
        <v>3438</v>
      </c>
      <c r="P38" s="3187">
        <f>1-(1/(POWER(1+N38,L38)))</f>
        <v>0.9266694400061779</v>
      </c>
    </row>
    <row r="39" spans="2:16" customFormat="1">
      <c r="B39" s="3160" t="s">
        <v>3444</v>
      </c>
      <c r="C39" s="3229">
        <v>0.03</v>
      </c>
      <c r="K39" s="3178" t="s">
        <v>3439</v>
      </c>
      <c r="L39" s="3188">
        <v>5000</v>
      </c>
      <c r="M39" s="3180" t="s">
        <v>3440</v>
      </c>
      <c r="N39" s="3189">
        <v>5000</v>
      </c>
      <c r="O39" s="3166"/>
      <c r="P39" s="3166"/>
    </row>
    <row r="40" spans="2:16" customFormat="1" ht="14.25" thickBot="1">
      <c r="B40" s="3160" t="s">
        <v>3445</v>
      </c>
      <c r="C40">
        <f>ROUND(C38*(1+C39)^C34,2)</f>
        <v>6.06</v>
      </c>
      <c r="K40" s="3183" t="s">
        <v>3440</v>
      </c>
      <c r="L40" s="3190">
        <f>ROUND(L39*P38/P37,2)</f>
        <v>4899.32</v>
      </c>
      <c r="M40" s="3185" t="s">
        <v>3439</v>
      </c>
      <c r="N40" s="3191">
        <f>ROUND(N39*P37/P38,2)</f>
        <v>5102.75</v>
      </c>
      <c r="O40" s="3166"/>
      <c r="P40" s="3166"/>
    </row>
    <row r="41" spans="2:16" customFormat="1"/>
    <row r="42" spans="2:16" customFormat="1"/>
    <row r="43" spans="2:16" customFormat="1"/>
    <row r="44" spans="2:16" customFormat="1"/>
    <row r="45" spans="2:16" customFormat="1"/>
  </sheetData>
  <mergeCells count="202">
    <mergeCell ref="G1:G2"/>
    <mergeCell ref="H1:H2"/>
    <mergeCell ref="I1:I2"/>
    <mergeCell ref="J1:J2"/>
    <mergeCell ref="K1:K2"/>
    <mergeCell ref="L1:L2"/>
    <mergeCell ref="A1:A2"/>
    <mergeCell ref="B1:B2"/>
    <mergeCell ref="C1:C2"/>
    <mergeCell ref="D1:D2"/>
    <mergeCell ref="E1:E2"/>
    <mergeCell ref="F1:F2"/>
    <mergeCell ref="U1:W1"/>
    <mergeCell ref="X1:X2"/>
    <mergeCell ref="Y1:AK1"/>
    <mergeCell ref="AL1:AX1"/>
    <mergeCell ref="BK1:BK2"/>
    <mergeCell ref="BM1:BY1"/>
    <mergeCell ref="M1:M2"/>
    <mergeCell ref="N1:N2"/>
    <mergeCell ref="O1:O2"/>
    <mergeCell ref="P1:P2"/>
    <mergeCell ref="Q1:Q2"/>
    <mergeCell ref="R1:T1"/>
    <mergeCell ref="K5:K6"/>
    <mergeCell ref="L5:L6"/>
    <mergeCell ref="M5:M6"/>
    <mergeCell ref="N5:N6"/>
    <mergeCell ref="O5:O6"/>
    <mergeCell ref="P5:P6"/>
    <mergeCell ref="D5:D6"/>
    <mergeCell ref="F5:F6"/>
    <mergeCell ref="G5:G6"/>
    <mergeCell ref="H5:H6"/>
    <mergeCell ref="I5:I6"/>
    <mergeCell ref="J5:J6"/>
    <mergeCell ref="Z5:Z6"/>
    <mergeCell ref="AA5:AA6"/>
    <mergeCell ref="AB5:AB6"/>
    <mergeCell ref="AC5:AC6"/>
    <mergeCell ref="Q5:Q6"/>
    <mergeCell ref="R5:R6"/>
    <mergeCell ref="S5:S6"/>
    <mergeCell ref="T5:T6"/>
    <mergeCell ref="U5:U6"/>
    <mergeCell ref="W5:W6"/>
    <mergeCell ref="BX5:BX6"/>
    <mergeCell ref="BY5:BY6"/>
    <mergeCell ref="D18:D19"/>
    <mergeCell ref="E18:E19"/>
    <mergeCell ref="F18:F19"/>
    <mergeCell ref="G18:G19"/>
    <mergeCell ref="H18:H19"/>
    <mergeCell ref="BO5:BO6"/>
    <mergeCell ref="BP5:BP6"/>
    <mergeCell ref="BQ5:BQ6"/>
    <mergeCell ref="BR5:BR6"/>
    <mergeCell ref="BS5:BS6"/>
    <mergeCell ref="BT5:BT6"/>
    <mergeCell ref="BH5:BH6"/>
    <mergeCell ref="BI5:BI6"/>
    <mergeCell ref="BJ5:BJ6"/>
    <mergeCell ref="BL5:BL6"/>
    <mergeCell ref="BM5:BM6"/>
    <mergeCell ref="BN5:BN6"/>
    <mergeCell ref="BB5:BB6"/>
    <mergeCell ref="BC5:BC6"/>
    <mergeCell ref="BD5:BD6"/>
    <mergeCell ref="BE5:BE6"/>
    <mergeCell ref="BF5:BF6"/>
    <mergeCell ref="I18:I19"/>
    <mergeCell ref="J18:J19"/>
    <mergeCell ref="K18:K19"/>
    <mergeCell ref="L18:L19"/>
    <mergeCell ref="M18:M19"/>
    <mergeCell ref="N18:N19"/>
    <mergeCell ref="BU5:BU6"/>
    <mergeCell ref="BV5:BV6"/>
    <mergeCell ref="BW5:BW6"/>
    <mergeCell ref="BG5:BG6"/>
    <mergeCell ref="AJ5:AJ6"/>
    <mergeCell ref="AK5:AK6"/>
    <mergeCell ref="AX5:AX6"/>
    <mergeCell ref="AY5:AY6"/>
    <mergeCell ref="AZ5:AZ6"/>
    <mergeCell ref="BA5:BA6"/>
    <mergeCell ref="AD5:AD6"/>
    <mergeCell ref="AE5:AE6"/>
    <mergeCell ref="AF5:AF6"/>
    <mergeCell ref="AG5:AG6"/>
    <mergeCell ref="AH5:AH6"/>
    <mergeCell ref="AI5:AI6"/>
    <mergeCell ref="X5:X6"/>
    <mergeCell ref="Y5:Y6"/>
    <mergeCell ref="Z18:Z19"/>
    <mergeCell ref="AA18:AA19"/>
    <mergeCell ref="AB18:AB19"/>
    <mergeCell ref="AC18:AC19"/>
    <mergeCell ref="O18:O19"/>
    <mergeCell ref="P18:P19"/>
    <mergeCell ref="Q18:Q19"/>
    <mergeCell ref="R18:R19"/>
    <mergeCell ref="S18:S19"/>
    <mergeCell ref="T18:T19"/>
    <mergeCell ref="BY18:BY19"/>
    <mergeCell ref="P22:P25"/>
    <mergeCell ref="E26:E27"/>
    <mergeCell ref="F26:F27"/>
    <mergeCell ref="G26:G27"/>
    <mergeCell ref="H26:H27"/>
    <mergeCell ref="I26:I27"/>
    <mergeCell ref="BP18:BP19"/>
    <mergeCell ref="BQ18:BQ19"/>
    <mergeCell ref="BR18:BR19"/>
    <mergeCell ref="BS18:BS19"/>
    <mergeCell ref="BT18:BT19"/>
    <mergeCell ref="BU18:BU19"/>
    <mergeCell ref="BI18:BI19"/>
    <mergeCell ref="BJ18:BJ19"/>
    <mergeCell ref="BL18:BL19"/>
    <mergeCell ref="BM18:BM19"/>
    <mergeCell ref="BN18:BN19"/>
    <mergeCell ref="BO18:BO19"/>
    <mergeCell ref="BC18:BC19"/>
    <mergeCell ref="BD18:BD19"/>
    <mergeCell ref="BE18:BE19"/>
    <mergeCell ref="BF18:BF19"/>
    <mergeCell ref="BG18:BG19"/>
    <mergeCell ref="J26:J27"/>
    <mergeCell ref="K26:K27"/>
    <mergeCell ref="L26:L27"/>
    <mergeCell ref="M26:M27"/>
    <mergeCell ref="N26:N27"/>
    <mergeCell ref="O26:O27"/>
    <mergeCell ref="BV18:BV19"/>
    <mergeCell ref="BW18:BW19"/>
    <mergeCell ref="BX18:BX19"/>
    <mergeCell ref="BH18:BH19"/>
    <mergeCell ref="AJ18:AJ19"/>
    <mergeCell ref="AK18:AK19"/>
    <mergeCell ref="AY18:AY19"/>
    <mergeCell ref="AZ18:AZ19"/>
    <mergeCell ref="BA18:BA19"/>
    <mergeCell ref="BB18:BB19"/>
    <mergeCell ref="AD18:AD19"/>
    <mergeCell ref="AE18:AE19"/>
    <mergeCell ref="AF18:AF19"/>
    <mergeCell ref="AG18:AG19"/>
    <mergeCell ref="AH18:AH19"/>
    <mergeCell ref="AI18:AI19"/>
    <mergeCell ref="X18:X19"/>
    <mergeCell ref="Y18:Y19"/>
    <mergeCell ref="Y26:Y27"/>
    <mergeCell ref="Z26:Z27"/>
    <mergeCell ref="AA26:AA27"/>
    <mergeCell ref="AB26:AB27"/>
    <mergeCell ref="AC26:AC27"/>
    <mergeCell ref="AD26:AD27"/>
    <mergeCell ref="P26:P27"/>
    <mergeCell ref="Q26:Q27"/>
    <mergeCell ref="R26:R27"/>
    <mergeCell ref="S26:S27"/>
    <mergeCell ref="T26:T27"/>
    <mergeCell ref="X26:X27"/>
    <mergeCell ref="BF26:BF27"/>
    <mergeCell ref="BG26:BG27"/>
    <mergeCell ref="AK26:AK27"/>
    <mergeCell ref="AL26:AL27"/>
    <mergeCell ref="AX26:AX27"/>
    <mergeCell ref="AY26:AY27"/>
    <mergeCell ref="AZ26:AZ27"/>
    <mergeCell ref="BA26:BA27"/>
    <mergeCell ref="AE26:AE27"/>
    <mergeCell ref="AF26:AF27"/>
    <mergeCell ref="AG26:AG27"/>
    <mergeCell ref="AH26:AH27"/>
    <mergeCell ref="AI26:AI27"/>
    <mergeCell ref="AJ26:AJ27"/>
    <mergeCell ref="O36:P36"/>
    <mergeCell ref="BU26:BU27"/>
    <mergeCell ref="BV26:BV27"/>
    <mergeCell ref="BW26:BW27"/>
    <mergeCell ref="BX26:BX27"/>
    <mergeCell ref="BY26:BY27"/>
    <mergeCell ref="K36:L36"/>
    <mergeCell ref="M36:N36"/>
    <mergeCell ref="BO26:BO27"/>
    <mergeCell ref="BP26:BP27"/>
    <mergeCell ref="BQ26:BQ27"/>
    <mergeCell ref="BR26:BR27"/>
    <mergeCell ref="BS26:BS27"/>
    <mergeCell ref="BT26:BT27"/>
    <mergeCell ref="BH26:BH27"/>
    <mergeCell ref="BI26:BI27"/>
    <mergeCell ref="BJ26:BJ27"/>
    <mergeCell ref="BL26:BL27"/>
    <mergeCell ref="BM26:BM27"/>
    <mergeCell ref="BN26:BN27"/>
    <mergeCell ref="BB26:BB27"/>
    <mergeCell ref="BC26:BC27"/>
    <mergeCell ref="BD26:BD27"/>
    <mergeCell ref="BE26:BE27"/>
  </mergeCells>
  <phoneticPr fontId="143" type="noConversion"/>
  <dataValidations count="1">
    <dataValidation type="list" allowBlank="1" showInputMessage="1" showErrorMessage="1" sqref="K33">
      <formula1>"40,50,70"</formula1>
    </dataValidation>
  </dataValidations>
  <pageMargins left="0.7" right="0.7" top="0.75" bottom="0.75" header="0.3" footer="0.3"/>
  <pageSetup paperSize="9" orientation="portrait" verticalDpi="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2"/>
  <sheetViews>
    <sheetView topLeftCell="A25" workbookViewId="0">
      <selection activeCell="E2" sqref="E2:E61"/>
    </sheetView>
  </sheetViews>
  <sheetFormatPr defaultRowHeight="14.25"/>
  <cols>
    <col min="1" max="3" width="9" style="1944"/>
    <col min="4" max="4" width="10.625" style="1944" customWidth="1"/>
    <col min="5" max="5" width="17.75" style="1944" customWidth="1"/>
    <col min="6" max="6" width="24.125" style="1944" customWidth="1"/>
    <col min="7" max="7" width="10.5" style="1944" customWidth="1"/>
    <col min="8" max="16384" width="9" style="1944"/>
  </cols>
  <sheetData>
    <row r="1" spans="1:7">
      <c r="A1" s="3067" t="s">
        <v>3449</v>
      </c>
      <c r="B1" s="3067" t="s">
        <v>3450</v>
      </c>
      <c r="C1" s="3067" t="s">
        <v>3451</v>
      </c>
      <c r="D1" s="3065" t="s">
        <v>3452</v>
      </c>
      <c r="E1" s="3231" t="s">
        <v>3453</v>
      </c>
      <c r="F1" s="3230" t="s">
        <v>3454</v>
      </c>
      <c r="G1" s="3235" t="s">
        <v>3462</v>
      </c>
    </row>
    <row r="2" spans="1:7">
      <c r="A2" s="3067">
        <v>1</v>
      </c>
      <c r="B2" s="3065">
        <v>1304</v>
      </c>
      <c r="C2" s="3065">
        <v>169.77</v>
      </c>
      <c r="D2" s="3232">
        <f ca="1">ROUND('结果表（办公）'!$G$19*结果表!F2,0)</f>
        <v>635</v>
      </c>
      <c r="E2" s="3232">
        <f ca="1">ROUND(D2*10000/C2,0)</f>
        <v>37404</v>
      </c>
      <c r="F2" s="3233">
        <f>G2/$G$62</f>
        <v>1.0055547642785928E-2</v>
      </c>
      <c r="G2" s="1944">
        <v>706</v>
      </c>
    </row>
    <row r="3" spans="1:7">
      <c r="A3" s="3067">
        <v>2</v>
      </c>
      <c r="B3" s="3067">
        <v>1305</v>
      </c>
      <c r="C3" s="3067">
        <v>244.49</v>
      </c>
      <c r="D3" s="3232">
        <f ca="1">ROUND('结果表（办公）'!$G$19*结果表!F3,0)</f>
        <v>896</v>
      </c>
      <c r="E3" s="3232">
        <f t="shared" ref="E3:E62" ca="1" si="0">ROUND(D3*10000/C3,0)</f>
        <v>36648</v>
      </c>
      <c r="F3" s="3233">
        <f t="shared" ref="F3:F61" si="1">G3/$G$62</f>
        <v>1.4186013388406211E-2</v>
      </c>
      <c r="G3" s="1944">
        <v>996</v>
      </c>
    </row>
    <row r="4" spans="1:7">
      <c r="A4" s="3067">
        <v>3</v>
      </c>
      <c r="B4" s="3067">
        <v>1306</v>
      </c>
      <c r="C4" s="3067">
        <v>321.55</v>
      </c>
      <c r="D4" s="3232">
        <f ca="1">ROUND('结果表（办公）'!$G$19*结果表!F4,0)</f>
        <v>1178</v>
      </c>
      <c r="E4" s="3232">
        <f t="shared" ca="1" si="0"/>
        <v>36635</v>
      </c>
      <c r="F4" s="3233">
        <f t="shared" si="1"/>
        <v>1.8658310781939896E-2</v>
      </c>
      <c r="G4" s="1944">
        <v>1310</v>
      </c>
    </row>
    <row r="5" spans="1:7">
      <c r="A5" s="3067">
        <v>4</v>
      </c>
      <c r="B5" s="3067">
        <v>1307</v>
      </c>
      <c r="C5" s="3067">
        <v>231.56</v>
      </c>
      <c r="D5" s="3232">
        <f ca="1">ROUND('结果表（办公）'!$G$19*结果表!F5,0)</f>
        <v>848</v>
      </c>
      <c r="E5" s="3232">
        <f t="shared" ca="1" si="0"/>
        <v>36621</v>
      </c>
      <c r="F5" s="3233">
        <f t="shared" si="1"/>
        <v>1.343113516593078E-2</v>
      </c>
      <c r="G5" s="1944">
        <v>943</v>
      </c>
    </row>
    <row r="6" spans="1:7">
      <c r="A6" s="3067">
        <v>5</v>
      </c>
      <c r="B6" s="3067">
        <v>1308</v>
      </c>
      <c r="C6" s="3067">
        <v>159.5</v>
      </c>
      <c r="D6" s="3232">
        <f ca="1">ROUND('结果表（办公）'!$G$19*结果表!F6,0)</f>
        <v>596</v>
      </c>
      <c r="E6" s="3232">
        <f t="shared" ca="1" si="0"/>
        <v>37367</v>
      </c>
      <c r="F6" s="3233">
        <f t="shared" si="1"/>
        <v>9.4430992736077475E-3</v>
      </c>
      <c r="G6" s="1944">
        <v>663</v>
      </c>
    </row>
    <row r="7" spans="1:7">
      <c r="A7" s="3067">
        <v>6</v>
      </c>
      <c r="B7" s="3067">
        <v>1401</v>
      </c>
      <c r="C7" s="3067">
        <v>392.65</v>
      </c>
      <c r="D7" s="3232">
        <f ca="1">ROUND('结果表（办公）'!$G$19*结果表!F7,0)</f>
        <v>1438</v>
      </c>
      <c r="E7" s="3232">
        <f t="shared" ca="1" si="0"/>
        <v>36623</v>
      </c>
      <c r="F7" s="3233">
        <f t="shared" si="1"/>
        <v>2.2774533542230451E-2</v>
      </c>
      <c r="G7" s="1944">
        <v>1599</v>
      </c>
    </row>
    <row r="8" spans="1:7">
      <c r="A8" s="3067">
        <v>7</v>
      </c>
      <c r="B8" s="3067">
        <v>1402</v>
      </c>
      <c r="C8" s="3067">
        <v>275.75</v>
      </c>
      <c r="D8" s="3232">
        <f ca="1">ROUND('结果表（办公）'!$G$19*结果表!F8,0)</f>
        <v>1010</v>
      </c>
      <c r="E8" s="3232">
        <f t="shared" ca="1" si="0"/>
        <v>36627</v>
      </c>
      <c r="F8" s="3233">
        <f t="shared" si="1"/>
        <v>1.5994872525281298E-2</v>
      </c>
      <c r="G8" s="1944">
        <v>1123</v>
      </c>
    </row>
    <row r="9" spans="1:7">
      <c r="A9" s="3067">
        <v>8</v>
      </c>
      <c r="B9" s="3067">
        <v>1404</v>
      </c>
      <c r="C9" s="3067">
        <v>169.77</v>
      </c>
      <c r="D9" s="3232">
        <f ca="1">ROUND('结果表（办公）'!$G$19*结果表!F9,0)</f>
        <v>635</v>
      </c>
      <c r="E9" s="3232">
        <f t="shared" ca="1" si="0"/>
        <v>37404</v>
      </c>
      <c r="F9" s="3233">
        <f t="shared" si="1"/>
        <v>1.0055547642785928E-2</v>
      </c>
      <c r="G9" s="1944">
        <v>706</v>
      </c>
    </row>
    <row r="10" spans="1:7">
      <c r="A10" s="3067">
        <v>9</v>
      </c>
      <c r="B10" s="3067">
        <v>1405</v>
      </c>
      <c r="C10" s="3067">
        <v>244.49</v>
      </c>
      <c r="D10" s="3232">
        <f ca="1">ROUND('结果表（办公）'!$G$19*结果表!F10,0)</f>
        <v>896</v>
      </c>
      <c r="E10" s="3232">
        <f t="shared" ca="1" si="0"/>
        <v>36648</v>
      </c>
      <c r="F10" s="3233">
        <f t="shared" si="1"/>
        <v>1.4186013388406211E-2</v>
      </c>
      <c r="G10" s="1944">
        <v>996</v>
      </c>
    </row>
    <row r="11" spans="1:7">
      <c r="A11" s="3067">
        <v>10</v>
      </c>
      <c r="B11" s="3067">
        <v>1406</v>
      </c>
      <c r="C11" s="3067">
        <v>321.55</v>
      </c>
      <c r="D11" s="3232">
        <f ca="1">ROUND('结果表（办公）'!$G$19*结果表!F11,0)</f>
        <v>1178</v>
      </c>
      <c r="E11" s="3232">
        <f t="shared" ca="1" si="0"/>
        <v>36635</v>
      </c>
      <c r="F11" s="3233">
        <f t="shared" si="1"/>
        <v>1.8658310781939896E-2</v>
      </c>
      <c r="G11" s="1944">
        <v>1310</v>
      </c>
    </row>
    <row r="12" spans="1:7">
      <c r="A12" s="3067">
        <v>11</v>
      </c>
      <c r="B12" s="3067">
        <v>1501</v>
      </c>
      <c r="C12" s="3067">
        <v>392.65</v>
      </c>
      <c r="D12" s="3232">
        <f ca="1">ROUND('结果表（办公）'!$G$19*结果表!F12,0)</f>
        <v>1438</v>
      </c>
      <c r="E12" s="3232">
        <f t="shared" ca="1" si="0"/>
        <v>36623</v>
      </c>
      <c r="F12" s="3233">
        <f t="shared" si="1"/>
        <v>2.2774533542230451E-2</v>
      </c>
      <c r="G12" s="1944">
        <v>1599</v>
      </c>
    </row>
    <row r="13" spans="1:7">
      <c r="A13" s="3067">
        <v>12</v>
      </c>
      <c r="B13" s="3067">
        <v>1502</v>
      </c>
      <c r="C13" s="3067">
        <v>275.75</v>
      </c>
      <c r="D13" s="3232">
        <f ca="1">ROUND('结果表（办公）'!$G$19*结果表!F13,0)</f>
        <v>1010</v>
      </c>
      <c r="E13" s="3232">
        <f t="shared" ca="1" si="0"/>
        <v>36627</v>
      </c>
      <c r="F13" s="3233">
        <f t="shared" si="1"/>
        <v>1.5994872525281298E-2</v>
      </c>
      <c r="G13" s="1944">
        <v>1123</v>
      </c>
    </row>
    <row r="14" spans="1:7">
      <c r="A14" s="3067">
        <v>13</v>
      </c>
      <c r="B14" s="3067">
        <v>1504</v>
      </c>
      <c r="C14" s="3067">
        <v>169.77</v>
      </c>
      <c r="D14" s="3232">
        <f ca="1">ROUND('结果表（办公）'!$G$19*结果表!F14,0)</f>
        <v>635</v>
      </c>
      <c r="E14" s="3232">
        <f t="shared" ca="1" si="0"/>
        <v>37404</v>
      </c>
      <c r="F14" s="3233">
        <f t="shared" si="1"/>
        <v>1.0055547642785928E-2</v>
      </c>
      <c r="G14" s="1944">
        <v>706</v>
      </c>
    </row>
    <row r="15" spans="1:7">
      <c r="A15" s="3067">
        <v>14</v>
      </c>
      <c r="B15" s="3067">
        <v>1505</v>
      </c>
      <c r="C15" s="3067">
        <v>244.49</v>
      </c>
      <c r="D15" s="3232">
        <f ca="1">ROUND('结果表（办公）'!$G$19*结果表!F15,0)</f>
        <v>896</v>
      </c>
      <c r="E15" s="3232">
        <f t="shared" ca="1" si="0"/>
        <v>36648</v>
      </c>
      <c r="F15" s="3233">
        <f t="shared" si="1"/>
        <v>1.4186013388406211E-2</v>
      </c>
      <c r="G15" s="1944">
        <v>996</v>
      </c>
    </row>
    <row r="16" spans="1:7">
      <c r="A16" s="3067">
        <v>15</v>
      </c>
      <c r="B16" s="3067">
        <v>1506</v>
      </c>
      <c r="C16" s="3067">
        <v>321.55</v>
      </c>
      <c r="D16" s="3232">
        <f ca="1">ROUND('结果表（办公）'!$G$19*结果表!F16,0)</f>
        <v>1178</v>
      </c>
      <c r="E16" s="3232">
        <f t="shared" ca="1" si="0"/>
        <v>36635</v>
      </c>
      <c r="F16" s="3233">
        <f t="shared" si="1"/>
        <v>1.8658310781939896E-2</v>
      </c>
      <c r="G16" s="1944">
        <v>1310</v>
      </c>
    </row>
    <row r="17" spans="1:7">
      <c r="A17" s="3067">
        <v>16</v>
      </c>
      <c r="B17" s="3067">
        <v>1508</v>
      </c>
      <c r="C17" s="3067">
        <v>159.5</v>
      </c>
      <c r="D17" s="3232">
        <f ca="1">ROUND('结果表（办公）'!$G$19*结果表!F17,0)</f>
        <v>596</v>
      </c>
      <c r="E17" s="3232">
        <f t="shared" ca="1" si="0"/>
        <v>37367</v>
      </c>
      <c r="F17" s="3233">
        <f t="shared" si="1"/>
        <v>9.4430992736077475E-3</v>
      </c>
      <c r="G17" s="1944">
        <v>663</v>
      </c>
    </row>
    <row r="18" spans="1:7">
      <c r="A18" s="3067">
        <v>17</v>
      </c>
      <c r="B18" s="3065">
        <v>1601</v>
      </c>
      <c r="C18" s="3065">
        <v>392.65</v>
      </c>
      <c r="D18" s="3232">
        <f ca="1">ROUND('结果表（办公）'!$G$19*结果表!F18,0)</f>
        <v>1438</v>
      </c>
      <c r="E18" s="3232">
        <f t="shared" ca="1" si="0"/>
        <v>36623</v>
      </c>
      <c r="F18" s="3233">
        <f t="shared" si="1"/>
        <v>2.2774533542230451E-2</v>
      </c>
      <c r="G18" s="1944">
        <v>1599</v>
      </c>
    </row>
    <row r="19" spans="1:7">
      <c r="A19" s="3067">
        <v>18</v>
      </c>
      <c r="B19" s="3067">
        <v>1602</v>
      </c>
      <c r="C19" s="3067">
        <v>275.75</v>
      </c>
      <c r="D19" s="3232">
        <f ca="1">ROUND('结果表（办公）'!$G$19*结果表!F19,0)</f>
        <v>1010</v>
      </c>
      <c r="E19" s="3232">
        <f t="shared" ca="1" si="0"/>
        <v>36627</v>
      </c>
      <c r="F19" s="3233">
        <f t="shared" si="1"/>
        <v>1.5994872525281298E-2</v>
      </c>
      <c r="G19" s="1944">
        <v>1123</v>
      </c>
    </row>
    <row r="20" spans="1:7">
      <c r="A20" s="3067">
        <v>19</v>
      </c>
      <c r="B20" s="3067">
        <v>1603</v>
      </c>
      <c r="C20" s="3067">
        <v>212.19</v>
      </c>
      <c r="D20" s="3232">
        <f ca="1">ROUND('结果表（办公）'!$G$19*结果表!F20,0)</f>
        <v>777</v>
      </c>
      <c r="E20" s="3232">
        <f t="shared" ca="1" si="0"/>
        <v>36618</v>
      </c>
      <c r="F20" s="3233">
        <f t="shared" si="1"/>
        <v>1.2305939324882496E-2</v>
      </c>
      <c r="G20" s="1944">
        <v>864</v>
      </c>
    </row>
    <row r="21" spans="1:7">
      <c r="A21" s="3067">
        <v>20</v>
      </c>
      <c r="B21" s="3067">
        <v>1604</v>
      </c>
      <c r="C21" s="3067">
        <v>169.77</v>
      </c>
      <c r="D21" s="3232">
        <f ca="1">ROUND('结果表（办公）'!$G$19*结果表!F21,0)</f>
        <v>635</v>
      </c>
      <c r="E21" s="3232">
        <f t="shared" ca="1" si="0"/>
        <v>37404</v>
      </c>
      <c r="F21" s="3233">
        <f t="shared" si="1"/>
        <v>1.0055547642785928E-2</v>
      </c>
      <c r="G21" s="1944">
        <v>706</v>
      </c>
    </row>
    <row r="22" spans="1:7">
      <c r="A22" s="3067">
        <v>21</v>
      </c>
      <c r="B22" s="3067">
        <v>1605</v>
      </c>
      <c r="C22" s="3067">
        <v>244.49</v>
      </c>
      <c r="D22" s="3232">
        <f ca="1">ROUND('结果表（办公）'!$G$19*结果表!F22,0)</f>
        <v>896</v>
      </c>
      <c r="E22" s="3232">
        <f t="shared" ca="1" si="0"/>
        <v>36648</v>
      </c>
      <c r="F22" s="3233">
        <f t="shared" si="1"/>
        <v>1.4186013388406211E-2</v>
      </c>
      <c r="G22" s="1944">
        <v>996</v>
      </c>
    </row>
    <row r="23" spans="1:7">
      <c r="A23" s="3067">
        <v>22</v>
      </c>
      <c r="B23" s="3067">
        <v>1606</v>
      </c>
      <c r="C23" s="3067">
        <v>321.55</v>
      </c>
      <c r="D23" s="3232">
        <f ca="1">ROUND('结果表（办公）'!$G$19*结果表!F23,0)</f>
        <v>1178</v>
      </c>
      <c r="E23" s="3232">
        <f t="shared" ca="1" si="0"/>
        <v>36635</v>
      </c>
      <c r="F23" s="3233">
        <f t="shared" si="1"/>
        <v>1.8658310781939896E-2</v>
      </c>
      <c r="G23" s="1944">
        <v>1310</v>
      </c>
    </row>
    <row r="24" spans="1:7">
      <c r="A24" s="3067">
        <v>23</v>
      </c>
      <c r="B24" s="3067">
        <v>1607</v>
      </c>
      <c r="C24" s="3067">
        <v>231.56</v>
      </c>
      <c r="D24" s="3232">
        <f ca="1">ROUND('结果表（办公）'!$G$19*结果表!F24,0)</f>
        <v>848</v>
      </c>
      <c r="E24" s="3232">
        <f t="shared" ca="1" si="0"/>
        <v>36621</v>
      </c>
      <c r="F24" s="3233">
        <f t="shared" si="1"/>
        <v>1.343113516593078E-2</v>
      </c>
      <c r="G24" s="1944">
        <v>943</v>
      </c>
    </row>
    <row r="25" spans="1:7">
      <c r="A25" s="3067">
        <v>24</v>
      </c>
      <c r="B25" s="3067">
        <v>1608</v>
      </c>
      <c r="C25" s="3067">
        <v>159.5</v>
      </c>
      <c r="D25" s="3232">
        <f ca="1">ROUND('结果表（办公）'!$G$19*结果表!F25,0)</f>
        <v>596</v>
      </c>
      <c r="E25" s="3232">
        <f t="shared" ca="1" si="0"/>
        <v>37367</v>
      </c>
      <c r="F25" s="3233">
        <f t="shared" si="1"/>
        <v>9.4430992736077475E-3</v>
      </c>
      <c r="G25" s="1944">
        <v>663</v>
      </c>
    </row>
    <row r="26" spans="1:7">
      <c r="A26" s="3067">
        <v>25</v>
      </c>
      <c r="B26" s="3067">
        <v>1701</v>
      </c>
      <c r="C26" s="3067">
        <v>393.62</v>
      </c>
      <c r="D26" s="3232">
        <f ca="1">ROUND('结果表（办公）'!$G$19*结果表!F26,0)</f>
        <v>1442</v>
      </c>
      <c r="E26" s="3232">
        <f t="shared" ca="1" si="0"/>
        <v>36634</v>
      </c>
      <c r="F26" s="3233">
        <f t="shared" si="1"/>
        <v>2.2831505483549352E-2</v>
      </c>
      <c r="G26" s="1944">
        <v>1603</v>
      </c>
    </row>
    <row r="27" spans="1:7">
      <c r="A27" s="3067">
        <v>26</v>
      </c>
      <c r="B27" s="3067">
        <v>1702</v>
      </c>
      <c r="C27" s="3067">
        <v>276.3</v>
      </c>
      <c r="D27" s="3232">
        <f ca="1">ROUND('结果表（办公）'!$G$19*结果表!F27,0)</f>
        <v>1012</v>
      </c>
      <c r="E27" s="3232">
        <f t="shared" ca="1" si="0"/>
        <v>36627</v>
      </c>
      <c r="F27" s="3233">
        <f t="shared" si="1"/>
        <v>1.6023358495940748E-2</v>
      </c>
      <c r="G27" s="1944">
        <v>1125</v>
      </c>
    </row>
    <row r="28" spans="1:7">
      <c r="A28" s="3067">
        <v>27</v>
      </c>
      <c r="B28" s="3067">
        <v>1703</v>
      </c>
      <c r="C28" s="3067">
        <v>213.49</v>
      </c>
      <c r="D28" s="3232">
        <f ca="1">ROUND('结果表（办公）'!$G$19*结果表!F28,0)</f>
        <v>782</v>
      </c>
      <c r="E28" s="3232">
        <f t="shared" ca="1" si="0"/>
        <v>36629</v>
      </c>
      <c r="F28" s="3233">
        <f t="shared" si="1"/>
        <v>1.2391397236860845E-2</v>
      </c>
      <c r="G28" s="1944">
        <v>870</v>
      </c>
    </row>
    <row r="29" spans="1:7">
      <c r="A29" s="3067">
        <v>28</v>
      </c>
      <c r="B29" s="3067">
        <v>1704</v>
      </c>
      <c r="C29" s="3067">
        <v>170.98</v>
      </c>
      <c r="D29" s="3232">
        <f ca="1">ROUND('结果表（办公）'!$G$19*结果表!F29,0)</f>
        <v>639</v>
      </c>
      <c r="E29" s="3232">
        <f t="shared" ca="1" si="0"/>
        <v>37373</v>
      </c>
      <c r="F29" s="3233">
        <f t="shared" si="1"/>
        <v>1.0126762569434554E-2</v>
      </c>
      <c r="G29" s="1944">
        <v>711</v>
      </c>
    </row>
    <row r="30" spans="1:7">
      <c r="A30" s="3067">
        <v>29</v>
      </c>
      <c r="B30" s="3067">
        <v>1705</v>
      </c>
      <c r="C30" s="3065">
        <v>245.47</v>
      </c>
      <c r="D30" s="3232">
        <f ca="1">ROUND('结果表（办公）'!$G$19*结果表!F30,0)</f>
        <v>899</v>
      </c>
      <c r="E30" s="3232">
        <f t="shared" ca="1" si="0"/>
        <v>36624</v>
      </c>
      <c r="F30" s="3233">
        <f t="shared" si="1"/>
        <v>1.424298532972511E-2</v>
      </c>
      <c r="G30" s="1944">
        <v>1000</v>
      </c>
    </row>
    <row r="31" spans="1:7">
      <c r="A31" s="3067">
        <v>30</v>
      </c>
      <c r="B31" s="3067">
        <v>1706</v>
      </c>
      <c r="C31" s="3067">
        <v>322.08999999999997</v>
      </c>
      <c r="D31" s="3232">
        <f ca="1">ROUND('结果表（办公）'!$G$19*结果表!F31,0)</f>
        <v>1180</v>
      </c>
      <c r="E31" s="3232">
        <f t="shared" ca="1" si="0"/>
        <v>36636</v>
      </c>
      <c r="F31" s="3233">
        <f t="shared" si="1"/>
        <v>1.8686796752599346E-2</v>
      </c>
      <c r="G31" s="1944">
        <v>1312</v>
      </c>
    </row>
    <row r="32" spans="1:7">
      <c r="A32" s="3067">
        <v>31</v>
      </c>
      <c r="B32" s="3067">
        <v>1707</v>
      </c>
      <c r="C32" s="3067">
        <v>232.13</v>
      </c>
      <c r="D32" s="3232">
        <f ca="1">ROUND('结果表（办公）'!$G$19*结果表!F32,0)</f>
        <v>850</v>
      </c>
      <c r="E32" s="3232">
        <f t="shared" ca="1" si="0"/>
        <v>36617</v>
      </c>
      <c r="F32" s="3233">
        <f t="shared" si="1"/>
        <v>1.3459621136590228E-2</v>
      </c>
      <c r="G32" s="1944">
        <v>945</v>
      </c>
    </row>
    <row r="33" spans="1:7">
      <c r="A33" s="3067">
        <v>32</v>
      </c>
      <c r="B33" s="3067">
        <v>1708</v>
      </c>
      <c r="C33" s="3067">
        <v>160.58000000000001</v>
      </c>
      <c r="D33" s="3232">
        <f ca="1">ROUND('结果表（办公）'!$G$19*结果表!F33,0)</f>
        <v>600</v>
      </c>
      <c r="E33" s="3232">
        <f t="shared" ca="1" si="0"/>
        <v>37365</v>
      </c>
      <c r="F33" s="3233">
        <f t="shared" si="1"/>
        <v>9.5000712149266482E-3</v>
      </c>
      <c r="G33" s="1944">
        <v>667</v>
      </c>
    </row>
    <row r="34" spans="1:7">
      <c r="A34" s="3067">
        <v>33</v>
      </c>
      <c r="B34" s="3067">
        <v>1802</v>
      </c>
      <c r="C34" s="3067">
        <v>276.3</v>
      </c>
      <c r="D34" s="3232">
        <f ca="1">ROUND('结果表（办公）'!$G$19*结果表!F34,0)</f>
        <v>1012</v>
      </c>
      <c r="E34" s="3232">
        <f t="shared" ca="1" si="0"/>
        <v>36627</v>
      </c>
      <c r="F34" s="3233">
        <f t="shared" si="1"/>
        <v>1.6023358495940748E-2</v>
      </c>
      <c r="G34" s="1944">
        <v>1125</v>
      </c>
    </row>
    <row r="35" spans="1:7">
      <c r="A35" s="3067">
        <v>34</v>
      </c>
      <c r="B35" s="3067">
        <v>1804</v>
      </c>
      <c r="C35" s="3067">
        <v>170.98</v>
      </c>
      <c r="D35" s="3232">
        <f ca="1">ROUND('结果表（办公）'!$G$19*结果表!F35,0)</f>
        <v>639</v>
      </c>
      <c r="E35" s="3232">
        <f t="shared" ca="1" si="0"/>
        <v>37373</v>
      </c>
      <c r="F35" s="3233">
        <f t="shared" si="1"/>
        <v>1.0126762569434554E-2</v>
      </c>
      <c r="G35" s="1944">
        <v>711</v>
      </c>
    </row>
    <row r="36" spans="1:7">
      <c r="A36" s="3067">
        <v>35</v>
      </c>
      <c r="B36" s="3067">
        <v>1805</v>
      </c>
      <c r="C36" s="3067">
        <v>245.47</v>
      </c>
      <c r="D36" s="3232">
        <f ca="1">ROUND('结果表（办公）'!$G$19*结果表!F36,0)</f>
        <v>899</v>
      </c>
      <c r="E36" s="3232">
        <f t="shared" ca="1" si="0"/>
        <v>36624</v>
      </c>
      <c r="F36" s="3233">
        <f t="shared" si="1"/>
        <v>1.424298532972511E-2</v>
      </c>
      <c r="G36" s="1944">
        <v>1000</v>
      </c>
    </row>
    <row r="37" spans="1:7">
      <c r="A37" s="3067">
        <v>36</v>
      </c>
      <c r="B37" s="3067">
        <v>1806</v>
      </c>
      <c r="C37" s="3067">
        <v>322.08999999999997</v>
      </c>
      <c r="D37" s="3232">
        <f ca="1">ROUND('结果表（办公）'!$G$19*结果表!F37,0)</f>
        <v>1180</v>
      </c>
      <c r="E37" s="3232">
        <f t="shared" ca="1" si="0"/>
        <v>36636</v>
      </c>
      <c r="F37" s="3233">
        <f t="shared" si="1"/>
        <v>1.8686796752599346E-2</v>
      </c>
      <c r="G37" s="1944">
        <v>1312</v>
      </c>
    </row>
    <row r="38" spans="1:7">
      <c r="A38" s="3067">
        <v>37</v>
      </c>
      <c r="B38" s="3067">
        <v>1902</v>
      </c>
      <c r="C38" s="3067">
        <v>276.3</v>
      </c>
      <c r="D38" s="3232">
        <f ca="1">ROUND('结果表（办公）'!$G$19*结果表!F38,0)</f>
        <v>1012</v>
      </c>
      <c r="E38" s="3232">
        <f t="shared" ca="1" si="0"/>
        <v>36627</v>
      </c>
      <c r="F38" s="3233">
        <f t="shared" si="1"/>
        <v>1.6023358495940748E-2</v>
      </c>
      <c r="G38" s="1944">
        <v>1125</v>
      </c>
    </row>
    <row r="39" spans="1:7">
      <c r="A39" s="3067">
        <v>38</v>
      </c>
      <c r="B39" s="3065">
        <v>1904</v>
      </c>
      <c r="C39" s="3065">
        <v>170.98</v>
      </c>
      <c r="D39" s="3232">
        <f ca="1">ROUND('结果表（办公）'!$G$19*结果表!F39,0)</f>
        <v>639</v>
      </c>
      <c r="E39" s="3232">
        <f t="shared" ca="1" si="0"/>
        <v>37373</v>
      </c>
      <c r="F39" s="3233">
        <f t="shared" si="1"/>
        <v>1.0126762569434554E-2</v>
      </c>
      <c r="G39" s="1944">
        <v>711</v>
      </c>
    </row>
    <row r="40" spans="1:7">
      <c r="A40" s="3067">
        <v>39</v>
      </c>
      <c r="B40" s="3067">
        <v>1905</v>
      </c>
      <c r="C40" s="3067">
        <v>245.47</v>
      </c>
      <c r="D40" s="3232">
        <f ca="1">ROUND('结果表（办公）'!$G$19*结果表!F40,0)</f>
        <v>899</v>
      </c>
      <c r="E40" s="3232">
        <f t="shared" ca="1" si="0"/>
        <v>36624</v>
      </c>
      <c r="F40" s="3233">
        <f t="shared" si="1"/>
        <v>1.424298532972511E-2</v>
      </c>
      <c r="G40" s="1944">
        <v>1000</v>
      </c>
    </row>
    <row r="41" spans="1:7">
      <c r="A41" s="3067">
        <v>40</v>
      </c>
      <c r="B41" s="3067">
        <v>1906</v>
      </c>
      <c r="C41" s="3067">
        <v>322.08999999999997</v>
      </c>
      <c r="D41" s="3232">
        <f ca="1">ROUND('结果表（办公）'!$G$19*结果表!F41,0)</f>
        <v>1180</v>
      </c>
      <c r="E41" s="3232">
        <f t="shared" ca="1" si="0"/>
        <v>36636</v>
      </c>
      <c r="F41" s="3233">
        <f t="shared" si="1"/>
        <v>1.8686796752599346E-2</v>
      </c>
      <c r="G41" s="1944">
        <v>1312</v>
      </c>
    </row>
    <row r="42" spans="1:7">
      <c r="A42" s="3067">
        <v>41</v>
      </c>
      <c r="B42" s="3067">
        <v>2002</v>
      </c>
      <c r="C42" s="3067">
        <v>276.3</v>
      </c>
      <c r="D42" s="3232">
        <f ca="1">ROUND('结果表（办公）'!$G$19*结果表!F42,0)</f>
        <v>1063</v>
      </c>
      <c r="E42" s="3232">
        <f t="shared" ca="1" si="0"/>
        <v>38473</v>
      </c>
      <c r="F42" s="3233">
        <f t="shared" si="1"/>
        <v>1.683520865973508E-2</v>
      </c>
      <c r="G42" s="1944">
        <v>1182</v>
      </c>
    </row>
    <row r="43" spans="1:7">
      <c r="A43" s="3067">
        <v>42</v>
      </c>
      <c r="B43" s="3067">
        <v>2004</v>
      </c>
      <c r="C43" s="3067">
        <v>170.98</v>
      </c>
      <c r="D43" s="3232">
        <f ca="1">ROUND('结果表（办公）'!$G$19*结果表!F43,0)</f>
        <v>671</v>
      </c>
      <c r="E43" s="3232">
        <f t="shared" ca="1" si="0"/>
        <v>39244</v>
      </c>
      <c r="F43" s="3233">
        <f t="shared" si="1"/>
        <v>1.0625267055974932E-2</v>
      </c>
      <c r="G43" s="1944">
        <v>746</v>
      </c>
    </row>
    <row r="44" spans="1:7">
      <c r="A44" s="3067">
        <v>43</v>
      </c>
      <c r="B44" s="3067">
        <v>2005</v>
      </c>
      <c r="C44" s="3067">
        <v>245.47</v>
      </c>
      <c r="D44" s="3232">
        <f ca="1">ROUND('结果表（办公）'!$G$19*结果表!F44,0)</f>
        <v>944</v>
      </c>
      <c r="E44" s="3232">
        <f t="shared" ca="1" si="0"/>
        <v>38457</v>
      </c>
      <c r="F44" s="3233">
        <f t="shared" si="1"/>
        <v>1.4955134596211365E-2</v>
      </c>
      <c r="G44" s="1944">
        <v>1050</v>
      </c>
    </row>
    <row r="45" spans="1:7">
      <c r="A45" s="3067">
        <v>44</v>
      </c>
      <c r="B45" s="3067">
        <v>2006</v>
      </c>
      <c r="C45" s="3067">
        <v>322.08999999999997</v>
      </c>
      <c r="D45" s="3232">
        <f ca="1">ROUND('结果表（办公）'!$G$19*结果表!F45,0)</f>
        <v>1238</v>
      </c>
      <c r="E45" s="3232">
        <f t="shared" ca="1" si="0"/>
        <v>38436</v>
      </c>
      <c r="F45" s="3233">
        <f t="shared" si="1"/>
        <v>1.9612590799031476E-2</v>
      </c>
      <c r="G45" s="1944">
        <v>1377</v>
      </c>
    </row>
    <row r="46" spans="1:7">
      <c r="A46" s="3067">
        <v>45</v>
      </c>
      <c r="B46" s="3067">
        <v>2102</v>
      </c>
      <c r="C46" s="3067">
        <v>276.3</v>
      </c>
      <c r="D46" s="3232">
        <f ca="1">ROUND('结果表（办公）'!$G$19*结果表!F46,0)</f>
        <v>1063</v>
      </c>
      <c r="E46" s="3232">
        <f t="shared" ca="1" si="0"/>
        <v>38473</v>
      </c>
      <c r="F46" s="3233">
        <f t="shared" si="1"/>
        <v>1.683520865973508E-2</v>
      </c>
      <c r="G46" s="1944">
        <v>1182</v>
      </c>
    </row>
    <row r="47" spans="1:7">
      <c r="A47" s="3067">
        <v>46</v>
      </c>
      <c r="B47" s="3067">
        <v>2104</v>
      </c>
      <c r="C47" s="3067">
        <v>170.98</v>
      </c>
      <c r="D47" s="3232">
        <f ca="1">ROUND('结果表（办公）'!$G$19*结果表!F47,0)</f>
        <v>671</v>
      </c>
      <c r="E47" s="3232">
        <f t="shared" ca="1" si="0"/>
        <v>39244</v>
      </c>
      <c r="F47" s="3233">
        <f t="shared" si="1"/>
        <v>1.0625267055974932E-2</v>
      </c>
      <c r="G47" s="1944">
        <v>746</v>
      </c>
    </row>
    <row r="48" spans="1:7">
      <c r="A48" s="3067">
        <v>47</v>
      </c>
      <c r="B48" s="3067">
        <v>2105</v>
      </c>
      <c r="C48" s="3067">
        <v>245.47</v>
      </c>
      <c r="D48" s="3232">
        <f ca="1">ROUND('结果表（办公）'!$G$19*结果表!F48,0)</f>
        <v>944</v>
      </c>
      <c r="E48" s="3232">
        <f t="shared" ca="1" si="0"/>
        <v>38457</v>
      </c>
      <c r="F48" s="3233">
        <f t="shared" si="1"/>
        <v>1.4955134596211365E-2</v>
      </c>
      <c r="G48" s="1944">
        <v>1050</v>
      </c>
    </row>
    <row r="49" spans="1:7">
      <c r="A49" s="3067">
        <v>48</v>
      </c>
      <c r="B49" s="3067">
        <v>2106</v>
      </c>
      <c r="C49" s="3067">
        <v>322.08999999999997</v>
      </c>
      <c r="D49" s="3232">
        <f ca="1">ROUND('结果表（办公）'!$G$19*结果表!F49,0)</f>
        <v>1238</v>
      </c>
      <c r="E49" s="3232">
        <f t="shared" ca="1" si="0"/>
        <v>38436</v>
      </c>
      <c r="F49" s="3233">
        <f t="shared" si="1"/>
        <v>1.9612590799031476E-2</v>
      </c>
      <c r="G49" s="1944">
        <v>1377</v>
      </c>
    </row>
    <row r="50" spans="1:7">
      <c r="A50" s="3067">
        <v>49</v>
      </c>
      <c r="B50" s="3067">
        <v>2202</v>
      </c>
      <c r="C50" s="3067">
        <v>276.3</v>
      </c>
      <c r="D50" s="3232">
        <f ca="1">ROUND('结果表（办公）'!$G$19*结果表!F50,0)</f>
        <v>1063</v>
      </c>
      <c r="E50" s="3232">
        <f t="shared" ca="1" si="0"/>
        <v>38473</v>
      </c>
      <c r="F50" s="3233">
        <f t="shared" si="1"/>
        <v>1.683520865973508E-2</v>
      </c>
      <c r="G50" s="1944">
        <v>1182</v>
      </c>
    </row>
    <row r="51" spans="1:7">
      <c r="A51" s="3067">
        <v>50</v>
      </c>
      <c r="B51" s="3067">
        <v>2204</v>
      </c>
      <c r="C51" s="3067">
        <v>170.98</v>
      </c>
      <c r="D51" s="3232">
        <f ca="1">ROUND('结果表（办公）'!$G$19*结果表!F51,0)</f>
        <v>671</v>
      </c>
      <c r="E51" s="3232">
        <f t="shared" ca="1" si="0"/>
        <v>39244</v>
      </c>
      <c r="F51" s="3233">
        <f t="shared" si="1"/>
        <v>1.0625267055974932E-2</v>
      </c>
      <c r="G51" s="1944">
        <v>746</v>
      </c>
    </row>
    <row r="52" spans="1:7">
      <c r="A52" s="3067">
        <v>51</v>
      </c>
      <c r="B52" s="3067">
        <v>2205</v>
      </c>
      <c r="C52" s="3067">
        <v>245.47</v>
      </c>
      <c r="D52" s="3232">
        <f ca="1">ROUND('结果表（办公）'!$G$19*结果表!F52,0)</f>
        <v>944</v>
      </c>
      <c r="E52" s="3232">
        <f t="shared" ca="1" si="0"/>
        <v>38457</v>
      </c>
      <c r="F52" s="3233">
        <f t="shared" si="1"/>
        <v>1.4955134596211365E-2</v>
      </c>
      <c r="G52" s="1944">
        <v>1050</v>
      </c>
    </row>
    <row r="53" spans="1:7">
      <c r="A53" s="3067">
        <v>52</v>
      </c>
      <c r="B53" s="3067">
        <v>2206</v>
      </c>
      <c r="C53" s="3067">
        <v>322.08999999999997</v>
      </c>
      <c r="D53" s="3232">
        <f ca="1">ROUND('结果表（办公）'!$G$19*结果表!F53,0)</f>
        <v>1238</v>
      </c>
      <c r="E53" s="3232">
        <f t="shared" ca="1" si="0"/>
        <v>38436</v>
      </c>
      <c r="F53" s="3233">
        <f t="shared" si="1"/>
        <v>1.9612590799031476E-2</v>
      </c>
      <c r="G53" s="1944">
        <v>1377</v>
      </c>
    </row>
    <row r="54" spans="1:7">
      <c r="A54" s="3067">
        <v>53</v>
      </c>
      <c r="B54" s="3067">
        <v>2403</v>
      </c>
      <c r="C54" s="3067">
        <v>465.51</v>
      </c>
      <c r="D54" s="3232">
        <f ca="1">ROUND('结果表（办公）'!$G$19*结果表!F54,0)</f>
        <v>1754</v>
      </c>
      <c r="E54" s="3232">
        <f t="shared" ca="1" si="0"/>
        <v>37679</v>
      </c>
      <c r="F54" s="3233">
        <f t="shared" si="1"/>
        <v>2.7773821392963964E-2</v>
      </c>
      <c r="G54" s="1944">
        <v>1950</v>
      </c>
    </row>
    <row r="55" spans="1:7">
      <c r="A55" s="3067">
        <v>54</v>
      </c>
      <c r="B55" s="3067">
        <v>2503</v>
      </c>
      <c r="C55" s="3067">
        <v>465.51</v>
      </c>
      <c r="D55" s="3232">
        <f ca="1">ROUND('结果表（办公）'!$G$19*结果表!F55,0)</f>
        <v>1754</v>
      </c>
      <c r="E55" s="3232">
        <f t="shared" ca="1" si="0"/>
        <v>37679</v>
      </c>
      <c r="F55" s="3233">
        <f t="shared" si="1"/>
        <v>2.7773821392963964E-2</v>
      </c>
      <c r="G55" s="1944">
        <v>1950</v>
      </c>
    </row>
    <row r="56" spans="1:7">
      <c r="A56" s="3067">
        <v>55</v>
      </c>
      <c r="B56" s="3067">
        <v>2603</v>
      </c>
      <c r="C56" s="3067">
        <v>467.2</v>
      </c>
      <c r="D56" s="3232">
        <f ca="1">ROUND('结果表（办公）'!$G$19*结果表!F56,0)</f>
        <v>1760</v>
      </c>
      <c r="E56" s="3232">
        <f t="shared" ca="1" si="0"/>
        <v>37671</v>
      </c>
      <c r="F56" s="3233">
        <f t="shared" si="1"/>
        <v>2.787352229027204E-2</v>
      </c>
      <c r="G56" s="1944">
        <v>1957</v>
      </c>
    </row>
    <row r="57" spans="1:7">
      <c r="A57" s="3067">
        <v>56</v>
      </c>
      <c r="B57" s="3067">
        <v>2703</v>
      </c>
      <c r="C57" s="3067">
        <v>467.2</v>
      </c>
      <c r="D57" s="3232">
        <f ca="1">ROUND('结果表（办公）'!$G$19*结果表!F57,0)</f>
        <v>1760</v>
      </c>
      <c r="E57" s="3232">
        <f t="shared" ca="1" si="0"/>
        <v>37671</v>
      </c>
      <c r="F57" s="3233">
        <f t="shared" si="1"/>
        <v>2.787352229027204E-2</v>
      </c>
      <c r="G57" s="1944">
        <v>1957</v>
      </c>
    </row>
    <row r="58" spans="1:7">
      <c r="A58" s="3067">
        <v>57</v>
      </c>
      <c r="B58" s="3067">
        <v>2803</v>
      </c>
      <c r="C58" s="3067">
        <v>467.2</v>
      </c>
      <c r="D58" s="3232">
        <f ca="1">ROUND('结果表（办公）'!$G$19*结果表!F58,0)</f>
        <v>1760</v>
      </c>
      <c r="E58" s="3232">
        <f t="shared" ca="1" si="0"/>
        <v>37671</v>
      </c>
      <c r="F58" s="3233">
        <f t="shared" si="1"/>
        <v>2.787352229027204E-2</v>
      </c>
      <c r="G58" s="1944">
        <v>1957</v>
      </c>
    </row>
    <row r="59" spans="1:7">
      <c r="A59" s="3067">
        <v>58</v>
      </c>
      <c r="B59" s="3067">
        <v>3103</v>
      </c>
      <c r="C59" s="3067">
        <v>468.75</v>
      </c>
      <c r="D59" s="3232">
        <f ca="1">ROUND('结果表（办公）'!$G$19*结果表!F59,0)</f>
        <v>1766</v>
      </c>
      <c r="E59" s="3232">
        <f t="shared" ca="1" si="0"/>
        <v>37675</v>
      </c>
      <c r="F59" s="3233">
        <f t="shared" si="1"/>
        <v>2.7973223187580117E-2</v>
      </c>
      <c r="G59" s="1944">
        <v>1964</v>
      </c>
    </row>
    <row r="60" spans="1:7">
      <c r="A60" s="3067">
        <v>59</v>
      </c>
      <c r="B60" s="3067">
        <v>3203</v>
      </c>
      <c r="C60" s="3067">
        <v>468.75</v>
      </c>
      <c r="D60" s="3232">
        <f ca="1">ROUND('结果表（办公）'!$G$19*结果表!F60,0)</f>
        <v>1766</v>
      </c>
      <c r="E60" s="3232">
        <f t="shared" ca="1" si="0"/>
        <v>37675</v>
      </c>
      <c r="F60" s="3233">
        <f t="shared" si="1"/>
        <v>2.7973223187580117E-2</v>
      </c>
      <c r="G60" s="1944">
        <v>1964</v>
      </c>
    </row>
    <row r="61" spans="1:7">
      <c r="A61" s="3067">
        <v>60</v>
      </c>
      <c r="B61" s="3067">
        <v>3303</v>
      </c>
      <c r="C61" s="3067">
        <v>468.75</v>
      </c>
      <c r="D61" s="3232">
        <f ca="1">'结果表（办公）'!G19-SUM(结果表!D2:D60)</f>
        <v>1770</v>
      </c>
      <c r="E61" s="3232">
        <f t="shared" ca="1" si="0"/>
        <v>37760</v>
      </c>
      <c r="F61" s="3233">
        <f t="shared" si="1"/>
        <v>2.7973223187580117E-2</v>
      </c>
      <c r="G61" s="1944">
        <v>1964</v>
      </c>
    </row>
    <row r="62" spans="1:7">
      <c r="A62" s="3330" t="s">
        <v>3448</v>
      </c>
      <c r="B62" s="3331"/>
      <c r="C62" s="3079">
        <f>SUM(C2:C61)</f>
        <v>16929.979999999996</v>
      </c>
      <c r="D62" s="3232">
        <f ca="1">SUM(D2:D61)</f>
        <v>63143</v>
      </c>
      <c r="E62" s="3232">
        <f t="shared" ca="1" si="0"/>
        <v>37297</v>
      </c>
      <c r="F62" s="3233">
        <f>SUM(F2:F61)</f>
        <v>0.99999999999999967</v>
      </c>
      <c r="G62" s="1944">
        <f>SUM(G2:G61)</f>
        <v>70210</v>
      </c>
    </row>
  </sheetData>
  <mergeCells count="1">
    <mergeCell ref="A62:B6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264" t="s">
        <v>1658</v>
      </c>
      <c r="B1" s="3264"/>
      <c r="C1" s="3264"/>
      <c r="D1" s="3264"/>
    </row>
    <row r="2" spans="1:4" ht="18">
      <c r="A2" s="3265" t="s">
        <v>1642</v>
      </c>
      <c r="B2" s="3265"/>
      <c r="C2" s="3265"/>
      <c r="D2" s="3265"/>
    </row>
    <row r="3" spans="1:4" ht="18.75">
      <c r="A3" s="1976" t="s">
        <v>1643</v>
      </c>
      <c r="B3" s="1976" t="s">
        <v>1644</v>
      </c>
      <c r="C3" s="1976" t="s">
        <v>1645</v>
      </c>
      <c r="D3" s="1976" t="s">
        <v>1646</v>
      </c>
    </row>
    <row r="4" spans="1:4" ht="56.25" customHeight="1">
      <c r="A4" s="1977" t="str">
        <f>项目基本情况!B4</f>
        <v>王鹏</v>
      </c>
      <c r="B4" s="1978">
        <f ca="1">项目基本情况!C4</f>
        <v>1120050019</v>
      </c>
      <c r="C4" s="1979"/>
      <c r="D4" s="1980" t="s">
        <v>1647</v>
      </c>
    </row>
    <row r="5" spans="1:4" ht="56.25" customHeight="1">
      <c r="A5" s="1977" t="str">
        <f>项目基本情况!D4</f>
        <v>郑燚</v>
      </c>
      <c r="B5" s="1978">
        <f ca="1">项目基本情况!E4</f>
        <v>1120070131</v>
      </c>
      <c r="C5" s="1981"/>
      <c r="D5" s="1980" t="s">
        <v>1647</v>
      </c>
    </row>
    <row r="6" spans="1:4" ht="18">
      <c r="A6" s="3265" t="s">
        <v>1648</v>
      </c>
      <c r="B6" s="3265"/>
      <c r="C6" s="3265"/>
      <c r="D6" s="3265"/>
    </row>
    <row r="7" spans="1:4" ht="18.75">
      <c r="A7" s="1976" t="s">
        <v>1643</v>
      </c>
      <c r="B7" s="1978" t="s">
        <v>1649</v>
      </c>
      <c r="C7" s="1976" t="s">
        <v>1645</v>
      </c>
      <c r="D7" s="1976" t="s">
        <v>1646</v>
      </c>
    </row>
    <row r="8" spans="1:4" ht="56.25" customHeight="1">
      <c r="A8" s="1982" t="s">
        <v>866</v>
      </c>
      <c r="B8" s="1982" t="s">
        <v>1</v>
      </c>
      <c r="C8" s="1979"/>
      <c r="D8" s="1980" t="s">
        <v>1647</v>
      </c>
    </row>
    <row r="9" spans="1:4">
      <c r="A9" s="725"/>
      <c r="B9" s="725"/>
      <c r="C9" s="725"/>
      <c r="D9" s="725"/>
    </row>
    <row r="10" spans="1:4" ht="18.75">
      <c r="A10" s="1983" t="s">
        <v>1650</v>
      </c>
      <c r="B10" s="725"/>
      <c r="C10" s="725"/>
      <c r="D10" s="725"/>
    </row>
    <row r="11" spans="1:4" ht="30" customHeight="1">
      <c r="A11" s="3266" t="s">
        <v>1651</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1652</v>
      </c>
      <c r="B16" s="3260"/>
      <c r="C16" s="3260"/>
      <c r="D16" s="3260"/>
    </row>
    <row r="17" spans="1:4" ht="144" customHeight="1">
      <c r="A17" s="3260" t="s">
        <v>1653</v>
      </c>
      <c r="B17" s="3260"/>
      <c r="C17" s="3260"/>
      <c r="D17" s="3260"/>
    </row>
    <row r="18" spans="1:4" ht="15.75" customHeight="1">
      <c r="A18" s="3258" t="str">
        <f>IF(项目基本情况!B8="抵押",'结果表（办公）'!K120,"——")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8"/>
      <c r="C20" s="3258"/>
      <c r="D20" s="3258"/>
    </row>
    <row r="21" spans="1:4" ht="57.75" customHeight="1">
      <c r="A21" s="326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1"/>
      <c r="C21" s="3261"/>
      <c r="D21" s="3261"/>
    </row>
    <row r="22" spans="1:4" ht="18.75" customHeight="1">
      <c r="A22" s="3262" t="s">
        <v>1654</v>
      </c>
      <c r="B22" s="3262"/>
      <c r="C22" s="3262"/>
      <c r="D22" s="3262"/>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272" t="s">
        <v>1665</v>
      </c>
      <c r="B15" s="3267" t="s">
        <v>136</v>
      </c>
      <c r="C15" s="3268"/>
    </row>
    <row r="16" spans="1:7" ht="13.5">
      <c r="A16" s="3273"/>
      <c r="B16" s="3267" t="s">
        <v>69</v>
      </c>
      <c r="C16" s="3268"/>
    </row>
    <row r="17" spans="1:3" ht="13.5">
      <c r="A17" s="3273"/>
      <c r="B17" s="3270" t="s">
        <v>1666</v>
      </c>
      <c r="C17" s="1999" t="s">
        <v>1665</v>
      </c>
    </row>
    <row r="18" spans="1:3" ht="13.5">
      <c r="A18" s="3273"/>
      <c r="B18" s="3270"/>
      <c r="C18" s="1999" t="s">
        <v>1667</v>
      </c>
    </row>
    <row r="19" spans="1:3" ht="13.5">
      <c r="A19" s="3273"/>
      <c r="B19" s="3270"/>
      <c r="C19" s="1999" t="s">
        <v>1668</v>
      </c>
    </row>
    <row r="20" spans="1:3" ht="13.5">
      <c r="A20" s="3274"/>
      <c r="B20" s="3269" t="s">
        <v>1669</v>
      </c>
      <c r="C20" s="3268"/>
    </row>
    <row r="21" spans="1:3" ht="13.5">
      <c r="A21" s="2000" t="s">
        <v>1670</v>
      </c>
      <c r="B21" s="2001"/>
      <c r="C21" s="2002"/>
    </row>
    <row r="22" spans="1:3" ht="13.5">
      <c r="A22" s="3271" t="s">
        <v>1671</v>
      </c>
      <c r="B22" s="3269" t="s">
        <v>1672</v>
      </c>
      <c r="C22" s="3268"/>
    </row>
    <row r="23" spans="1:3" ht="13.5">
      <c r="A23" s="3271"/>
      <c r="B23" s="3269" t="s">
        <v>1673</v>
      </c>
      <c r="C23" s="3268"/>
    </row>
    <row r="24" spans="1:3" ht="13.5">
      <c r="A24" s="3271"/>
      <c r="B24" s="3269" t="s">
        <v>1674</v>
      </c>
      <c r="C24" s="3268"/>
    </row>
    <row r="25" spans="1:3" ht="13.5">
      <c r="A25" s="3271"/>
      <c r="B25" s="3270" t="s">
        <v>1675</v>
      </c>
      <c r="C25" s="1999" t="s">
        <v>1676</v>
      </c>
    </row>
    <row r="26" spans="1:3" ht="13.5">
      <c r="A26" s="3271"/>
      <c r="B26" s="3270"/>
      <c r="C26" s="1999" t="s">
        <v>1677</v>
      </c>
    </row>
    <row r="27" spans="1:3" ht="13.5">
      <c r="A27" s="3271"/>
      <c r="B27" s="3270"/>
      <c r="C27" s="1999" t="s">
        <v>1678</v>
      </c>
    </row>
    <row r="28" spans="1:3" ht="13.5">
      <c r="A28" s="3271"/>
      <c r="B28" s="3270"/>
      <c r="C28" s="1999" t="s">
        <v>1679</v>
      </c>
    </row>
    <row r="29" spans="1:3" ht="13.5">
      <c r="A29" s="3271"/>
      <c r="B29" s="3270"/>
      <c r="C29" s="1999" t="s">
        <v>1680</v>
      </c>
    </row>
    <row r="30" spans="1:3" ht="13.5">
      <c r="A30" s="3271"/>
      <c r="B30" s="3270"/>
      <c r="C30" s="1999" t="s">
        <v>1681</v>
      </c>
    </row>
    <row r="31" spans="1:3" ht="13.5">
      <c r="A31" s="3271"/>
      <c r="B31" s="3270"/>
      <c r="C31" s="1999" t="s">
        <v>1682</v>
      </c>
    </row>
    <row r="32" spans="1:3" ht="13.5">
      <c r="A32" s="3271"/>
      <c r="B32" s="3270"/>
      <c r="C32" s="1999" t="s">
        <v>1683</v>
      </c>
    </row>
    <row r="33" spans="1:3" ht="13.5">
      <c r="A33" s="3271"/>
      <c r="B33" s="327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43557</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3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3045</v>
      </c>
      <c r="B14" s="1022">
        <f ca="1">IF(C14&lt;B2,"已过期",1120040230)</f>
        <v>1120040230</v>
      </c>
      <c r="C14" s="2343">
        <v>43835</v>
      </c>
      <c r="D14" s="2346" t="s">
        <v>3045</v>
      </c>
      <c r="E14" s="1022">
        <f ca="1">IF(F14&lt;B2,"已过期",98030020)</f>
        <v>98030020</v>
      </c>
      <c r="F14" s="1030">
        <v>47118</v>
      </c>
    </row>
    <row r="15" spans="1:6" ht="24" customHeight="1">
      <c r="A15" s="1702" t="s">
        <v>3046</v>
      </c>
      <c r="B15" s="1022">
        <f ca="1">IF(C15&lt;B2,"已过期",1120070085)</f>
        <v>1120070085</v>
      </c>
      <c r="C15" s="2343">
        <v>43814</v>
      </c>
      <c r="D15" s="2347" t="s">
        <v>3046</v>
      </c>
      <c r="E15" s="1022">
        <f ca="1">IF(F15&lt;B2,"已过期",2004110128)</f>
        <v>2004110128</v>
      </c>
      <c r="F15" s="1023">
        <v>47118</v>
      </c>
    </row>
    <row r="16" spans="1:6" ht="24" customHeight="1">
      <c r="A16" s="1701" t="s">
        <v>3047</v>
      </c>
      <c r="B16" s="1022">
        <f ca="1">IF(C16&lt;B2,"已过期",1120140022)</f>
        <v>1120140022</v>
      </c>
      <c r="C16" s="2934">
        <v>44029</v>
      </c>
      <c r="D16" s="2346" t="s">
        <v>3047</v>
      </c>
      <c r="E16" s="1022">
        <f ca="1">IF(F16&lt;B2,"已过期",2008110059)</f>
        <v>2008110059</v>
      </c>
      <c r="F16" s="1030">
        <v>47177</v>
      </c>
    </row>
    <row r="17" spans="1:7" ht="24" customHeight="1">
      <c r="A17" s="1701"/>
      <c r="B17" s="1022"/>
      <c r="C17" s="2343"/>
      <c r="D17" s="2346" t="s">
        <v>3048</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3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275" t="s">
        <v>843</v>
      </c>
      <c r="B25" s="3275"/>
      <c r="C25" s="3275"/>
      <c r="D25" s="3275"/>
      <c r="E25" s="3275"/>
      <c r="F25" s="3275"/>
      <c r="G25" s="3275"/>
    </row>
    <row r="26" spans="1:7" s="1025" customFormat="1" ht="24" customHeight="1">
      <c r="A26" s="3276" t="s">
        <v>844</v>
      </c>
      <c r="B26" s="3276"/>
      <c r="C26" s="3277"/>
      <c r="D26" s="3278" t="s">
        <v>845</v>
      </c>
      <c r="E26" s="3276"/>
      <c r="F26" s="3276"/>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73" priority="88">
      <formula>AND($C28-TODAY()&lt;30,TODAY()&lt;$C28)</formula>
    </cfRule>
  </conditionalFormatting>
  <conditionalFormatting sqref="C28 F4">
    <cfRule type="cellIs" dxfId="272" priority="90" stopIfTrue="1" operator="lessThan">
      <formula>$B$2</formula>
    </cfRule>
  </conditionalFormatting>
  <conditionalFormatting sqref="C5">
    <cfRule type="expression" dxfId="271" priority="85">
      <formula>AND($C5-TODAY()&lt;30,TODAY()&lt;$C5)</formula>
    </cfRule>
  </conditionalFormatting>
  <conditionalFormatting sqref="C5 F5">
    <cfRule type="cellIs" dxfId="270" priority="86" stopIfTrue="1" operator="lessThan">
      <formula>$B$2</formula>
    </cfRule>
  </conditionalFormatting>
  <conditionalFormatting sqref="F6 F8 F10">
    <cfRule type="cellIs" dxfId="269" priority="84" stopIfTrue="1" operator="lessThan">
      <formula>$B$2</formula>
    </cfRule>
  </conditionalFormatting>
  <conditionalFormatting sqref="C4:C11 C13 C23 C17:C21">
    <cfRule type="expression" dxfId="268" priority="82">
      <formula>AND($C4-TODAY()&lt;30,TODAY()&lt;$C4)</formula>
    </cfRule>
  </conditionalFormatting>
  <conditionalFormatting sqref="F7 F9 F11 C4:C11 C13 C23 C17:C21">
    <cfRule type="cellIs" dxfId="267" priority="83" stopIfTrue="1" operator="lessThan">
      <formula>$B$2</formula>
    </cfRule>
  </conditionalFormatting>
  <conditionalFormatting sqref="C18">
    <cfRule type="expression" dxfId="266" priority="72">
      <formula>AND($C18-TODAY()&lt;30,TODAY()&lt;$C18)</formula>
    </cfRule>
  </conditionalFormatting>
  <conditionalFormatting sqref="C18">
    <cfRule type="cellIs" dxfId="265" priority="73" stopIfTrue="1" operator="lessThan">
      <formula>$B$2</formula>
    </cfRule>
  </conditionalFormatting>
  <conditionalFormatting sqref="C20">
    <cfRule type="expression" dxfId="264" priority="70">
      <formula>AND($C20-TODAY()&lt;30,TODAY()&lt;$C20)</formula>
    </cfRule>
  </conditionalFormatting>
  <conditionalFormatting sqref="C20">
    <cfRule type="cellIs" dxfId="263" priority="71" stopIfTrue="1" operator="lessThan">
      <formula>$B$2</formula>
    </cfRule>
  </conditionalFormatting>
  <conditionalFormatting sqref="C17">
    <cfRule type="expression" dxfId="262" priority="64">
      <formula>AND($C17-TODAY()&lt;30,TODAY()&lt;$C17)</formula>
    </cfRule>
  </conditionalFormatting>
  <conditionalFormatting sqref="C17">
    <cfRule type="cellIs" dxfId="261" priority="65" stopIfTrue="1" operator="lessThan">
      <formula>$B$2</formula>
    </cfRule>
  </conditionalFormatting>
  <conditionalFormatting sqref="C19">
    <cfRule type="expression" dxfId="260" priority="62">
      <formula>AND($C19-TODAY()&lt;30,TODAY()&lt;$C19)</formula>
    </cfRule>
  </conditionalFormatting>
  <conditionalFormatting sqref="C19">
    <cfRule type="cellIs" dxfId="259" priority="63" stopIfTrue="1" operator="lessThan">
      <formula>$B$2</formula>
    </cfRule>
  </conditionalFormatting>
  <conditionalFormatting sqref="C21">
    <cfRule type="expression" dxfId="258" priority="60">
      <formula>AND($C21-TODAY()&lt;30,TODAY()&lt;$C21)</formula>
    </cfRule>
  </conditionalFormatting>
  <conditionalFormatting sqref="C21">
    <cfRule type="cellIs" dxfId="257" priority="61" stopIfTrue="1" operator="lessThan">
      <formula>$B$2</formula>
    </cfRule>
  </conditionalFormatting>
  <conditionalFormatting sqref="C23">
    <cfRule type="expression" dxfId="256" priority="58">
      <formula>AND($C23-TODAY()&lt;30,TODAY()&lt;$C23)</formula>
    </cfRule>
  </conditionalFormatting>
  <conditionalFormatting sqref="C23">
    <cfRule type="cellIs" dxfId="255" priority="59" stopIfTrue="1" operator="lessThan">
      <formula>$B$2</formula>
    </cfRule>
  </conditionalFormatting>
  <conditionalFormatting sqref="F18">
    <cfRule type="cellIs" dxfId="254" priority="55" stopIfTrue="1" operator="lessThan">
      <formula>$B$2</formula>
    </cfRule>
  </conditionalFormatting>
  <conditionalFormatting sqref="F22">
    <cfRule type="cellIs" dxfId="253" priority="54" stopIfTrue="1" operator="lessThan">
      <formula>$B$2</formula>
    </cfRule>
  </conditionalFormatting>
  <conditionalFormatting sqref="F21">
    <cfRule type="cellIs" dxfId="252" priority="53" stopIfTrue="1" operator="lessThan">
      <formula>$B$2</formula>
    </cfRule>
  </conditionalFormatting>
  <conditionalFormatting sqref="B4:B11 E4:E11 B17:B23 E18:E23 B13 E13">
    <cfRule type="cellIs" dxfId="251" priority="51" stopIfTrue="1" operator="equal">
      <formula>"已过期"</formula>
    </cfRule>
  </conditionalFormatting>
  <conditionalFormatting sqref="A24:F24">
    <cfRule type="cellIs" dxfId="250" priority="47" stopIfTrue="1" operator="equal">
      <formula>"已过期"</formula>
    </cfRule>
  </conditionalFormatting>
  <conditionalFormatting sqref="F28">
    <cfRule type="expression" dxfId="249" priority="45">
      <formula>AND($E28-TODAY()&lt;30,TODAY()&lt;$E28)</formula>
    </cfRule>
  </conditionalFormatting>
  <conditionalFormatting sqref="F28">
    <cfRule type="cellIs" dxfId="248" priority="46" stopIfTrue="1" operator="lessThan">
      <formula>$B$2</formula>
    </cfRule>
  </conditionalFormatting>
  <conditionalFormatting sqref="F29">
    <cfRule type="expression" dxfId="247" priority="41" stopIfTrue="1">
      <formula>AND($E29-TODAY()&lt;30,TODAY()&lt;$E29)</formula>
    </cfRule>
  </conditionalFormatting>
  <conditionalFormatting sqref="F29">
    <cfRule type="cellIs" dxfId="246" priority="42" stopIfTrue="1" operator="lessThan">
      <formula>$B$2</formula>
    </cfRule>
  </conditionalFormatting>
  <conditionalFormatting sqref="F13">
    <cfRule type="cellIs" dxfId="245" priority="34" stopIfTrue="1" operator="lessThan">
      <formula>$B$2</formula>
    </cfRule>
  </conditionalFormatting>
  <conditionalFormatting sqref="C12">
    <cfRule type="expression" dxfId="244" priority="32">
      <formula>AND($C12-TODAY()&lt;30,TODAY()&lt;$C12)</formula>
    </cfRule>
  </conditionalFormatting>
  <conditionalFormatting sqref="C12">
    <cfRule type="cellIs" dxfId="243" priority="33" stopIfTrue="1" operator="lessThan">
      <formula>$B$2</formula>
    </cfRule>
  </conditionalFormatting>
  <conditionalFormatting sqref="C12">
    <cfRule type="expression" dxfId="242" priority="30">
      <formula>AND($C12-TODAY()&lt;30,TODAY()&lt;$C12)</formula>
    </cfRule>
  </conditionalFormatting>
  <conditionalFormatting sqref="C12">
    <cfRule type="cellIs" dxfId="241" priority="31" stopIfTrue="1" operator="lessThan">
      <formula>$B$2</formula>
    </cfRule>
  </conditionalFormatting>
  <conditionalFormatting sqref="B12">
    <cfRule type="cellIs" dxfId="240" priority="29" stopIfTrue="1" operator="equal">
      <formula>"已过期"</formula>
    </cfRule>
  </conditionalFormatting>
  <conditionalFormatting sqref="E12">
    <cfRule type="cellIs" dxfId="239" priority="28" stopIfTrue="1" operator="equal">
      <formula>"已过期"</formula>
    </cfRule>
  </conditionalFormatting>
  <conditionalFormatting sqref="F12">
    <cfRule type="cellIs" dxfId="238" priority="27" stopIfTrue="1" operator="lessThan">
      <formula>$B$2</formula>
    </cfRule>
  </conditionalFormatting>
  <conditionalFormatting sqref="C22">
    <cfRule type="expression" dxfId="237" priority="25">
      <formula>AND($C22-TODAY()&lt;30,TODAY()&lt;$C22)</formula>
    </cfRule>
  </conditionalFormatting>
  <conditionalFormatting sqref="C22">
    <cfRule type="cellIs" dxfId="236" priority="26" stopIfTrue="1" operator="lessThan">
      <formula>$B$2</formula>
    </cfRule>
  </conditionalFormatting>
  <conditionalFormatting sqref="C22">
    <cfRule type="expression" dxfId="235" priority="23">
      <formula>AND($C22-TODAY()&lt;30,TODAY()&lt;$C22)</formula>
    </cfRule>
  </conditionalFormatting>
  <conditionalFormatting sqref="C22">
    <cfRule type="cellIs" dxfId="234" priority="24" stopIfTrue="1" operator="lessThan">
      <formula>$B$2</formula>
    </cfRule>
  </conditionalFormatting>
  <conditionalFormatting sqref="C16">
    <cfRule type="expression" dxfId="233" priority="21">
      <formula>AND($C16-TODAY()&lt;30,TODAY()&lt;$C16)</formula>
    </cfRule>
  </conditionalFormatting>
  <conditionalFormatting sqref="C16">
    <cfRule type="cellIs" dxfId="232" priority="22" stopIfTrue="1" operator="lessThan">
      <formula>$B$2</formula>
    </cfRule>
  </conditionalFormatting>
  <conditionalFormatting sqref="C16">
    <cfRule type="expression" dxfId="231" priority="19">
      <formula>AND($C16-TODAY()&lt;30,TODAY()&lt;$C16)</formula>
    </cfRule>
  </conditionalFormatting>
  <conditionalFormatting sqref="C16">
    <cfRule type="cellIs" dxfId="230" priority="20" stopIfTrue="1" operator="lessThan">
      <formula>$B$2</formula>
    </cfRule>
  </conditionalFormatting>
  <conditionalFormatting sqref="B16">
    <cfRule type="cellIs" dxfId="229" priority="18" stopIfTrue="1" operator="equal">
      <formula>"已过期"</formula>
    </cfRule>
  </conditionalFormatting>
  <conditionalFormatting sqref="C14:C15">
    <cfRule type="expression" dxfId="228" priority="16">
      <formula>AND($C14-TODAY()&lt;30,TODAY()&lt;$C14)</formula>
    </cfRule>
  </conditionalFormatting>
  <conditionalFormatting sqref="C14:C15">
    <cfRule type="cellIs" dxfId="227" priority="17" stopIfTrue="1" operator="lessThan">
      <formula>$B$2</formula>
    </cfRule>
  </conditionalFormatting>
  <conditionalFormatting sqref="C14">
    <cfRule type="expression" dxfId="226" priority="14">
      <formula>AND($C14-TODAY()&lt;30,TODAY()&lt;$C14)</formula>
    </cfRule>
  </conditionalFormatting>
  <conditionalFormatting sqref="C14">
    <cfRule type="cellIs" dxfId="225" priority="15" stopIfTrue="1" operator="lessThan">
      <formula>$B$2</formula>
    </cfRule>
  </conditionalFormatting>
  <conditionalFormatting sqref="C15">
    <cfRule type="expression" dxfId="224" priority="12">
      <formula>AND($C15-TODAY()&lt;30,TODAY()&lt;$C15)</formula>
    </cfRule>
  </conditionalFormatting>
  <conditionalFormatting sqref="C15">
    <cfRule type="cellIs" dxfId="223" priority="13" stopIfTrue="1" operator="lessThan">
      <formula>$B$2</formula>
    </cfRule>
  </conditionalFormatting>
  <conditionalFormatting sqref="B14">
    <cfRule type="cellIs" dxfId="222" priority="11" stopIfTrue="1" operator="equal">
      <formula>"已过期"</formula>
    </cfRule>
  </conditionalFormatting>
  <conditionalFormatting sqref="B15">
    <cfRule type="cellIs" dxfId="221" priority="10" stopIfTrue="1" operator="equal">
      <formula>"已过期"</formula>
    </cfRule>
  </conditionalFormatting>
  <conditionalFormatting sqref="A15">
    <cfRule type="cellIs" dxfId="220" priority="9" stopIfTrue="1" operator="equal">
      <formula>"已过期"</formula>
    </cfRule>
  </conditionalFormatting>
  <conditionalFormatting sqref="C15">
    <cfRule type="expression" dxfId="219" priority="8">
      <formula>AND($C15-TODAY()&lt;30,TODAY()&lt;$C15)</formula>
    </cfRule>
  </conditionalFormatting>
  <conditionalFormatting sqref="F16">
    <cfRule type="cellIs" dxfId="218" priority="7" stopIfTrue="1" operator="lessThan">
      <formula>$B$2</formula>
    </cfRule>
  </conditionalFormatting>
  <conditionalFormatting sqref="E16 E14">
    <cfRule type="cellIs" dxfId="217" priority="6" stopIfTrue="1" operator="equal">
      <formula>"已过期"</formula>
    </cfRule>
  </conditionalFormatting>
  <conditionalFormatting sqref="E15">
    <cfRule type="cellIs" dxfId="216" priority="5" stopIfTrue="1" operator="equal">
      <formula>"已过期"</formula>
    </cfRule>
  </conditionalFormatting>
  <conditionalFormatting sqref="D15">
    <cfRule type="cellIs" dxfId="215" priority="4" stopIfTrue="1" operator="equal">
      <formula>"已过期"</formula>
    </cfRule>
  </conditionalFormatting>
  <conditionalFormatting sqref="F17">
    <cfRule type="cellIs" dxfId="214" priority="3" stopIfTrue="1" operator="lessThan">
      <formula>$B$2</formula>
    </cfRule>
  </conditionalFormatting>
  <conditionalFormatting sqref="E17">
    <cfRule type="cellIs" dxfId="213" priority="2" stopIfTrue="1" operator="equal">
      <formula>"已过期"</formula>
    </cfRule>
  </conditionalFormatting>
  <conditionalFormatting sqref="F14">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151</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成本法 (元)</vt:lpstr>
      <vt:lpstr>假设开发法</vt:lpstr>
      <vt:lpstr>结果表（办公）</vt:lpstr>
      <vt:lpstr>比较法-办公</vt:lpstr>
      <vt:lpstr>典型户型修正</vt:lpstr>
      <vt:lpstr>收益法（汇总）</vt:lpstr>
      <vt:lpstr>收益法-办公已出租</vt:lpstr>
      <vt:lpstr>收益法-办公未出租</vt:lpstr>
      <vt:lpstr>比较法-办公租金</vt:lpstr>
      <vt:lpstr>结果表-办公</vt:lpstr>
      <vt:lpstr>比较法-商业</vt:lpstr>
      <vt:lpstr>收益法-商业</vt:lpstr>
      <vt:lpstr>收益法 (元)</vt:lpstr>
      <vt:lpstr>酒店收入计算</vt:lpstr>
      <vt:lpstr>比较法-住宅</vt:lpstr>
      <vt:lpstr>比较法-工业</vt:lpstr>
      <vt:lpstr>比较法-车位</vt:lpstr>
      <vt:lpstr>比较法-仓储</vt:lpstr>
      <vt:lpstr>结果表-商业</vt:lpstr>
      <vt:lpstr>成本法</vt:lpstr>
      <vt:lpstr>土地比较法-住宅、综合</vt:lpstr>
      <vt:lpstr>土地比较法-工业</vt:lpstr>
      <vt:lpstr>基准地价修正</vt:lpstr>
      <vt:lpstr>修正</vt:lpstr>
      <vt:lpstr>容积率修正</vt:lpstr>
      <vt:lpstr>基准地价（汇总）</vt:lpstr>
      <vt:lpstr>地价</vt:lpstr>
      <vt:lpstr>收益法-仓储</vt:lpstr>
      <vt:lpstr>收益法-车位</vt:lpstr>
      <vt:lpstr>成本法（废）</vt:lpstr>
      <vt:lpstr>区片价</vt:lpstr>
      <vt:lpstr>因素修正幅度</vt:lpstr>
      <vt:lpstr>存贷款利率</vt:lpstr>
      <vt:lpstr>区片价（范围）</vt:lpstr>
      <vt:lpstr>结果表-仓储</vt:lpstr>
      <vt:lpstr>商业租金</vt:lpstr>
      <vt:lpstr>租约</vt:lpstr>
      <vt:lpstr>结果表</vt:lpstr>
      <vt:lpstr>估价师及机构信息!Print_Area</vt:lpstr>
      <vt:lpstr>'收益法 (元)'!Print_Area</vt:lpstr>
      <vt:lpstr>'收益法-办公未出租'!Print_Area</vt:lpstr>
      <vt:lpstr>'收益法-办公已出租'!Print_Area</vt:lpstr>
      <vt:lpstr>'收益法-仓储'!Print_Area</vt:lpstr>
      <vt:lpstr>'收益法-车位'!Print_Area</vt:lpstr>
      <vt:lpstr>'收益法-商业'!Print_Area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2019-03-28T06:27:35Z</cp:lastPrinted>
  <dcterms:created xsi:type="dcterms:W3CDTF">2015-07-13T07:17:23Z</dcterms:created>
  <dcterms:modified xsi:type="dcterms:W3CDTF">2019-04-02T08:24:27Z</dcterms:modified>
</cp:coreProperties>
</file>