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635" yWindow="75" windowWidth="15060" windowHeight="1393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面积表" sheetId="72" r:id="rId11"/>
    <sheet name="项目基本情况" sheetId="4"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73" r:id="rId44"/>
    <sheet name="住宅案例" sheetId="74" r:id="rId45"/>
  </sheets>
  <externalReferences>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C33" i="21" l="1"/>
  <c r="I40" i="39"/>
  <c r="G40" i="39"/>
  <c r="E40" i="39"/>
  <c r="C40" i="39"/>
  <c r="I48" i="39"/>
  <c r="G48" i="39"/>
  <c r="E48" i="39"/>
  <c r="E119" i="39"/>
  <c r="F119" i="39" s="1"/>
  <c r="G119" i="39" s="1"/>
  <c r="H119" i="39" s="1"/>
  <c r="I119" i="39" s="1"/>
  <c r="D119" i="39"/>
  <c r="E72" i="39"/>
  <c r="F72" i="39" s="1"/>
  <c r="G72" i="39" s="1"/>
  <c r="H72" i="39" s="1"/>
  <c r="I72" i="39" s="1"/>
  <c r="J72" i="39" s="1"/>
  <c r="K72" i="39" s="1"/>
  <c r="L72" i="39" s="1"/>
  <c r="M72" i="39" s="1"/>
  <c r="N72" i="39" s="1"/>
  <c r="D72" i="39"/>
  <c r="I9" i="39"/>
  <c r="G9" i="39"/>
  <c r="E9" i="39"/>
  <c r="I7" i="39"/>
  <c r="G7" i="39"/>
  <c r="E7" i="39"/>
  <c r="C7" i="39"/>
  <c r="Q7" i="1"/>
  <c r="L7" i="1"/>
  <c r="F20" i="6" l="1"/>
  <c r="F19" i="6"/>
  <c r="K13" i="3"/>
  <c r="I13" i="3"/>
  <c r="A3" i="3"/>
  <c r="K4" i="72"/>
  <c r="L4" i="72"/>
  <c r="K5" i="72"/>
  <c r="K6" i="72"/>
  <c r="K7" i="72"/>
  <c r="J4" i="72"/>
  <c r="J5" i="72"/>
  <c r="J8" i="72" s="1"/>
  <c r="J6" i="72"/>
  <c r="J7" i="72"/>
  <c r="L7" i="72" s="1"/>
  <c r="K8" i="72"/>
  <c r="L6" i="72"/>
  <c r="L3" i="72"/>
  <c r="K3" i="72"/>
  <c r="J3" i="72"/>
  <c r="H8" i="72"/>
  <c r="F8" i="72"/>
  <c r="L8" i="72" l="1"/>
  <c r="L5" i="72"/>
  <c r="Z26" i="70"/>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W26" i="70"/>
  <c r="W27" i="70"/>
  <c r="W28" i="70"/>
  <c r="S26" i="70"/>
  <c r="T26" i="70"/>
  <c r="U26" i="70"/>
  <c r="S27" i="70"/>
  <c r="T27" i="70"/>
  <c r="U27" i="70"/>
  <c r="S28" i="70"/>
  <c r="T28" i="70"/>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M5" i="46" l="1"/>
  <c r="M2" i="46"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AB23" i="70" l="1"/>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Q27" i="40"/>
  <c r="Z27" i="40" s="1"/>
  <c r="D95" i="40"/>
  <c r="E95" i="40"/>
  <c r="F27" i="40"/>
  <c r="AA27" i="40" s="1"/>
  <c r="Q31" i="39"/>
  <c r="Z31" i="39" s="1"/>
  <c r="D104" i="39"/>
  <c r="E104" i="39" s="1"/>
  <c r="F104" i="39" s="1"/>
  <c r="G104" i="39" s="1"/>
  <c r="F31" i="39"/>
  <c r="AA31" i="39" s="1"/>
  <c r="G20" i="20"/>
  <c r="B88" i="46"/>
  <c r="C22" i="20"/>
  <c r="B68" i="46"/>
  <c r="S18" i="36"/>
  <c r="S18" i="35"/>
  <c r="S21" i="37"/>
  <c r="S21" i="34"/>
  <c r="S31" i="39"/>
  <c r="C27" i="40"/>
  <c r="C31" i="39"/>
  <c r="B57" i="46"/>
  <c r="B77" i="46"/>
  <c r="E66" i="36"/>
  <c r="H18" i="35"/>
  <c r="J18" i="35"/>
  <c r="H21" i="37"/>
  <c r="J21" i="37"/>
  <c r="E84" i="34"/>
  <c r="F84" i="34"/>
  <c r="G84" i="34"/>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c r="C25" i="40"/>
  <c r="G16" i="20"/>
  <c r="G15" i="20"/>
  <c r="B83" i="46"/>
  <c r="C24" i="20"/>
  <c r="B75" i="46"/>
  <c r="C21" i="20"/>
  <c r="B76" i="46"/>
  <c r="C20" i="20"/>
  <c r="C18" i="20"/>
  <c r="B73" i="46"/>
  <c r="C17" i="20"/>
  <c r="B61" i="46"/>
  <c r="C16" i="20"/>
  <c r="B50" i="46"/>
  <c r="C15" i="20"/>
  <c r="B72" i="46"/>
  <c r="E54" i="21"/>
  <c r="F54" i="21" s="1"/>
  <c r="I54" i="21"/>
  <c r="J54" i="21" s="1"/>
  <c r="G54" i="21"/>
  <c r="H54" i="21" s="1"/>
  <c r="D125" i="21"/>
  <c r="E125" i="21"/>
  <c r="D123" i="21"/>
  <c r="E123" i="21" s="1"/>
  <c r="F123" i="21" s="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c r="F79" i="21"/>
  <c r="G79" i="21"/>
  <c r="D85" i="21"/>
  <c r="E85" i="21"/>
  <c r="D81" i="21"/>
  <c r="E81" i="21"/>
  <c r="F81" i="21"/>
  <c r="G81" i="21"/>
  <c r="D77" i="21"/>
  <c r="E77" i="21" s="1"/>
  <c r="B130" i="21"/>
  <c r="B128" i="21"/>
  <c r="B126" i="21"/>
  <c r="B98" i="21"/>
  <c r="B96" i="21"/>
  <c r="B94" i="21"/>
  <c r="B92" i="21"/>
  <c r="H28" i="21" s="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c r="F32" i="21"/>
  <c r="AA32" i="21" s="1"/>
  <c r="F38" i="21"/>
  <c r="S38" i="21"/>
  <c r="F36" i="21"/>
  <c r="S36" i="21" s="1"/>
  <c r="F39" i="21"/>
  <c r="AA39" i="21"/>
  <c r="J40" i="21"/>
  <c r="W40" i="21"/>
  <c r="H35" i="21"/>
  <c r="AB35" i="21"/>
  <c r="J8" i="21"/>
  <c r="AC8" i="21" s="1"/>
  <c r="J9" i="21"/>
  <c r="AC9" i="21" s="1"/>
  <c r="H8" i="21"/>
  <c r="U8" i="21" s="1"/>
  <c r="H9" i="21"/>
  <c r="AB9" i="21" s="1"/>
  <c r="H10" i="21"/>
  <c r="U10" i="21" s="1"/>
  <c r="H39" i="21"/>
  <c r="AB39" i="21" s="1"/>
  <c r="J34" i="21"/>
  <c r="W34" i="21"/>
  <c r="H36" i="21"/>
  <c r="U36" i="21" s="1"/>
  <c r="F35" i="21"/>
  <c r="AA35" i="21" s="1"/>
  <c r="J33" i="21"/>
  <c r="W33" i="21" s="1"/>
  <c r="H33" i="21"/>
  <c r="U33" i="21" s="1"/>
  <c r="F33" i="21"/>
  <c r="J10" i="21"/>
  <c r="AC10" i="21"/>
  <c r="H26" i="21"/>
  <c r="AB26" i="21" s="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AC40" i="21"/>
  <c r="AA38" i="21"/>
  <c r="AC35" i="21"/>
  <c r="C29" i="39"/>
  <c r="C23" i="39"/>
  <c r="U36" i="39"/>
  <c r="H32" i="33"/>
  <c r="AB32" i="33"/>
  <c r="F85" i="40"/>
  <c r="G85" i="40" s="1"/>
  <c r="AA12" i="33"/>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s="1"/>
  <c r="AL5" i="3"/>
  <c r="BQ13" i="3"/>
  <c r="BL572" i="3"/>
  <c r="J14" i="21"/>
  <c r="F14" i="21"/>
  <c r="AA14" i="21"/>
  <c r="H14" i="21"/>
  <c r="U14"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AB30" i="21"/>
  <c r="AB14" i="21"/>
  <c r="W14" i="21"/>
  <c r="AC14" i="21"/>
  <c r="W31" i="34"/>
  <c r="S46" i="33"/>
  <c r="U36" i="37"/>
  <c r="AC13" i="36"/>
  <c r="AB45" i="33"/>
  <c r="AB31" i="33"/>
  <c r="AA27" i="33"/>
  <c r="AB27" i="33"/>
  <c r="S45" i="21"/>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AB44" i="33"/>
  <c r="G107" i="37"/>
  <c r="H107" i="37"/>
  <c r="I107" i="37"/>
  <c r="J107" i="37"/>
  <c r="K107" i="37"/>
  <c r="L107" i="37"/>
  <c r="M107" i="37"/>
  <c r="AA9" i="21"/>
  <c r="F37" i="21"/>
  <c r="S37" i="21" s="1"/>
  <c r="J37" i="21"/>
  <c r="W37" i="21" s="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AC26" i="36"/>
  <c r="W25" i="35"/>
  <c r="AZ300" i="3"/>
  <c r="AZ354" i="3"/>
  <c r="AZ322" i="3"/>
  <c r="H13" i="39"/>
  <c r="AB13" i="39" s="1"/>
  <c r="F13" i="39"/>
  <c r="J13" i="39"/>
  <c r="AC13" i="39" s="1"/>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U26" i="21"/>
  <c r="AA33" i="21"/>
  <c r="S33" i="21"/>
  <c r="J32" i="21"/>
  <c r="AC32" i="21" s="1"/>
  <c r="AC5" i="3"/>
  <c r="F17" i="21"/>
  <c r="S17" i="21" s="1"/>
  <c r="H17" i="21"/>
  <c r="AB17" i="21" s="1"/>
  <c r="J17" i="21"/>
  <c r="AC17" i="21" s="1"/>
  <c r="H37" i="21"/>
  <c r="U37" i="21" s="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S32" i="21"/>
  <c r="U38" i="21"/>
  <c r="AB34" i="21"/>
  <c r="BL571" i="3"/>
  <c r="BA571" i="3"/>
  <c r="AZ571" i="3" s="1"/>
  <c r="BL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AB10"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AA40" i="21"/>
  <c r="S13" i="39"/>
  <c r="AA13" i="39"/>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A37" i="39"/>
  <c r="W29" i="35"/>
  <c r="AC39" i="39"/>
  <c r="AA39" i="39"/>
  <c r="U34" i="39"/>
  <c r="AB46"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AB37" i="21"/>
  <c r="W28" i="21"/>
  <c r="AC46" i="21"/>
  <c r="AC26" i="21"/>
  <c r="F85" i="21"/>
  <c r="G85" i="21"/>
  <c r="J23" i="21"/>
  <c r="W23" i="21" s="1"/>
  <c r="F23" i="21"/>
  <c r="AA23" i="21" s="1"/>
  <c r="H23" i="21"/>
  <c r="AB23" i="21" s="1"/>
  <c r="W13" i="21"/>
  <c r="AC21" i="21"/>
  <c r="W21" i="21"/>
  <c r="W44" i="21"/>
  <c r="W10" i="21"/>
  <c r="AC38" i="21"/>
  <c r="AB21" i="21"/>
  <c r="U21" i="21"/>
  <c r="AA30"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W13" i="39"/>
  <c r="S11" i="39"/>
  <c r="AB45" i="39"/>
  <c r="AA21" i="39"/>
  <c r="AC38" i="39"/>
  <c r="S14" i="39"/>
  <c r="AB15" i="39"/>
  <c r="U11" i="39"/>
  <c r="U31" i="39"/>
  <c r="AB31" i="39"/>
  <c r="S38" i="39"/>
  <c r="S22" i="31"/>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F28" i="6" s="1"/>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A25" i="21"/>
  <c r="AC37" i="21"/>
  <c r="AA29" i="21"/>
  <c r="W31" i="21"/>
  <c r="AC27" i="21"/>
  <c r="G95" i="40"/>
  <c r="J27" i="40"/>
  <c r="W37" i="40"/>
  <c r="W30" i="40"/>
  <c r="S34" i="40"/>
  <c r="U38" i="40"/>
  <c r="S40" i="40"/>
  <c r="S42" i="40"/>
  <c r="J31" i="39"/>
  <c r="W31" i="39" s="1"/>
  <c r="S45" i="39"/>
  <c r="AB33" i="39"/>
  <c r="AC46" i="39"/>
  <c r="S34" i="39"/>
  <c r="W36" i="39"/>
  <c r="AC37" i="39"/>
  <c r="U14" i="39"/>
  <c r="W16" i="39"/>
  <c r="S15" i="39"/>
  <c r="W45" i="39"/>
  <c r="S41" i="39"/>
  <c r="AA46" i="39"/>
  <c r="W34" i="39"/>
  <c r="W10"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E4" i="4"/>
  <c r="C4" i="4"/>
  <c r="G66" i="36"/>
  <c r="J18" i="36"/>
  <c r="W18" i="36"/>
  <c r="AC18" i="36"/>
  <c r="L20" i="6"/>
  <c r="B21" i="55"/>
  <c r="B72" i="63" s="1"/>
  <c r="B20" i="55"/>
  <c r="B70" i="63" s="1"/>
  <c r="C45" i="9"/>
  <c r="B7" i="66" s="1"/>
  <c r="O40" i="9"/>
  <c r="K31" i="9" s="1"/>
  <c r="K32" i="9" s="1"/>
  <c r="N76" i="9"/>
  <c r="C46" i="9"/>
  <c r="K33" i="9"/>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B12" i="67"/>
  <c r="I3" i="65"/>
  <c r="B8" i="67"/>
  <c r="B9" i="67"/>
  <c r="I5" i="65"/>
  <c r="M11" i="44"/>
  <c r="E14" i="67"/>
  <c r="F10" i="44"/>
  <c r="F9" i="67"/>
  <c r="J17" i="44"/>
  <c r="B11" i="67"/>
  <c r="F14" i="67"/>
  <c r="M26" i="44"/>
  <c r="M8" i="44"/>
  <c r="J6" i="65"/>
  <c r="L48" i="44"/>
  <c r="F39" i="44"/>
  <c r="M31" i="44"/>
  <c r="B10" i="67"/>
  <c r="J15" i="15"/>
  <c r="F12" i="67"/>
  <c r="F10" i="67"/>
  <c r="N5" i="65"/>
  <c r="M29" i="15"/>
  <c r="E11" i="67"/>
  <c r="F8" i="44"/>
  <c r="M25" i="44"/>
  <c r="N3" i="65"/>
  <c r="M24" i="44"/>
  <c r="M8" i="15"/>
  <c r="B13" i="67"/>
  <c r="J36" i="15"/>
  <c r="E10" i="67"/>
  <c r="I6" i="65"/>
  <c r="F40" i="15"/>
  <c r="F36" i="15"/>
  <c r="F45" i="44"/>
  <c r="F6" i="15"/>
  <c r="F26" i="15"/>
  <c r="E12" i="67"/>
  <c r="E8" i="67"/>
  <c r="F28" i="44"/>
  <c r="F15" i="44"/>
  <c r="L49" i="44"/>
  <c r="L48" i="15"/>
  <c r="F42" i="15"/>
  <c r="F43" i="15"/>
  <c r="M10" i="44"/>
  <c r="F7" i="15"/>
  <c r="J5" i="65"/>
  <c r="J7" i="65"/>
  <c r="N7" i="65"/>
  <c r="M28" i="15"/>
  <c r="M24" i="15"/>
  <c r="F37" i="15"/>
  <c r="M26" i="15"/>
  <c r="F18" i="44"/>
  <c r="N4" i="65"/>
  <c r="F8" i="15"/>
  <c r="E13" i="67"/>
  <c r="F40" i="44"/>
  <c r="F16" i="15"/>
  <c r="M6" i="15"/>
  <c r="B14" i="67"/>
  <c r="J4" i="65"/>
  <c r="F8" i="67"/>
  <c r="J3" i="65"/>
  <c r="I4" i="65"/>
  <c r="I7" i="65"/>
  <c r="F11" i="67"/>
  <c r="M30" i="44"/>
  <c r="F9" i="15"/>
  <c r="M9" i="15"/>
  <c r="F13" i="15"/>
  <c r="M23" i="15"/>
  <c r="F43" i="44"/>
  <c r="F9" i="44"/>
  <c r="E9" i="67"/>
  <c r="F11" i="44"/>
  <c r="F38" i="44"/>
  <c r="F38" i="15"/>
  <c r="F13" i="67"/>
  <c r="M22" i="15"/>
  <c r="M28" i="44"/>
  <c r="N6" i="65"/>
  <c r="L47" i="15"/>
  <c r="M43" i="9" l="1"/>
  <c r="D18" i="9"/>
  <c r="M44" i="9" s="1"/>
  <c r="A30" i="51"/>
  <c r="B22" i="63" s="1"/>
  <c r="A30" i="64"/>
  <c r="W9" i="21"/>
  <c r="U9" i="21"/>
  <c r="AB32" i="21"/>
  <c r="H11" i="21"/>
  <c r="F69" i="21"/>
  <c r="G69" i="21" s="1"/>
  <c r="H69" i="21" s="1"/>
  <c r="J11" i="21"/>
  <c r="AB28" i="21"/>
  <c r="U28" i="21"/>
  <c r="W29" i="21"/>
  <c r="S27" i="21"/>
  <c r="U27" i="21"/>
  <c r="W25" i="21"/>
  <c r="AB25" i="21"/>
  <c r="AA31" i="21"/>
  <c r="AB29" i="21"/>
  <c r="F28" i="21"/>
  <c r="AC23" i="21"/>
  <c r="U23" i="21"/>
  <c r="U17" i="21"/>
  <c r="U19" i="21"/>
  <c r="S19" i="21"/>
  <c r="S21" i="21"/>
  <c r="S23" i="21"/>
  <c r="AC19" i="21"/>
  <c r="W17" i="21"/>
  <c r="AA17" i="21"/>
  <c r="G123" i="21"/>
  <c r="H123" i="21" s="1"/>
  <c r="I123" i="21" s="1"/>
  <c r="J123" i="21" s="1"/>
  <c r="K123" i="21" s="1"/>
  <c r="L123" i="21" s="1"/>
  <c r="M123" i="21" s="1"/>
  <c r="J42" i="21"/>
  <c r="AC42" i="21" s="1"/>
  <c r="H42" i="21"/>
  <c r="AB42" i="21" s="1"/>
  <c r="F42" i="21"/>
  <c r="AA42" i="21" s="1"/>
  <c r="U42" i="21"/>
  <c r="U39" i="21"/>
  <c r="AB36" i="21"/>
  <c r="AA36" i="21"/>
  <c r="S35" i="21"/>
  <c r="F15" i="21"/>
  <c r="S15" i="21" s="1"/>
  <c r="H15" i="21"/>
  <c r="F77" i="21"/>
  <c r="G77" i="21" s="1"/>
  <c r="J15" i="21"/>
  <c r="W15" i="21" s="1"/>
  <c r="AA15" i="21"/>
  <c r="P75" i="15"/>
  <c r="AA43" i="39"/>
  <c r="J42" i="39"/>
  <c r="F42" i="39"/>
  <c r="H42" i="39"/>
  <c r="H41" i="39"/>
  <c r="AB41" i="39" s="1"/>
  <c r="AB43" i="39"/>
  <c r="U41" i="39"/>
  <c r="AB44" i="39"/>
  <c r="AB38" i="39"/>
  <c r="W29" i="39"/>
  <c r="S29" i="39"/>
  <c r="AB29" i="39"/>
  <c r="U27" i="39"/>
  <c r="S27" i="39"/>
  <c r="W27" i="39"/>
  <c r="W25" i="39"/>
  <c r="AB25" i="39"/>
  <c r="S25" i="39"/>
  <c r="U23" i="39"/>
  <c r="W23" i="39"/>
  <c r="S23" i="39"/>
  <c r="AC21" i="39"/>
  <c r="AC19" i="39"/>
  <c r="AA19" i="39"/>
  <c r="U19" i="39"/>
  <c r="AB17" i="39"/>
  <c r="S17" i="39"/>
  <c r="AC17" i="39"/>
  <c r="W11" i="39"/>
  <c r="AC44" i="39"/>
  <c r="AA44" i="39"/>
  <c r="AC43" i="39"/>
  <c r="W41" i="39"/>
  <c r="E5" i="6"/>
  <c r="D12" i="11" s="1"/>
  <c r="C12" i="11" s="1"/>
  <c r="G29" i="6"/>
  <c r="G12" i="1"/>
  <c r="D65" i="46"/>
  <c r="D50" i="46"/>
  <c r="F36" i="44"/>
  <c r="M22" i="44"/>
  <c r="M20" i="15"/>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C18" i="44"/>
  <c r="E2" i="65"/>
  <c r="E3" i="65"/>
  <c r="W42" i="21" l="1"/>
  <c r="I69" i="21"/>
  <c r="J69" i="21" s="1"/>
  <c r="K69" i="21" s="1"/>
  <c r="L69" i="21" s="1"/>
  <c r="M69" i="21" s="1"/>
  <c r="F11" i="21"/>
  <c r="W11" i="21"/>
  <c r="AC11" i="21"/>
  <c r="U11" i="21"/>
  <c r="AB11" i="21"/>
  <c r="S28" i="21"/>
  <c r="AA28" i="21"/>
  <c r="S42" i="21"/>
  <c r="U15" i="21"/>
  <c r="AB15" i="21"/>
  <c r="AC15" i="21"/>
  <c r="AB42" i="39"/>
  <c r="U42" i="39"/>
  <c r="AC42" i="39"/>
  <c r="W42" i="39"/>
  <c r="J7" i="33"/>
  <c r="O23" i="46"/>
  <c r="J60" i="44"/>
  <c r="J61" i="44" s="1"/>
  <c r="Q50" i="44" s="1"/>
  <c r="E83" i="46"/>
  <c r="B81" i="46" s="1"/>
  <c r="D26" i="46"/>
  <c r="C25" i="46" s="1"/>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3" i="39"/>
  <c r="E58" i="40"/>
  <c r="E66" i="39"/>
  <c r="E61" i="40"/>
  <c r="K14" i="1"/>
  <c r="H7" i="34"/>
  <c r="F7" i="34"/>
  <c r="AA7" i="34" s="1"/>
  <c r="R49" i="34" s="1"/>
  <c r="J7" i="34"/>
  <c r="W7" i="34" s="1"/>
  <c r="G16" i="1"/>
  <c r="J12" i="40" s="1"/>
  <c r="F11" i="59"/>
  <c r="F7" i="21"/>
  <c r="AA7" i="21" s="1"/>
  <c r="H7" i="21"/>
  <c r="AB7" i="21" s="1"/>
  <c r="B12" i="59"/>
  <c r="S13" i="59"/>
  <c r="E12" i="59"/>
  <c r="U13" i="59"/>
  <c r="F58" i="15"/>
  <c r="H7" i="35"/>
  <c r="U7" i="35" s="1"/>
  <c r="B40" i="1"/>
  <c r="L36" i="46" s="1"/>
  <c r="E64" i="40"/>
  <c r="D66" i="40"/>
  <c r="AC7" i="33"/>
  <c r="V48" i="33" s="1"/>
  <c r="I48" i="33" s="1"/>
  <c r="W7" i="33"/>
  <c r="S7" i="34"/>
  <c r="J7" i="37"/>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8" i="1"/>
  <c r="AE9" i="1"/>
  <c r="AE10" i="1"/>
  <c r="AE11" i="1"/>
  <c r="AE7" i="1"/>
  <c r="F46" i="44"/>
  <c r="F41" i="15"/>
  <c r="W7" i="21" l="1"/>
  <c r="T48" i="21"/>
  <c r="G48" i="21" s="1"/>
  <c r="G53" i="21" s="1"/>
  <c r="H53" i="21" s="1"/>
  <c r="S11" i="21"/>
  <c r="AA11" i="21"/>
  <c r="R48" i="21" s="1"/>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AA7" i="33"/>
  <c r="R48" i="33" s="1"/>
  <c r="S7" i="33"/>
  <c r="F69" i="39"/>
  <c r="E71" i="39"/>
  <c r="G52" i="21"/>
  <c r="H52" i="21" s="1"/>
  <c r="I53" i="34"/>
  <c r="J53" i="34" s="1"/>
  <c r="R50" i="34"/>
  <c r="E49" i="34"/>
  <c r="I52" i="33"/>
  <c r="J52" i="33" s="1"/>
  <c r="E66" i="40"/>
  <c r="F64" i="40"/>
  <c r="D14" i="59"/>
  <c r="C13" i="59"/>
  <c r="J26" i="44"/>
  <c r="C52" i="15"/>
  <c r="C47" i="15" s="1"/>
  <c r="C10" i="15"/>
  <c r="C5" i="15" s="1"/>
  <c r="C38" i="15" s="1"/>
  <c r="C20" i="11"/>
  <c r="C21" i="11" s="1"/>
  <c r="C22" i="11" s="1"/>
  <c r="C23" i="11" s="1"/>
  <c r="B2" i="11" s="1"/>
  <c r="M29" i="44"/>
  <c r="M27" i="15"/>
  <c r="R49" i="21" l="1"/>
  <c r="C48" i="21" s="1"/>
  <c r="E48" i="21"/>
  <c r="E52" i="21" s="1"/>
  <c r="F52" i="21" s="1"/>
  <c r="D22" i="12"/>
  <c r="C22" i="12" s="1"/>
  <c r="C20" i="12"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D13" i="59"/>
  <c r="B3" i="11"/>
  <c r="C17" i="15"/>
  <c r="F7" i="67"/>
  <c r="C49" i="21" l="1"/>
  <c r="B3" i="21" s="1"/>
  <c r="B2" i="21" s="1"/>
  <c r="I53" i="21"/>
  <c r="J53" i="21"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C8" i="12" l="1"/>
  <c r="C10" i="12" s="1"/>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C14" i="15"/>
  <c r="C16" i="44"/>
  <c r="F37" i="44"/>
  <c r="M21" i="15"/>
  <c r="F35" i="15"/>
  <c r="M23" i="44"/>
  <c r="B3" i="46" l="1"/>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40"/>
  <c r="B4" i="40"/>
  <c r="B3" i="40"/>
  <c r="C19" i="9"/>
  <c r="L43" i="9" l="1"/>
  <c r="B5" i="39"/>
  <c r="B4" i="39"/>
  <c r="B3" i="3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Q58" i="15"/>
  <c r="Q63" i="15" s="1"/>
  <c r="Q69" i="44"/>
  <c r="Q59" i="44"/>
  <c r="Q64" i="44" s="1"/>
  <c r="Q68" i="44"/>
  <c r="Q77" i="44" s="1"/>
  <c r="C6" i="43" l="1"/>
  <c r="D8" i="12"/>
  <c r="D10" i="12" s="1"/>
  <c r="C6" i="12" s="1"/>
  <c r="C25" i="43"/>
  <c r="C24" i="43"/>
  <c r="C27" i="43" s="1"/>
  <c r="B2" i="43" s="1"/>
  <c r="C24" i="12" l="1"/>
  <c r="C29" i="12"/>
  <c r="B5" i="43"/>
  <c r="B3" i="43"/>
  <c r="B4" i="43"/>
  <c r="C35" i="12" l="1"/>
  <c r="C33" i="12" s="1"/>
  <c r="C28" i="12"/>
  <c r="C26" i="12" s="1"/>
  <c r="C31" i="12" s="1"/>
  <c r="C30" i="12" s="1"/>
  <c r="C36" i="12" l="1"/>
  <c r="B2" i="12" s="1"/>
  <c r="D19" i="9"/>
  <c r="D22" i="9" l="1"/>
  <c r="L44" i="9"/>
  <c r="G19" i="9"/>
  <c r="D27" i="9" s="1"/>
  <c r="B3" i="12"/>
  <c r="B4" i="12"/>
  <c r="B5" i="12"/>
  <c r="D21" i="9"/>
  <c r="D20" i="9"/>
  <c r="G20" i="9" l="1"/>
  <c r="M3" i="72" s="1"/>
  <c r="N3" i="72" s="1"/>
  <c r="G21" i="9"/>
  <c r="N43" i="9"/>
  <c r="C32" i="9"/>
  <c r="G22" i="9"/>
  <c r="M6" i="72" l="1"/>
  <c r="N6" i="72" s="1"/>
  <c r="M7" i="72"/>
  <c r="N7" i="72" s="1"/>
  <c r="M4" i="72"/>
  <c r="N4" i="72" s="1"/>
  <c r="M5" i="72"/>
  <c r="N5" i="72" s="1"/>
  <c r="O43" i="9"/>
  <c r="O38" i="9"/>
  <c r="C42" i="9"/>
  <c r="C33" i="9"/>
  <c r="C34" i="9"/>
  <c r="C35" i="9"/>
  <c r="F42" i="9" s="1"/>
  <c r="N8" i="72" l="1"/>
  <c r="D14" i="66" s="1"/>
  <c r="G14" i="66" s="1"/>
  <c r="B6" i="66" s="1"/>
  <c r="B5" i="66"/>
  <c r="E42" i="9"/>
  <c r="P5" i="54" s="1"/>
  <c r="B46" i="63" s="1"/>
  <c r="M38" i="9"/>
  <c r="K27" i="9" s="1"/>
  <c r="C44" i="9"/>
  <c r="D63" i="9"/>
  <c r="R5" i="54"/>
  <c r="B48" i="63" s="1"/>
  <c r="N68" i="9"/>
  <c r="D42" i="9"/>
  <c r="Q5" i="54" s="1"/>
  <c r="B47" i="63" s="1"/>
  <c r="N38" i="9"/>
  <c r="K28" i="9" s="1"/>
  <c r="K25" i="9"/>
  <c r="K26" i="9"/>
  <c r="C6" i="66" l="1"/>
  <c r="D6" i="66"/>
  <c r="F14" i="66"/>
  <c r="E14" i="66"/>
  <c r="D5" i="66"/>
  <c r="C5" i="66"/>
  <c r="C111" i="9"/>
  <c r="C104" i="9" s="1"/>
  <c r="C82" i="9"/>
  <c r="C81" i="9" s="1"/>
  <c r="C85" i="9" s="1"/>
  <c r="C86" i="9" s="1"/>
  <c r="D72" i="9" s="1"/>
  <c r="D70" i="9"/>
  <c r="D71" i="9"/>
  <c r="D66" i="9" s="1"/>
  <c r="N72" i="9" s="1"/>
  <c r="D73" i="9"/>
  <c r="N73" i="9" s="1"/>
  <c r="C96" i="9"/>
  <c r="C91" i="9" s="1"/>
  <c r="C103" i="9"/>
  <c r="C90" i="9"/>
  <c r="C97" i="9" s="1"/>
  <c r="N69" i="9"/>
  <c r="D44" i="9"/>
  <c r="O39" i="9"/>
  <c r="E44" i="9"/>
  <c r="F44" i="9"/>
  <c r="C113" i="9" l="1"/>
  <c r="C98" i="9"/>
  <c r="E98" i="9" s="1"/>
  <c r="E99" i="9" s="1"/>
  <c r="K29" i="9"/>
  <c r="K30" i="9" s="1"/>
  <c r="R6" i="54"/>
  <c r="B50" i="63" s="1"/>
  <c r="M88" i="9"/>
  <c r="N88" i="9" s="1"/>
  <c r="M84" i="9"/>
  <c r="N84" i="9" s="1"/>
  <c r="M83" i="9"/>
  <c r="N83" i="9" s="1"/>
  <c r="M86" i="9"/>
  <c r="N86" i="9" s="1"/>
  <c r="M85" i="9"/>
  <c r="N85" i="9" s="1"/>
  <c r="M87" i="9"/>
  <c r="N87" i="9" s="1"/>
  <c r="C114" i="9"/>
  <c r="E114" i="9" s="1"/>
  <c r="E115" i="9" s="1"/>
  <c r="N89" i="9" l="1"/>
  <c r="O89" i="9" s="1"/>
  <c r="C115" i="9"/>
  <c r="D76" i="9" s="1"/>
  <c r="D74" i="9" s="1"/>
  <c r="N74" i="9" s="1"/>
  <c r="O77" i="9" s="1"/>
  <c r="Q77" i="9" s="1"/>
  <c r="C99" i="9"/>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<sst xmlns="http://schemas.openxmlformats.org/spreadsheetml/2006/main" count="9102" uniqueCount="3736">
  <si>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</si>
  <si>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</si>
  <si>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</si>
  <si>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</si>
  <si>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</si>
  <si>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</si>
  <si>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</si>
  <si>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</si>
  <si>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</si>
  <si>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</si>
  <si>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</si>
  <si>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</si>
  <si>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</si>
  <si>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</si>
  <si>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</si>
  <si>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</si>
  <si>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</si>
  <si>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</si>
  <si>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</si>
  <si>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</si>
  <si>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</si>
  <si>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</si>
  <si>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</si>
  <si>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</si>
  <si>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</si>
  <si>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</si>
  <si>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</si>
  <si>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</si>
  <si>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</si>
  <si>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</si>
  <si>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</si>
  <si>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</si>
  <si>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</si>
  <si>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</si>
  <si>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</si>
  <si>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</si>
  <si>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</si>
  <si>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</si>
  <si>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</si>
  <si>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</si>
  <si>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</si>
  <si>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</si>
  <si>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</si>
  <si>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</si>
  <si>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</si>
  <si>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</si>
  <si>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</si>
  <si>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</si>
  <si>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</si>
  <si>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</si>
  <si>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</si>
  <si>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</si>
  <si>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</si>
  <si>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</si>
  <si>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</si>
  <si>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</si>
  <si>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</si>
  <si>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</si>
  <si>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</si>
  <si>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</si>
  <si>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</si>
  <si>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</si>
  <si>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</si>
  <si>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</si>
  <si>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</si>
  <si>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</si>
  <si>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</si>
  <si>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</si>
  <si>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</si>
  <si>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</si>
  <si>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</si>
  <si>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</si>
  <si>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</si>
  <si>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</si>
  <si>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</si>
  <si>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</si>
  <si>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</si>
  <si>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</si>
  <si>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</si>
  <si>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</si>
  <si>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</si>
  <si>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</si>
  <si>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</si>
  <si>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</si>
  <si>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</si>
  <si>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</si>
  <si>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</si>
  <si>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</si>
  <si>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</si>
  <si>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</si>
  <si>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</si>
  <si>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</si>
  <si>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</si>
  <si>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</si>
  <si>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</si>
  <si>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</si>
  <si>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</si>
  <si>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</si>
  <si>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</si>
  <si>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</si>
  <si>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</si>
  <si>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</si>
  <si>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</si>
  <si>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</si>
  <si>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</si>
  <si>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</si>
  <si>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</si>
  <si>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</si>
  <si>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</si>
  <si>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</si>
  <si>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</si>
  <si>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</si>
  <si>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</si>
  <si>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</si>
  <si>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</si>
  <si>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</si>
  <si>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</si>
  <si>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</si>
  <si>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</si>
  <si>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</si>
  <si>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</si>
  <si>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</si>
  <si>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</si>
  <si>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</si>
  <si>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</si>
  <si>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</si>
  <si>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</si>
  <si>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</si>
  <si>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</si>
  <si>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</si>
  <si>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</si>
  <si>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</si>
  <si>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</si>
  <si>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</si>
  <si>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</si>
  <si>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</si>
  <si>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</si>
  <si>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</si>
  <si>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</si>
  <si>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</si>
  <si>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</si>
  <si>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</si>
  <si>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</si>
  <si>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</si>
  <si>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</si>
  <si>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</si>
  <si>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</si>
  <si>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</si>
  <si>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</si>
  <si>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</si>
  <si>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</si>
  <si>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</si>
  <si>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</si>
  <si>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</si>
  <si>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</si>
  <si>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</si>
  <si>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</si>
  <si>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</si>
  <si>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</si>
  <si>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</si>
  <si>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</si>
  <si>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</si>
  <si>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</si>
  <si>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</si>
  <si>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</si>
  <si>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</si>
  <si>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</si>
  <si>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</si>
  <si>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</si>
  <si>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</si>
  <si>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</si>
  <si>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</si>
  <si>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</si>
  <si>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</si>
  <si>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</si>
  <si>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</si>
  <si>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</si>
  <si>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</si>
  <si>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</si>
  <si>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</si>
  <si>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</si>
  <si>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</si>
  <si>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</si>
  <si>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</si>
  <si>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</si>
  <si>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</si>
  <si>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</si>
  <si>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</si>
  <si>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</si>
  <si>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</si>
  <si>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</si>
  <si>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</si>
  <si>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</si>
  <si>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</si>
  <si>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</si>
  <si>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</si>
  <si>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</si>
  <si>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</si>
  <si>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</si>
  <si>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</si>
  <si>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</si>
  <si>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</si>
  <si>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</si>
  <si>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</si>
  <si>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</si>
  <si>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</si>
  <si>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</si>
  <si>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</si>
  <si>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</si>
  <si>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</si>
  <si>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</si>
  <si>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</si>
  <si>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</si>
  <si>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</si>
  <si>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</si>
  <si>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</si>
  <si>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</si>
  <si>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</si>
  <si>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</si>
  <si>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</si>
  <si>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</si>
  <si>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</si>
  <si>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</si>
  <si>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</si>
  <si>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</si>
  <si>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</si>
  <si>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</si>
  <si>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</si>
  <si>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</si>
  <si>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</si>
  <si>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</si>
  <si>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</si>
  <si>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</si>
  <si>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</si>
  <si>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</si>
  <si>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</si>
  <si>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</si>
  <si>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</si>
  <si>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</si>
  <si>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</si>
  <si>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</si>
  <si>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</si>
  <si>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</si>
  <si>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</si>
  <si>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</si>
  <si>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</si>
  <si>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</si>
  <si>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</si>
  <si>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</si>
  <si>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</si>
  <si>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</si>
  <si>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</si>
  <si>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</si>
  <si>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</si>
  <si>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</si>
  <si>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</si>
  <si>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</si>
  <si>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</si>
  <si>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</si>
  <si>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</si>
  <si>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</si>
  <si>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</si>
  <si>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</si>
  <si>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</si>
  <si>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</si>
  <si>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</si>
  <si>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</si>
  <si>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</si>
  <si>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</si>
  <si>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</si>
  <si>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</si>
  <si>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</si>
  <si>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</si>
  <si>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</si>
  <si>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</si>
  <si>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</si>
  <si>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</si>
  <si>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</si>
  <si>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</si>
  <si>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</si>
  <si>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</si>
  <si>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</si>
  <si>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</si>
  <si>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</si>
  <si>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</si>
  <si>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</si>
  <si>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</si>
  <si>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</si>
  <si>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</si>
  <si>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</si>
  <si>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</si>
  <si>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</si>
  <si>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</si>
  <si>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</si>
  <si>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</si>
  <si>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</si>
  <si>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</si>
  <si>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</si>
  <si>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</si>
  <si>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</si>
  <si>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</si>
  <si>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</si>
  <si>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</si>
  <si>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</si>
  <si>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</si>
  <si>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</si>
  <si>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</si>
  <si>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</si>
  <si>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</si>
  <si>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</si>
  <si>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</si>
  <si>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</si>
  <si>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</si>
  <si>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</si>
  <si>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</si>
  <si>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</si>
  <si>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</si>
  <si>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</si>
  <si>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</si>
  <si>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</si>
  <si>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</si>
  <si>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</si>
  <si>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</si>
  <si>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</si>
  <si>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</si>
  <si>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</si>
  <si>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</si>
  <si>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</si>
  <si>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</si>
  <si>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</si>
  <si>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</si>
  <si>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</si>
  <si>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</si>
  <si>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</si>
  <si>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</si>
  <si>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</si>
  <si>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</si>
  <si>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</si>
  <si>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</si>
  <si>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</si>
  <si>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</si>
  <si>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</si>
  <si>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</si>
  <si>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</si>
  <si>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</si>
  <si>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</si>
  <si>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</si>
  <si>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</si>
  <si>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</si>
  <si>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</si>
  <si>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</si>
  <si>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</si>
  <si>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</si>
  <si>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</si>
  <si>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</si>
  <si>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</si>
  <si>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</si>
  <si>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</si>
  <si>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</si>
  <si>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</si>
  <si>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</si>
  <si>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</si>
  <si>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</si>
  <si>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</si>
  <si>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</si>
  <si>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</si>
  <si>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</si>
  <si>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</si>
  <si>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</si>
  <si>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</si>
  <si>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</si>
  <si>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</si>
  <si>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</si>
  <si>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</si>
  <si>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</si>
  <si>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</si>
  <si>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</si>
  <si>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</si>
  <si>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</si>
  <si>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</si>
  <si>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</si>
  <si>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</si>
  <si>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</si>
  <si>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</si>
  <si>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</si>
  <si>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</si>
  <si>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</si>
  <si>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</si>
  <si>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</si>
  <si>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</si>
  <si>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</si>
  <si>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</si>
  <si>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</si>
  <si>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</si>
  <si>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</si>
  <si>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</si>
  <si>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</si>
  <si>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</si>
  <si>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</si>
  <si>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</si>
  <si>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</si>
  <si>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</si>
  <si>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</si>
  <si>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</si>
  <si>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</si>
  <si>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</si>
  <si>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</si>
  <si>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</si>
  <si>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</si>
  <si>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</si>
  <si>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</si>
  <si>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</si>
  <si>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</si>
  <si>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</si>
  <si>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</si>
  <si>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</si>
  <si>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</si>
  <si>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</si>
  <si>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</si>
  <si>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</si>
  <si>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</si>
  <si>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</si>
  <si>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</si>
  <si>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</si>
  <si>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</si>
  <si>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</si>
  <si>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</si>
  <si>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</si>
  <si>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</si>
  <si>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</si>
  <si>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</si>
  <si>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</si>
  <si>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</si>
  <si>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</si>
  <si>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</si>
  <si>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</si>
  <si>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</si>
  <si>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</si>
  <si>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</si>
  <si>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</si>
  <si>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</si>
  <si>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</si>
  <si>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</si>
  <si>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</si>
  <si>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</si>
  <si>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</si>
  <si>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</si>
  <si>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</si>
  <si>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</si>
  <si>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</si>
  <si>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</si>
  <si>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</si>
  <si>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</si>
  <si>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</si>
  <si>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</si>
  <si>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</si>
  <si>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</si>
  <si>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</si>
  <si>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</si>
  <si>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</si>
  <si>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</si>
  <si>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</si>
  <si>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</si>
  <si>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</si>
  <si>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</si>
  <si>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</si>
  <si>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</si>
  <si>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</si>
  <si>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</si>
  <si>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</si>
  <si>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</si>
  <si>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</si>
  <si>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</si>
  <si>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</si>
  <si>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</si>
  <si>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</si>
  <si>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</si>
  <si>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</si>
  <si>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</si>
  <si>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</si>
  <si>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</si>
  <si>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</si>
  <si>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</si>
  <si>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</si>
  <si>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</si>
  <si>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</si>
  <si>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</si>
  <si>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</si>
  <si>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</si>
  <si>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</si>
  <si>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</si>
  <si>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</si>
  <si>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</si>
  <si>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</si>
  <si>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</si>
  <si>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</si>
  <si>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</si>
  <si>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</si>
  <si>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</si>
  <si>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</si>
  <si>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</si>
  <si>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</si>
  <si>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</si>
  <si>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</si>
  <si>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</si>
  <si>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</si>
  <si>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</si>
  <si>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</si>
  <si>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</si>
  <si>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</si>
  <si>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</si>
  <si>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</si>
  <si>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</si>
  <si>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</si>
  <si>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</si>
  <si>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</si>
  <si>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</si>
  <si>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</si>
  <si>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</si>
  <si>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</si>
  <si>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</si>
  <si>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</si>
  <si>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</si>
  <si>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</si>
  <si>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</si>
  <si>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</si>
  <si>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</si>
  <si>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</si>
  <si>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</si>
  <si>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</si>
  <si>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</si>
  <si>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</si>
  <si>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</si>
  <si>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</si>
  <si>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</si>
  <si>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</si>
  <si>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</si>
  <si>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</si>
  <si>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</si>
  <si>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</si>
  <si>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</si>
  <si>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</si>
  <si>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</si>
  <si>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</si>
  <si>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</si>
  <si>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</si>
  <si>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</si>
  <si>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</si>
  <si>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</si>
  <si>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</si>
  <si>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</si>
  <si>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</si>
  <si>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</si>
  <si>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</si>
  <si>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</si>
  <si>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</si>
  <si>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</si>
  <si>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</si>
  <si>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</si>
  <si>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</si>
  <si>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</si>
  <si>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</si>
  <si>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</si>
  <si>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</si>
  <si>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</si>
  <si>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</si>
  <si>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</si>
  <si>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</si>
  <si>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</si>
  <si>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</si>
  <si>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</si>
  <si>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</si>
  <si>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</si>
  <si>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</si>
  <si>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</si>
  <si>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</si>
  <si>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</si>
  <si>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</si>
  <si>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</si>
  <si>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</si>
  <si>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</si>
  <si>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</si>
  <si>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</si>
  <si>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</si>
  <si>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</si>
  <si>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</si>
  <si>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</si>
  <si>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</si>
  <si>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</si>
  <si>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</si>
  <si>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</si>
  <si>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</si>
  <si>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</si>
  <si>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</si>
  <si>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</si>
  <si>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</si>
  <si>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</si>
  <si>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</si>
  <si>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</si>
  <si>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</si>
  <si>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</si>
  <si>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</si>
  <si>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</si>
  <si>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</si>
  <si>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</si>
  <si>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</si>
  <si>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</si>
  <si>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</si>
  <si>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</si>
  <si>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</si>
  <si>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</si>
  <si>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</si>
  <si>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</si>
  <si>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</si>
  <si>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</si>
  <si>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</si>
  <si>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</si>
  <si>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</si>
  <si>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</si>
  <si>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</si>
  <si>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</si>
  <si>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</si>
  <si>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</si>
  <si>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</si>
  <si>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</si>
  <si>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</si>
  <si>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</si>
  <si>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</si>
  <si>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</si>
  <si>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</si>
  <si>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</si>
  <si>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</si>
  <si>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</si>
  <si>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</si>
  <si>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</si>
  <si>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</si>
  <si>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</si>
  <si>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</si>
  <si>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</si>
  <si>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</si>
  <si>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</si>
  <si>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</si>
  <si>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</si>
  <si>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</si>
  <si>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</si>
  <si>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</si>
  <si>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</si>
  <si>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</si>
  <si>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</si>
  <si>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</si>
  <si>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</si>
  <si>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</si>
  <si>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</si>
  <si>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</si>
  <si>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</si>
  <si>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</si>
  <si>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</si>
  <si>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</si>
  <si>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</si>
  <si>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</si>
  <si>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</si>
  <si>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</si>
  <si>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</si>
  <si>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</si>
  <si>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</si>
  <si>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</si>
  <si>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</si>
  <si>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</si>
  <si>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</si>
  <si>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</si>
  <si>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</si>
  <si>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</si>
  <si>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</si>
  <si>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</si>
  <si>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</si>
  <si>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</si>
  <si>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</si>
  <si>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</si>
  <si>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</si>
  <si>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</si>
  <si>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</si>
  <si>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</si>
  <si>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</si>
  <si>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</si>
  <si>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</si>
  <si>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</si>
  <si>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</si>
  <si>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</si>
  <si>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</si>
  <si>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</si>
  <si>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</si>
  <si>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</si>
  <si>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</si>
  <si>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</si>
  <si>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</si>
  <si>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</si>
  <si>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</si>
  <si>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</si>
  <si>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</si>
  <si>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</si>
  <si>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</si>
  <si>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</si>
  <si>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</si>
  <si>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</si>
  <si>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</si>
  <si>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</si>
  <si>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</si>
  <si>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</si>
  <si>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</si>
  <si>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</si>
  <si>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</si>
  <si>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</si>
  <si>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</si>
  <si>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</si>
  <si>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</si>
  <si>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</si>
  <si>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</si>
  <si>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</si>
  <si>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</si>
  <si>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</si>
  <si>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</si>
  <si>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</si>
  <si>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</si>
  <si>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</si>
  <si>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</si>
  <si>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</si>
  <si>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</si>
  <si>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</si>
  <si>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</si>
  <si>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</si>
  <si>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</si>
  <si>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</si>
  <si>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</si>
  <si>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</si>
  <si>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</si>
  <si>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</si>
  <si>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</si>
  <si>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</si>
  <si>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</si>
  <si>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</si>
  <si>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</si>
  <si>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</si>
  <si>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</si>
  <si>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</si>
  <si>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</si>
  <si>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</si>
  <si>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</si>
  <si>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</si>
  <si>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</si>
  <si>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</si>
  <si>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</si>
  <si>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</si>
  <si>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</si>
  <si>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</si>
  <si>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</si>
  <si>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</si>
  <si>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</si>
  <si>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</si>
  <si>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</si>
  <si>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</si>
  <si>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</si>
  <si>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</si>
  <si>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</si>
  <si>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</si>
  <si>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</si>
  <si>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</si>
  <si>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</si>
  <si>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</si>
  <si>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</si>
  <si>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</si>
  <si>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</si>
  <si>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</si>
  <si>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</si>
  <si>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</si>
  <si>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</si>
  <si>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</si>
  <si>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</si>
  <si>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</si>
  <si>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</si>
  <si>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</si>
  <si>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</si>
  <si>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</si>
  <si>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</si>
  <si>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</si>
  <si>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</si>
  <si>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</si>
  <si>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</si>
  <si>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</si>
  <si>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</si>
  <si>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</si>
  <si>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</si>
  <si>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</si>
  <si>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</si>
  <si>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</si>
  <si>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</si>
  <si>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</si>
  <si>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</si>
  <si>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</si>
  <si>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</si>
  <si>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</si>
  <si>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</si>
  <si>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</si>
  <si>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</si>
  <si>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</si>
  <si>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</si>
  <si>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</si>
  <si>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</si>
  <si>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</si>
  <si>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</si>
  <si>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</si>
  <si>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</si>
  <si>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</si>
  <si>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</si>
  <si>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</si>
  <si>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</si>
  <si>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</si>
  <si>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</si>
  <si>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</si>
  <si>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</si>
  <si>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</si>
  <si>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</si>
  <si>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</si>
  <si>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</si>
  <si>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</si>
  <si>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</si>
  <si>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</si>
  <si>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</si>
  <si>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</si>
  <si>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</si>
  <si>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</si>
  <si>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</si>
  <si>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</si>
  <si>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</si>
  <si>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</si>
  <si>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</si>
  <si>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</si>
  <si>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</si>
  <si>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</si>
  <si>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</si>
  <si>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</si>
  <si>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</si>
  <si>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</si>
  <si>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</si>
  <si>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</si>
  <si>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</si>
  <si>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</si>
  <si>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</si>
  <si>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</si>
  <si>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</si>
  <si>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</si>
  <si>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</si>
  <si>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</si>
  <si>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</si>
  <si>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</si>
  <si>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</si>
  <si>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</si>
  <si>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</si>
  <si>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</si>
  <si>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</si>
  <si>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</si>
  <si>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</si>
  <si>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</si>
  <si>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</si>
  <si>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</si>
  <si>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</si>
  <si>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</si>
  <si>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</si>
  <si>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</si>
  <si>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</si>
  <si>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</si>
  <si>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</si>
  <si>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</si>
  <si>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</si>
  <si>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</si>
  <si>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</si>
  <si>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</si>
  <si>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</si>
  <si>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</si>
  <si>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</si>
  <si>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</si>
  <si>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</si>
  <si>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</si>
  <si>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</si>
  <si>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</si>
  <si>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</si>
  <si>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</si>
  <si>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</si>
  <si>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</si>
  <si>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</si>
  <si>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</si>
  <si>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</si>
  <si>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</si>
  <si>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</si>
  <si>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</si>
  <si>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</si>
  <si>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</si>
  <si>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</si>
  <si>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</si>
  <si>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</si>
  <si>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</si>
  <si>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</si>
  <si>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</si>
  <si>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</si>
  <si>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</si>
  <si>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</si>
  <si>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</si>
  <si>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</si>
  <si>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</si>
  <si>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</si>
  <si>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</si>
  <si>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</si>
  <si>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</si>
  <si>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</si>
  <si>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</si>
  <si>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</si>
  <si>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</si>
  <si>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</si>
  <si>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</si>
  <si>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</si>
  <si>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</si>
  <si>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</si>
  <si>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</si>
  <si>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</si>
  <si>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</si>
  <si>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</si>
  <si>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</si>
  <si>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</si>
  <si>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</si>
  <si>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</si>
  <si>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</si>
  <si>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</si>
  <si>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</si>
  <si>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</si>
  <si>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</si>
  <si>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</si>
  <si>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</si>
  <si>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</si>
  <si>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</si>
  <si>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</si>
  <si>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</si>
  <si>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</si>
  <si>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</si>
  <si>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</si>
  <si>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</si>
  <si>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</si>
  <si>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</si>
  <si>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</si>
  <si>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</si>
  <si>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</si>
  <si>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</si>
  <si>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</si>
  <si>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</si>
  <si>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</si>
  <si>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</si>
  <si>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</si>
  <si>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</si>
  <si>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</si>
  <si>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</si>
  <si>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</si>
  <si>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</si>
  <si>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</si>
  <si>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</si>
  <si>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</si>
  <si>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</si>
  <si>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</si>
  <si>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</si>
  <si>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</si>
  <si>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</si>
  <si>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</si>
  <si>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</si>
  <si>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</si>
  <si>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</si>
  <si>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</si>
  <si>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</si>
  <si>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</si>
  <si>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</si>
  <si>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</si>
  <si>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</si>
  <si>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</si>
  <si>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</si>
  <si>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</si>
  <si>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</si>
  <si>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</si>
  <si>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</si>
  <si>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</si>
  <si>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</si>
  <si>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</si>
  <si>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</si>
  <si>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</si>
  <si>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</si>
  <si>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</si>
  <si>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</si>
  <si>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</si>
  <si>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</si>
  <si>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</si>
  <si>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</si>
  <si>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</si>
  <si>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</si>
  <si>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</si>
  <si>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</si>
  <si>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</si>
  <si>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</si>
  <si>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</si>
  <si>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</si>
  <si>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</si>
  <si>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</si>
  <si>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</si>
  <si>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</si>
  <si>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</si>
  <si>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</si>
  <si>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</si>
  <si>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</si>
  <si>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</si>
  <si>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</si>
  <si>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</si>
  <si>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</si>
  <si>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</si>
  <si>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</si>
  <si>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</si>
  <si>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</si>
  <si>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</si>
  <si>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</si>
  <si>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</si>
  <si>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</si>
  <si>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</si>
  <si>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</si>
  <si>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</si>
  <si>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</si>
  <si>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</si>
  <si>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</si>
  <si>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</si>
  <si>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</si>
  <si>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</si>
  <si>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</si>
  <si>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</si>
  <si>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</si>
  <si>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</si>
  <si>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</si>
  <si>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</si>
  <si>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</si>
  <si>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</si>
  <si>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</si>
  <si>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</si>
  <si>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</si>
  <si>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</si>
  <si>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</si>
  <si>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</si>
  <si>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</si>
  <si>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</si>
  <si>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</si>
  <si>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</si>
  <si>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</si>
  <si>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</si>
  <si>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</si>
  <si>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</si>
  <si>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</si>
  <si>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</si>
  <si>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</si>
  <si>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</si>
  <si>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</si>
  <si>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</si>
  <si>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</si>
  <si>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</si>
  <si>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</si>
  <si>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</si>
  <si>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</si>
  <si>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</si>
  <si>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</si>
  <si>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</si>
  <si>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</si>
  <si>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</si>
  <si>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</si>
  <si>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</si>
  <si>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</si>
  <si>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</si>
  <si>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</si>
  <si>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</si>
  <si>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</si>
  <si>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</si>
  <si>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</si>
  <si>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</si>
  <si>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</si>
  <si>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</si>
  <si>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</si>
  <si>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</si>
  <si>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</si>
  <si>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</si>
  <si>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</si>
  <si>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</si>
  <si>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</si>
  <si>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</si>
  <si>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</si>
  <si>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</si>
  <si>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</si>
  <si>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</si>
  <si>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</si>
  <si>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</si>
  <si>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</si>
  <si>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</si>
  <si>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</si>
  <si>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</si>
  <si>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</si>
  <si>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</si>
  <si>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</si>
  <si>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</si>
  <si>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</si>
  <si>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</si>
  <si>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</si>
  <si>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</si>
  <si>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</si>
  <si>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</si>
  <si>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</si>
  <si>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</si>
  <si>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</si>
  <si>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</si>
  <si>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</si>
  <si>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</si>
  <si>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</si>
  <si>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</si>
  <si>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</si>
  <si>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</si>
  <si>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</si>
  <si>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</si>
  <si>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</si>
  <si>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</si>
  <si>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</si>
  <si>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</si>
  <si>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</si>
  <si>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</si>
  <si>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</si>
  <si>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</si>
  <si>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</si>
  <si>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</si>
  <si>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</si>
  <si>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</si>
  <si>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</si>
  <si>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</si>
  <si>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</si>
  <si>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</si>
  <si>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</si>
  <si>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</si>
  <si>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</si>
  <si>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</si>
  <si>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</si>
  <si>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</si>
  <si>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</si>
  <si>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</si>
  <si>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</si>
  <si>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</si>
  <si>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</si>
  <si>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</si>
  <si>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</si>
  <si>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</si>
  <si>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</si>
  <si>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</si>
  <si>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</si>
  <si>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</si>
  <si>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</si>
  <si>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</si>
  <si>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</si>
  <si>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</si>
  <si>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</si>
  <si>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</si>
  <si>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</si>
  <si>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</si>
  <si>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</si>
  <si>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</si>
  <si>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</si>
  <si>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</si>
  <si>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</si>
  <si>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</si>
  <si>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</si>
  <si>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</si>
  <si>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</si>
  <si>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</si>
  <si>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</si>
  <si>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</si>
  <si>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</si>
  <si>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</si>
  <si>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</si>
  <si>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</si>
  <si>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</si>
  <si>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</si>
  <si>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</si>
  <si>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</si>
  <si>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</si>
  <si>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</si>
  <si>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</si>
  <si>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</si>
  <si>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</si>
  <si>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</si>
  <si>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</si>
  <si>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</si>
  <si>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</si>
  <si>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</si>
  <si>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</si>
  <si>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</si>
  <si>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</si>
  <si>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</si>
  <si>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</si>
  <si>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</si>
  <si>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</si>
  <si>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</si>
  <si>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</si>
  <si>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</si>
  <si>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</si>
  <si>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</si>
  <si>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</si>
  <si>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</si>
  <si>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</si>
  <si>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</si>
  <si>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</si>
  <si>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</si>
  <si>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</si>
  <si>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</si>
  <si>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</si>
  <si>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</si>
  <si>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</si>
  <si>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</si>
  <si>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</si>
  <si>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</si>
  <si>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</si>
  <si>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</si>
  <si>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</si>
  <si>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</si>
  <si>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</si>
  <si>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</si>
  <si>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</si>
  <si>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</si>
  <si>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</si>
  <si>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</si>
  <si>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</si>
  <si>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</si>
  <si>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</si>
  <si>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</si>
  <si>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</si>
  <si>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</si>
  <si>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</si>
  <si>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</si>
  <si>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</si>
  <si>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</si>
  <si>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</si>
  <si>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</si>
  <si>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</si>
  <si>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</si>
  <si>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</si>
  <si>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</si>
  <si>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</si>
  <si>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</si>
  <si>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</si>
  <si>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</si>
  <si>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</si>
  <si>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</si>
  <si>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</si>
  <si>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</si>
  <si>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</si>
  <si>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</si>
  <si>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</si>
  <si>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</si>
  <si>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</si>
  <si>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</si>
  <si>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</si>
  <si>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</si>
  <si>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</si>
  <si>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</si>
  <si>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</si>
  <si>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</si>
  <si>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</si>
  <si>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</si>
  <si>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</si>
  <si>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</si>
  <si>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</si>
  <si>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</si>
  <si>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</si>
  <si>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</si>
  <si>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</si>
  <si>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</si>
  <si>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</si>
  <si>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</si>
  <si>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</si>
  <si>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</si>
  <si>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</si>
  <si>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</si>
  <si>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</si>
  <si>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</si>
  <si>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</si>
  <si>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</si>
  <si>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</si>
  <si>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</si>
  <si>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</si>
  <si>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</si>
  <si>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</si>
  <si>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</si>
  <si>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</si>
  <si>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</si>
  <si>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</si>
  <si>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</si>
  <si>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</si>
  <si>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</si>
  <si>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</si>
  <si>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</si>
  <si>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</si>
  <si>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</si>
  <si>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</si>
  <si>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</si>
  <si>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</si>
  <si>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</si>
  <si>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</si>
  <si>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</si>
  <si>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</si>
  <si>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</si>
  <si>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</si>
  <si>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</si>
  <si>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</si>
  <si>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</si>
  <si>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</si>
  <si>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</si>
  <si>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</si>
  <si>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</si>
  <si>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</si>
  <si>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</si>
  <si>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</si>
  <si>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</si>
  <si>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</si>
  <si>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</si>
  <si>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</si>
  <si>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</si>
  <si>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</si>
  <si>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</si>
  <si>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</si>
  <si>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</si>
  <si>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</si>
  <si>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</si>
  <si>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</si>
  <si>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</si>
  <si>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</si>
  <si>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</si>
  <si>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</si>
  <si>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</si>
  <si>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</si>
  <si>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</si>
  <si>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</si>
  <si>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</si>
  <si>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</si>
  <si>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</si>
  <si>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</si>
  <si>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</si>
  <si>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</si>
  <si>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</si>
  <si>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</si>
  <si>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</si>
  <si>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</si>
  <si>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</si>
  <si>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</si>
  <si>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</si>
  <si>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</si>
  <si>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</si>
  <si>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</si>
  <si>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</si>
  <si>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</si>
  <si>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</si>
  <si>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</si>
  <si>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</si>
  <si>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</si>
  <si>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</si>
  <si>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</si>
  <si>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</si>
  <si>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</si>
  <si>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</si>
  <si>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</si>
  <si>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</si>
  <si>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</si>
  <si>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</si>
  <si>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</si>
  <si>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</si>
  <si>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</si>
  <si>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</si>
  <si>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</si>
  <si>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</si>
  <si>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</si>
  <si>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</si>
  <si>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</si>
  <si>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</si>
  <si>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</si>
  <si>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</si>
  <si>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</si>
  <si>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</si>
  <si>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</si>
  <si>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</si>
  <si>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</si>
  <si>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</si>
  <si>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</si>
  <si>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</si>
  <si>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</si>
  <si>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</si>
  <si>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</si>
  <si>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</si>
  <si>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</si>
  <si>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</si>
  <si>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</si>
  <si>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</si>
  <si>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</si>
  <si>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</si>
  <si>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</si>
  <si>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</si>
  <si>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</si>
  <si>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</si>
  <si>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</si>
  <si>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</si>
  <si>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</si>
  <si>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</si>
  <si>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</si>
  <si>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</si>
  <si>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</si>
  <si>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</si>
  <si>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</si>
  <si>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</si>
  <si>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</si>
  <si>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</si>
  <si>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</si>
  <si>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</si>
  <si>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</si>
  <si>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</si>
  <si>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</si>
  <si>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</si>
  <si>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</si>
  <si>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</si>
  <si>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</si>
  <si>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</si>
  <si>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</si>
  <si>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</si>
  <si>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</si>
  <si>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</si>
  <si>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</si>
  <si>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</si>
  <si>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</si>
  <si>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</si>
  <si>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</si>
  <si>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</si>
  <si>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</si>
  <si>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</si>
  <si>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</si>
  <si>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</si>
  <si>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</si>
  <si>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</si>
  <si>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</si>
  <si>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</si>
  <si>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</si>
  <si>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</si>
  <si>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</si>
  <si>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</si>
  <si>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</si>
  <si>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</si>
  <si>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</si>
  <si>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</si>
  <si>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</si>
  <si>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</si>
  <si>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</si>
  <si>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</si>
  <si>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</si>
  <si>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</si>
  <si>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</si>
  <si>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</si>
  <si>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</si>
  <si>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</si>
  <si>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</si>
  <si>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</si>
  <si>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</si>
  <si>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</si>
  <si>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</si>
  <si>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</si>
  <si>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</si>
  <si>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</si>
  <si>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</si>
  <si>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</si>
  <si>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</si>
  <si>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</si>
  <si>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</si>
  <si>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</si>
  <si>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</si>
  <si>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</si>
  <si>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</si>
  <si>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</si>
  <si>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</si>
  <si>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</si>
  <si>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</si>
  <si>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</si>
  <si>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</si>
  <si>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</si>
  <si>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</si>
  <si>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</si>
  <si>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</si>
  <si>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</si>
  <si>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</si>
  <si>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</si>
  <si>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</si>
  <si>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</si>
  <si>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</si>
  <si>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</si>
  <si>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</si>
  <si>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</si>
  <si>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</si>
  <si>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</si>
  <si>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</si>
  <si>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</si>
  <si>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</si>
  <si>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</si>
  <si>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</si>
  <si>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</si>
  <si>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</si>
  <si>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</si>
  <si>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</si>
  <si>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</si>
  <si>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</si>
  <si>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</si>
  <si>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</si>
  <si>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</si>
  <si>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</si>
  <si>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</si>
  <si>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</si>
  <si>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</si>
  <si>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</si>
  <si>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</si>
  <si>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</si>
  <si>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</si>
  <si>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</si>
  <si>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</si>
  <si>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</si>
  <si>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</si>
  <si>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</si>
  <si>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</si>
  <si>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</si>
  <si>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</si>
  <si>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</si>
  <si>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</si>
  <si>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</si>
  <si>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</si>
  <si>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</si>
  <si>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</si>
  <si>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</si>
  <si>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</si>
  <si>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</si>
  <si>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</si>
  <si>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</si>
  <si>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</si>
  <si>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</si>
  <si>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</si>
  <si>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</si>
  <si>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</si>
  <si>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</si>
  <si>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</si>
  <si>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</si>
  <si>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</si>
  <si>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</si>
  <si>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</si>
  <si>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</si>
  <si>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</si>
  <si>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</si>
  <si>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</si>
  <si>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</si>
  <si>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</si>
  <si>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</si>
  <si>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</si>
  <si>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</si>
  <si>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</si>
  <si>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</si>
  <si>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</si>
  <si>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</si>
  <si>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</si>
  <si>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</si>
  <si>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</si>
  <si>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</si>
  <si>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</si>
  <si>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</si>
  <si>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</si>
  <si>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</si>
  <si>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</si>
  <si>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</si>
  <si>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</si>
  <si>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</si>
  <si>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</si>
  <si>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</si>
  <si>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</si>
  <si>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</si>
  <si>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</si>
  <si>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</si>
  <si>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</si>
  <si>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</si>
  <si>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</si>
  <si>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</si>
  <si>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</si>
  <si>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</si>
  <si>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</si>
  <si>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</si>
  <si>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</si>
  <si>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</si>
  <si>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</si>
  <si>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</si>
  <si>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</si>
  <si>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</si>
  <si>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</si>
  <si>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</si>
  <si>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</si>
  <si>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</si>
  <si>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</si>
  <si>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</si>
  <si>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</si>
  <si>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</si>
  <si>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</si>
  <si>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</si>
  <si>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</si>
  <si>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</si>
  <si>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</si>
  <si>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</si>
  <si>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</si>
  <si>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</si>
  <si>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</si>
  <si>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</si>
  <si>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</si>
  <si>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</si>
  <si>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</si>
  <si>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</si>
  <si>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</si>
  <si>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</si>
  <si>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</si>
  <si>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</si>
  <si>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</si>
  <si>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</si>
  <si>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</si>
  <si>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</si>
  <si>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</si>
  <si>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</si>
  <si>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</si>
  <si>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</si>
  <si>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</si>
  <si>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</si>
  <si>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</si>
  <si>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</si>
  <si>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</si>
  <si>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</si>
  <si>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</si>
  <si>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</si>
  <si>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</si>
  <si>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</si>
  <si>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</si>
  <si>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</si>
  <si>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</si>
  <si>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</si>
  <si>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</si>
  <si>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</si>
  <si>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</si>
  <si>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</si>
  <si>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</si>
  <si>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</si>
  <si>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</si>
  <si>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</si>
  <si>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</si>
  <si>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</si>
  <si>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</si>
  <si>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</si>
  <si>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</si>
  <si>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</si>
  <si>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</si>
  <si>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</si>
  <si>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</si>
  <si>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</si>
  <si>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</si>
  <si>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</si>
  <si>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</si>
  <si>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</si>
  <si>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</si>
  <si>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</si>
  <si>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</si>
  <si>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</si>
  <si>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</si>
  <si>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</si>
  <si>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</si>
  <si>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</si>
  <si>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</si>
  <si>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</si>
  <si>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</si>
  <si>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</si>
  <si>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</si>
  <si>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</si>
  <si>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</si>
  <si>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</si>
  <si>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</si>
  <si>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</si>
  <si>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</si>
  <si>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</si>
  <si>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</si>
  <si>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</si>
  <si>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</si>
  <si>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</si>
  <si>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</si>
  <si>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</si>
  <si>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</si>
  <si>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</si>
  <si>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</si>
  <si>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</si>
  <si>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</si>
  <si>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</si>
  <si>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</si>
  <si>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</si>
  <si>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</si>
  <si>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</si>
  <si>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</si>
  <si>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</si>
  <si>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</si>
  <si>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</si>
  <si>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</si>
  <si>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</si>
  <si>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</si>
  <si>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</si>
  <si>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</si>
  <si>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</si>
  <si>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</si>
  <si>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</si>
  <si>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</si>
  <si>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</si>
  <si>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</si>
  <si>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</si>
  <si>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</si>
  <si>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</si>
  <si>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</si>
  <si>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</si>
  <si>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</si>
  <si>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</si>
  <si>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</si>
  <si>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</si>
  <si>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</si>
  <si>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</si>
  <si>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</si>
  <si>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</si>
  <si>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</si>
  <si>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</si>
  <si>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</si>
  <si>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</si>
  <si>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</si>
  <si>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</si>
  <si>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</si>
  <si>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</si>
  <si>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</si>
  <si>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</si>
  <si>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</si>
  <si>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</si>
  <si>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</si>
  <si>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</si>
  <si>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</si>
  <si>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</si>
  <si>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</si>
  <si>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</si>
  <si>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</si>
  <si>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</si>
  <si>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</si>
  <si>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</si>
  <si>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</si>
  <si>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</si>
  <si>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</si>
  <si>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</si>
  <si>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</si>
  <si>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</si>
  <si>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</si>
  <si>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</si>
  <si>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</si>
  <si>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</si>
  <si>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</si>
  <si>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</si>
  <si>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</si>
  <si>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</si>
  <si>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</si>
  <si>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</si>
  <si>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</si>
  <si>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</si>
  <si>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</si>
  <si>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</si>
  <si>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</si>
  <si>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</si>
  <si>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</si>
  <si>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</si>
  <si>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</si>
  <si>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</si>
  <si>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</si>
  <si>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</si>
  <si>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</si>
  <si>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</si>
  <si>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</si>
  <si>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</si>
  <si>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</si>
  <si>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</si>
  <si>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</si>
  <si>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</si>
  <si>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</si>
  <si>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</si>
  <si>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</si>
  <si>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</si>
  <si>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</si>
  <si>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</si>
  <si>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</si>
  <si>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</si>
  <si>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</si>
  <si>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</si>
  <si>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</si>
  <si>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</si>
  <si>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</si>
  <si>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</si>
  <si>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</si>
  <si>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</si>
  <si>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</si>
  <si>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</si>
  <si>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</si>
  <si>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</si>
  <si>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</si>
  <si>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</si>
  <si>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</si>
  <si>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</si>
  <si>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</si>
  <si>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</si>
  <si>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</si>
  <si>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</si>
  <si>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</si>
  <si>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</si>
  <si>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</si>
  <si>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</si>
  <si>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</si>
  <si>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</si>
  <si>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</si>
  <si>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</si>
  <si>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</si>
  <si>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</si>
  <si>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</si>
  <si>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</si>
  <si>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</si>
  <si>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</si>
  <si>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</si>
  <si>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</si>
  <si>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</si>
  <si>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</si>
  <si>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</si>
  <si>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</si>
  <si>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</si>
  <si>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</si>
  <si>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</si>
  <si>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</si>
  <si>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</si>
  <si>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</si>
  <si>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</si>
  <si>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</si>
  <si>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</si>
  <si>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</si>
  <si>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</si>
  <si>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</si>
  <si>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</si>
  <si>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</si>
  <si>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</si>
  <si>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</si>
  <si>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</si>
  <si>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</si>
  <si>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</si>
  <si>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</si>
  <si>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</si>
  <si>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</si>
  <si>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</si>
  <si>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</si>
  <si>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</si>
  <si>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</si>
  <si>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</si>
  <si>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</si>
  <si>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</si>
  <si>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</si>
  <si>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</si>
  <si>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</si>
  <si>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</si>
  <si>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</si>
  <si>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</si>
  <si>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</si>
  <si>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</si>
  <si>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</si>
  <si>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</si>
  <si>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</si>
  <si>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</si>
  <si>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</si>
  <si>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</si>
  <si>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</si>
  <si>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</si>
  <si>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</si>
  <si>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</si>
  <si>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</si>
  <si>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</si>
  <si>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</si>
  <si>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</si>
  <si>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</si>
  <si>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</si>
  <si>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</si>
  <si>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</si>
  <si>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</si>
  <si>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</si>
  <si>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</si>
  <si>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</si>
  <si>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</si>
  <si>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</si>
  <si>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</si>
  <si>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</si>
  <si>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</si>
  <si>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</si>
  <si>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</si>
  <si>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</si>
  <si>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</si>
  <si>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</si>
  <si>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</si>
  <si>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</si>
  <si>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</si>
  <si>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</si>
  <si>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</si>
  <si>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</si>
  <si>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</si>
  <si>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</si>
  <si>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</si>
  <si>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</si>
  <si>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</si>
  <si>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</si>
  <si>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</si>
  <si>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</si>
  <si>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</si>
  <si>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</si>
  <si>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</si>
  <si>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</si>
  <si>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</si>
  <si>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</si>
  <si>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</si>
  <si>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</si>
  <si>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</si>
  <si>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</si>
  <si>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</si>
  <si>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</si>
  <si>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</si>
  <si>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</si>
  <si>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</si>
  <si>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</si>
  <si>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</si>
  <si>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</si>
  <si>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</si>
  <si>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</si>
  <si>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</si>
  <si>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</si>
  <si>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</si>
  <si>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</si>
  <si>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</si>
  <si>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</si>
  <si>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</si>
  <si>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</si>
  <si>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</si>
  <si>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</si>
  <si>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</si>
  <si>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</si>
  <si>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</si>
  <si>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</si>
  <si>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</si>
  <si>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</si>
  <si>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</si>
  <si>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</si>
  <si>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</si>
  <si>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</si>
  <si>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</si>
  <si>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</si>
  <si>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</si>
  <si>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</si>
  <si>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</si>
  <si>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</si>
  <si>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</si>
  <si>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</si>
  <si>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</si>
  <si>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</si>
  <si>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</si>
  <si>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</si>
  <si>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</si>
  <si>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</si>
  <si>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</si>
  <si>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</si>
  <si>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</si>
  <si>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</si>
  <si>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</si>
  <si>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</si>
  <si>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</si>
  <si>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</si>
  <si>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</si>
  <si>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</si>
  <si>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</si>
  <si>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</si>
  <si>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</si>
  <si>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</si>
  <si>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</si>
  <si>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</si>
  <si>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</si>
  <si>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</si>
  <si>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</si>
  <si>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</si>
  <si>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</si>
  <si>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</si>
  <si>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</si>
  <si>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</si>
  <si>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</si>
  <si>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</si>
  <si>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</si>
  <si>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</si>
  <si>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</si>
  <si>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</si>
  <si>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</si>
  <si>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</si>
  <si>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</si>
  <si>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</si>
  <si>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</si>
  <si>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</si>
  <si>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</si>
  <si>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</si>
  <si>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</si>
  <si>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</si>
  <si>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</si>
  <si>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</si>
  <si>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</si>
  <si>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</si>
  <si>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</si>
  <si>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</si>
  <si>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</si>
  <si>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</si>
  <si>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</si>
  <si>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</si>
  <si>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</si>
  <si>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</si>
  <si>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</si>
  <si>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</si>
  <si>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</si>
  <si>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</si>
  <si>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</si>
  <si>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</si>
  <si>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</si>
  <si>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</si>
  <si>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</si>
  <si>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</si>
  <si>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</si>
  <si>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</si>
  <si>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</si>
  <si>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</si>
  <si>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</si>
  <si>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</si>
  <si>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</si>
  <si>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</si>
  <si>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</si>
  <si>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</si>
  <si>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</si>
  <si>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</si>
  <si>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</si>
  <si>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</si>
  <si>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</si>
  <si>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</si>
  <si>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</si>
  <si>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</si>
  <si>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</si>
  <si>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</si>
  <si>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</si>
  <si>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</si>
  <si>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</si>
  <si>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</si>
  <si>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</si>
  <si>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</si>
  <si>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</si>
  <si>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</si>
  <si>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</si>
  <si>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</si>
  <si>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</si>
  <si>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</si>
  <si>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</si>
  <si>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</si>
  <si>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</si>
  <si>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</si>
  <si>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</si>
  <si>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</si>
  <si>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</si>
  <si>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</si>
  <si>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</si>
  <si>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</si>
  <si>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</si>
  <si>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</si>
  <si>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</si>
  <si>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</si>
  <si>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</si>
  <si>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</si>
  <si>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</si>
  <si>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</si>
  <si>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</si>
  <si>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</si>
  <si>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</si>
  <si>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</si>
  <si>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</si>
  <si>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</si>
  <si>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</si>
  <si>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</si>
  <si>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</si>
  <si>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</si>
  <si>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</si>
  <si>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</si>
  <si>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</si>
  <si>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</si>
  <si>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</si>
  <si>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</si>
  <si>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</si>
  <si>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</si>
  <si>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</si>
  <si>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</si>
  <si>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</si>
  <si>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</si>
  <si>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</si>
  <si>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</si>
  <si>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</si>
  <si>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</si>
  <si>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</si>
  <si>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</si>
  <si>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</si>
  <si>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</si>
  <si>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</si>
  <si>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</si>
  <si>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</si>
  <si>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</si>
  <si>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</si>
  <si>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</si>
  <si>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</si>
  <si>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</si>
  <si>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</si>
  <si>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</si>
  <si>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</si>
  <si>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</si>
  <si>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</si>
  <si>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</si>
  <si>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</si>
  <si>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</si>
  <si>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</si>
  <si>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</si>
  <si>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</si>
  <si>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</si>
  <si>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</si>
  <si>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</si>
  <si>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</si>
  <si>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</si>
  <si>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</si>
  <si>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</si>
  <si>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</si>
  <si>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</si>
  <si>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</si>
  <si>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</si>
  <si>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</si>
  <si>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</si>
  <si>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</si>
  <si>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</si>
  <si>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</si>
  <si>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</si>
  <si>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</si>
  <si>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</si>
  <si>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</si>
  <si>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</si>
  <si>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</si>
  <si>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</si>
  <si>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</si>
  <si>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</si>
  <si>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</si>
  <si>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</si>
  <si>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</si>
  <si>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</si>
  <si>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</si>
  <si>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</si>
  <si>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</si>
  <si>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</si>
  <si>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</si>
  <si>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</si>
  <si>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</si>
  <si>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</si>
  <si>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</si>
  <si>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</si>
  <si>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</si>
  <si>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</si>
  <si>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</si>
  <si>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</si>
  <si>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</si>
  <si>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</si>
  <si>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</si>
  <si>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</si>
  <si>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</si>
  <si>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</si>
  <si>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</si>
  <si>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</si>
  <si>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</si>
  <si>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</si>
  <si>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</si>
  <si>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</si>
  <si>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</si>
  <si>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</si>
  <si>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</si>
  <si>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</si>
  <si>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</si>
  <si>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</si>
  <si>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</si>
  <si>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</si>
  <si>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</si>
  <si>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</si>
  <si>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</si>
  <si>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</si>
  <si>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</si>
  <si>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</si>
  <si>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</si>
  <si>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</si>
  <si>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</si>
  <si>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</si>
  <si>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</si>
  <si>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</si>
  <si>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</si>
  <si>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</si>
  <si>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</si>
  <si>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</si>
  <si>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</si>
  <si>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</si>
  <si>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</si>
  <si>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</si>
  <si>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</si>
  <si>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</si>
  <si>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</si>
  <si>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</si>
  <si>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</si>
  <si>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</si>
  <si>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</si>
  <si>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</si>
  <si>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</si>
  <si>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</si>
  <si>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</si>
  <si>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</si>
  <si>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</si>
  <si>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</si>
  <si>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</si>
  <si>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</si>
  <si>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</si>
  <si>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</si>
  <si>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</si>
  <si>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</si>
  <si>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</si>
  <si>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</si>
  <si>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</si>
  <si>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</si>
  <si>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</si>
  <si>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</si>
  <si>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</si>
  <si>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</si>
  <si>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</si>
  <si>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</si>
  <si>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</si>
  <si>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</si>
  <si>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</si>
  <si>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</si>
  <si>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</si>
  <si>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</si>
  <si>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</si>
  <si>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</si>
  <si>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</si>
  <si>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</si>
  <si>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</si>
  <si>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</si>
  <si>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</si>
  <si>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</si>
  <si>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</si>
  <si>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</si>
  <si>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</si>
  <si>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</si>
  <si>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</si>
  <si>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</si>
  <si>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</si>
  <si>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</si>
  <si>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</si>
  <si>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</si>
  <si>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</si>
  <si>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</si>
  <si>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</si>
  <si>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</si>
  <si>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</si>
  <si>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</si>
  <si>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</si>
  <si>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</si>
  <si>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</si>
  <si>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</si>
  <si>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</si>
  <si>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</si>
  <si>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</si>
  <si>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</si>
  <si>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</si>
  <si>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</si>
  <si>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</si>
  <si>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</si>
  <si>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</si>
  <si>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</si>
  <si>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</si>
  <si>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</si>
  <si>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</si>
  <si>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</si>
  <si>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</si>
  <si>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</si>
  <si>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</si>
  <si>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</si>
  <si>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</si>
  <si>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</si>
  <si>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</si>
  <si>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</si>
  <si>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</si>
  <si>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</si>
  <si>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</si>
  <si>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</si>
  <si>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</si>
  <si>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</si>
  <si>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</si>
  <si>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</si>
  <si>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</si>
  <si>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</si>
  <si>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</si>
  <si>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</si>
  <si>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</si>
  <si>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</si>
  <si>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</si>
  <si>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</si>
  <si>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</si>
  <si>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</si>
  <si>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</si>
  <si>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</si>
  <si>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</si>
  <si>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</si>
  <si>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</si>
  <si>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</si>
  <si>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</si>
  <si>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</si>
  <si>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</si>
  <si>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</si>
  <si>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</si>
  <si>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</si>
  <si>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</si>
  <si>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</si>
  <si>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</si>
  <si>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</si>
  <si>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</si>
  <si>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</si>
  <si>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</si>
  <si>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</si>
  <si>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</si>
  <si>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</si>
  <si>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</si>
  <si>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</si>
  <si>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</si>
  <si>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</si>
  <si>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</si>
  <si>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</si>
  <si>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</si>
  <si>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</si>
  <si>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</si>
  <si>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</si>
  <si>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</si>
  <si>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</si>
  <si>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</si>
  <si>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</si>
  <si>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</si>
  <si>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</si>
  <si>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</si>
  <si>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</si>
  <si>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</si>
  <si>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</si>
  <si>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</si>
  <si>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</si>
  <si>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</si>
  <si>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</si>
  <si>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</si>
  <si>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</si>
  <si>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</si>
  <si>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</si>
  <si>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</si>
  <si>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</si>
  <si>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</si>
  <si>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</si>
  <si>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</si>
  <si>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</si>
  <si>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</si>
  <si>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</si>
  <si>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</si>
  <si>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</si>
  <si>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</si>
  <si>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</si>
  <si>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</si>
  <si>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</si>
  <si>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</si>
  <si>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</si>
  <si>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</si>
  <si>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</si>
  <si>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</si>
  <si>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</si>
  <si>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</si>
  <si>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</si>
  <si>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</si>
  <si>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</si>
  <si>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</si>
  <si>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</si>
  <si>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</si>
  <si>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</si>
  <si>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</si>
  <si>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</si>
  <si>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</si>
  <si>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</si>
  <si>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</si>
  <si>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</si>
  <si>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</si>
  <si>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</si>
  <si>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</si>
  <si>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</si>
  <si>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</si>
  <si>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</si>
  <si>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</si>
  <si>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</si>
  <si>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</si>
  <si>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</si>
  <si>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</si>
  <si>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</si>
  <si>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</si>
  <si>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</si>
  <si>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</si>
  <si>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</si>
  <si>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</si>
  <si>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</si>
  <si>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</si>
  <si>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</si>
  <si>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</si>
  <si>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</si>
  <si>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</si>
  <si>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</si>
  <si>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</si>
  <si>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</si>
  <si>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</si>
  <si>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</si>
  <si>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</si>
  <si>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</si>
  <si>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</si>
  <si>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</si>
  <si>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</si>
  <si>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</si>
  <si>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</si>
  <si>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</si>
  <si>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</si>
  <si>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</si>
  <si>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</si>
  <si>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</si>
  <si>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</si>
  <si>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</si>
  <si>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</si>
  <si>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</si>
  <si>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</si>
  <si>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</si>
  <si>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</si>
  <si>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</si>
  <si>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</si>
  <si>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</si>
  <si>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</si>
  <si>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</si>
  <si>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</si>
  <si>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</si>
  <si>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</si>
  <si>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</si>
  <si>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</si>
  <si>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</si>
  <si>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</si>
  <si>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</si>
  <si>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</si>
  <si>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</si>
  <si>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</si>
  <si>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</si>
  <si>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</si>
  <si>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</si>
  <si>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</si>
  <si>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</si>
  <si>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</si>
  <si>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</si>
  <si>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</si>
  <si>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</si>
  <si>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</si>
  <si>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</si>
  <si>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</si>
  <si>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</si>
  <si>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</si>
  <si>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</si>
  <si>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</si>
  <si>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</si>
  <si>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</si>
  <si>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</si>
  <si>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</si>
  <si>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</si>
  <si>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</si>
  <si>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</si>
  <si>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</si>
  <si>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</si>
  <si>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</si>
  <si>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</si>
  <si>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</si>
  <si>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</si>
  <si>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</si>
  <si>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</si>
  <si>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</si>
  <si>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</si>
  <si>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</si>
  <si>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</si>
  <si>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</si>
  <si>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</si>
  <si>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</si>
  <si>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</si>
  <si>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</si>
  <si>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</si>
  <si>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</si>
  <si>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</si>
  <si>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</si>
  <si>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</si>
  <si>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</si>
  <si>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</si>
  <si>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</si>
  <si>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</si>
  <si>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</si>
  <si>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</si>
  <si>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</si>
  <si>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</si>
  <si>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</si>
  <si>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</si>
  <si>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</si>
  <si>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</si>
  <si>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</si>
  <si>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</si>
  <si>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</si>
  <si>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</si>
  <si>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</si>
  <si>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</si>
  <si>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</si>
  <si>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</si>
  <si>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</si>
  <si>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</si>
  <si>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</si>
  <si>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</si>
  <si>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</si>
  <si>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</si>
  <si>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</si>
  <si>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</si>
  <si>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</si>
  <si>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</si>
  <si>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</si>
  <si>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</si>
  <si>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</si>
  <si>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</si>
  <si>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</si>
  <si>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</si>
  <si>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</si>
  <si>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</si>
  <si>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</si>
  <si>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</si>
  <si>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</si>
  <si>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</si>
  <si>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</si>
  <si>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</si>
  <si>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</si>
  <si>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</si>
  <si>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</si>
  <si>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</si>
  <si>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</si>
  <si>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</si>
  <si>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</si>
  <si>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</si>
  <si>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</si>
  <si>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</si>
  <si>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</si>
  <si>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</si>
  <si>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</si>
  <si>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</si>
  <si>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</si>
  <si>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</si>
  <si>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</si>
  <si>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</si>
  <si>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</si>
  <si>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</si>
  <si>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</si>
  <si>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</si>
  <si>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</si>
  <si>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</si>
  <si>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</si>
  <si>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</si>
  <si>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</si>
  <si>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</si>
  <si>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</si>
  <si>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</si>
  <si>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</si>
  <si>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</si>
  <si>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</si>
  <si>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</si>
  <si>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</si>
  <si>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</si>
  <si>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</si>
  <si>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</si>
  <si>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</si>
  <si>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</si>
  <si>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</si>
  <si>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</si>
  <si>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</si>
  <si>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</si>
  <si>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</si>
  <si>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</si>
  <si>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</si>
  <si>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</si>
  <si>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</si>
  <si>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</si>
  <si>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</si>
  <si>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</si>
  <si>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</si>
  <si>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</si>
  <si>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</si>
  <si>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</si>
  <si>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</si>
  <si>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</si>
  <si>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</si>
  <si>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</si>
  <si>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</si>
  <si>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</si>
  <si>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</si>
  <si>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</si>
  <si>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</si>
  <si>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</si>
  <si>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</si>
  <si>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</si>
  <si>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</si>
  <si>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</si>
  <si>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</si>
  <si>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</si>
  <si>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</si>
  <si>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</si>
  <si>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</si>
  <si>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</si>
  <si>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</si>
  <si>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</si>
  <si>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</si>
  <si>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</si>
  <si>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</si>
  <si>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</si>
  <si>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</si>
  <si>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</si>
  <si>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</si>
  <si>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</si>
  <si>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</si>
  <si>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</si>
  <si>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</si>
  <si>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</si>
  <si>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</si>
  <si>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</si>
  <si>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</si>
  <si>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</si>
  <si>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</si>
  <si>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</si>
  <si>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</si>
  <si>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</si>
  <si>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</si>
  <si>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</si>
  <si>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</si>
  <si>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</si>
  <si>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</si>
  <si>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</si>
  <si>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</si>
  <si>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</si>
  <si>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</si>
  <si>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</si>
  <si>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</si>
  <si>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</si>
  <si>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</si>
  <si>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</si>
  <si>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</si>
  <si>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</si>
  <si>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</si>
  <si>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</si>
  <si>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</si>
  <si>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</si>
  <si>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</si>
  <si>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</si>
  <si>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</si>
  <si>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</si>
  <si>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</si>
  <si>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</si>
  <si>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</si>
  <si>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</si>
  <si>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</si>
  <si>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</si>
  <si>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</si>
  <si>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</si>
  <si>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</si>
  <si>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</si>
  <si>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</si>
  <si>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</si>
  <si>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</si>
  <si>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</si>
  <si>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</si>
  <si>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</si>
  <si>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</si>
  <si>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</si>
  <si>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</si>
  <si>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</si>
  <si>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</si>
  <si>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</si>
  <si>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</si>
  <si>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</si>
  <si>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</si>
  <si>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</si>
  <si>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</si>
  <si>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</si>
  <si>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</si>
  <si>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</si>
  <si>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</si>
  <si>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</si>
  <si>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</si>
  <si>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</si>
  <si>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</si>
  <si>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</si>
  <si>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</si>
  <si>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</si>
  <si>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</si>
  <si>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</si>
  <si>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</si>
  <si>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</si>
  <si>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</si>
  <si>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</si>
  <si>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</si>
  <si>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</si>
  <si>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</si>
  <si>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</si>
  <si>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</si>
  <si>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</si>
  <si>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</si>
  <si>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</si>
  <si>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</si>
  <si>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</si>
  <si>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</si>
  <si>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</si>
  <si>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</si>
  <si>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</si>
  <si>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</si>
  <si>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</si>
  <si>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</si>
  <si>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</si>
  <si>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</si>
  <si>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</si>
  <si>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</si>
  <si>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</si>
  <si>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</si>
  <si>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</si>
  <si>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</si>
  <si>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</si>
  <si>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</si>
  <si>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</si>
  <si>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</si>
  <si>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</si>
  <si>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</si>
  <si>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</si>
  <si>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</si>
  <si>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</si>
  <si>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</si>
  <si>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</si>
  <si>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</si>
  <si>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</si>
  <si>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</si>
  <si>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</si>
  <si>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</si>
  <si>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</si>
  <si>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</si>
  <si>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</si>
  <si>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</si>
  <si>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</si>
  <si>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</si>
  <si>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</si>
  <si>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</si>
  <si>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</si>
  <si>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</si>
  <si>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</si>
  <si>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</si>
  <si>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</si>
  <si>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</si>
  <si>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</si>
  <si>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</si>
  <si>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</si>
  <si>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</si>
  <si>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</si>
  <si>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</si>
  <si>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</si>
  <si>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</si>
  <si>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</si>
  <si>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</si>
  <si>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</si>
  <si>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</si>
  <si>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</si>
  <si>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</si>
  <si>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</si>
  <si>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</si>
  <si>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</si>
  <si>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</si>
  <si>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</si>
  <si>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</si>
  <si>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</si>
  <si>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</si>
  <si>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</si>
  <si>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</si>
  <si>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</si>
  <si>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</si>
  <si>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</si>
  <si>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</si>
  <si>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</si>
  <si>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</si>
  <si>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</si>
  <si>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</si>
  <si>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</si>
  <si>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</si>
  <si>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</si>
  <si>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</si>
  <si>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</si>
  <si>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</si>
  <si>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</si>
  <si>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</si>
  <si>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</si>
  <si>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</si>
  <si>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</si>
  <si>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</si>
  <si>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</si>
  <si>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</si>
  <si>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</si>
  <si>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</si>
  <si>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</si>
  <si>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</si>
  <si>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</si>
  <si>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</si>
  <si>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</si>
  <si>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</si>
  <si>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</si>
  <si>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</si>
  <si>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</si>
  <si>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</si>
  <si>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</si>
  <si>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</si>
  <si>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</si>
  <si>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</si>
  <si>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</si>
  <si>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</si>
  <si>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</si>
  <si>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</si>
  <si>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</si>
  <si>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</si>
  <si>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</si>
  <si>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</si>
  <si>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</si>
  <si>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</si>
  <si>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</si>
  <si>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</si>
  <si>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</si>
  <si>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</si>
  <si>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</si>
  <si>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</si>
  <si>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</si>
  <si>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</si>
  <si>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</si>
  <si>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</si>
  <si>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</si>
  <si>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</si>
  <si>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</si>
  <si>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</si>
  <si>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</si>
  <si>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</si>
  <si>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</si>
  <si>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</si>
  <si>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</si>
  <si>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</si>
  <si>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</si>
  <si>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</si>
  <si>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</si>
  <si>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</si>
  <si>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</si>
  <si>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</si>
  <si>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</si>
  <si>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</si>
  <si>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</si>
  <si>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</si>
  <si>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</si>
  <si>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</si>
  <si>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</si>
  <si>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</si>
  <si>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</si>
  <si>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</si>
  <si>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</si>
  <si>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</si>
  <si>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</si>
  <si>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</si>
  <si>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</si>
  <si>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</si>
  <si>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</si>
  <si>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</si>
  <si>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</si>
  <si>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</si>
  <si>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</si>
  <si>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</si>
  <si>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</si>
  <si>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</si>
  <si>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</si>
  <si>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</si>
  <si>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</si>
  <si>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</si>
  <si>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</si>
  <si>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</si>
  <si>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</si>
  <si>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</si>
  <si>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</si>
  <si>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</si>
  <si>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</si>
  <si>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</si>
  <si>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</si>
  <si>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</si>
  <si>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</si>
  <si>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</si>
  <si>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</si>
  <si>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</si>
  <si>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</si>
  <si>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</si>
  <si>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</si>
  <si>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</si>
  <si>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</si>
  <si>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</si>
  <si>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</si>
  <si>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</si>
  <si>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</si>
  <si>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</si>
  <si>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</si>
  <si>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</si>
  <si>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</si>
  <si>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</si>
  <si>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</si>
  <si>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</si>
  <si>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</si>
  <si>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</si>
  <si>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</si>
  <si>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</si>
  <si>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</si>
  <si>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</si>
  <si>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</si>
  <si>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</si>
  <si>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</si>
  <si>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</si>
  <si>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</si>
  <si>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</si>
  <si>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</si>
  <si>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</si>
  <si>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</si>
  <si>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</si>
  <si>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</si>
  <si>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</si>
  <si>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</si>
  <si>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</si>
  <si>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</si>
  <si>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</si>
  <si>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</si>
  <si>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</si>
  <si>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</si>
  <si>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</si>
  <si>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</si>
  <si>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</si>
  <si>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</si>
  <si>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</si>
  <si>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</si>
  <si>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</si>
  <si>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</si>
  <si>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</si>
  <si>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</si>
  <si>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</si>
  <si>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</si>
  <si>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</si>
  <si>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</si>
  <si>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</si>
  <si>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</si>
  <si>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</si>
  <si>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</si>
  <si>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</si>
  <si>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</si>
  <si>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</si>
  <si>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</si>
  <si>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</si>
  <si>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</si>
  <si>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</si>
  <si>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</si>
  <si>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</si>
  <si>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</si>
  <si>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</si>
  <si>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</si>
  <si>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</si>
  <si>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</si>
  <si>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</si>
  <si>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</si>
  <si>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</si>
  <si>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</si>
  <si>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</si>
  <si>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</si>
  <si>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</si>
  <si>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</si>
  <si>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</si>
  <si>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</si>
  <si>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</si>
  <si>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</si>
  <si>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</si>
  <si>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</si>
  <si>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</si>
  <si>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</si>
  <si>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</si>
  <si>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</si>
  <si>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</si>
  <si>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</si>
  <si>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</si>
  <si>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</si>
  <si>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</si>
  <si>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</si>
  <si>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</si>
  <si>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</si>
  <si>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</si>
  <si>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</si>
  <si>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</si>
  <si>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</si>
  <si>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</si>
  <si>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</si>
  <si>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</si>
  <si>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</si>
  <si>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</si>
  <si>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</si>
  <si>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</si>
  <si>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</si>
  <si>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</si>
  <si>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</si>
  <si>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</si>
  <si>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</si>
  <si>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</si>
  <si>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</si>
  <si>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</si>
  <si>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</si>
  <si>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</si>
  <si>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</si>
  <si>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</si>
  <si>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</si>
  <si>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</si>
  <si>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</si>
  <si>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</si>
  <si>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</si>
  <si>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</si>
  <si>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</si>
  <si>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</si>
  <si>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</si>
  <si>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</si>
  <si>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</si>
  <si>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</si>
  <si>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</si>
  <si>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</si>
  <si>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</si>
  <si>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</si>
  <si>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</si>
  <si>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</si>
  <si>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</si>
  <si>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</si>
  <si>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</si>
  <si>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</si>
  <si>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</si>
  <si>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</si>
  <si>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</si>
  <si>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</si>
  <si>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</si>
  <si>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</si>
  <si>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</si>
  <si>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</si>
  <si>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</si>
  <si>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</si>
  <si>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</si>
  <si>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</si>
  <si>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</si>
  <si>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</si>
  <si>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</si>
  <si>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</si>
  <si>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</si>
  <si>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</si>
  <si>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</si>
  <si>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</si>
  <si>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</si>
  <si>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</si>
  <si>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</si>
  <si>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</si>
  <si>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</si>
  <si>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</si>
  <si>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</si>
  <si>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</si>
  <si>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</si>
  <si>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</si>
  <si>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</si>
  <si>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</si>
  <si>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</si>
  <si>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</si>
  <si>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</si>
  <si>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</si>
  <si>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</si>
  <si>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</si>
  <si>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</si>
  <si>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</si>
  <si>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</si>
  <si>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</si>
  <si>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</si>
  <si>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</si>
  <si>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</si>
  <si>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</si>
  <si>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</si>
  <si>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</si>
  <si>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</si>
  <si>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</si>
  <si>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</si>
  <si>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</si>
  <si>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</si>
  <si>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</si>
  <si>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</si>
  <si>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</si>
  <si>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</si>
  <si>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</si>
  <si>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</si>
  <si>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</si>
  <si>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</si>
  <si>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</si>
  <si>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</si>
  <si>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</si>
  <si>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</si>
  <si>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</si>
  <si>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</si>
  <si>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</si>
  <si>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</si>
  <si>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</si>
  <si>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</si>
  <si>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</si>
  <si>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</si>
  <si>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</si>
  <si>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</si>
  <si>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</si>
  <si>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</si>
  <si>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</si>
  <si>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</si>
  <si>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</si>
  <si>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</si>
  <si>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</si>
  <si>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</si>
  <si>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</si>
  <si>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</si>
  <si>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</si>
  <si>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</si>
  <si>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</si>
  <si>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</si>
  <si>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</si>
  <si>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</si>
  <si>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</si>
  <si>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</si>
  <si>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</si>
  <si>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</si>
  <si>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</si>
  <si>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</si>
  <si>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</si>
  <si>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</si>
  <si>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</si>
  <si>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</si>
  <si>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</si>
  <si>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</si>
  <si>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</si>
  <si>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</si>
  <si>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</si>
  <si>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</si>
  <si>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</si>
  <si>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</si>
  <si>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</si>
  <si>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</si>
  <si>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</si>
  <si>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</si>
  <si>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</si>
  <si>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</si>
  <si>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</si>
  <si>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</si>
  <si>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</si>
  <si>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</si>
  <si>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</si>
  <si>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</si>
  <si>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</si>
  <si>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</si>
  <si>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</si>
  <si>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</si>
  <si>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</si>
  <si>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</si>
  <si>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</si>
  <si>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</si>
  <si>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</si>
  <si>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</si>
  <si>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</si>
  <si>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</si>
  <si>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</si>
  <si>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</si>
  <si>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</si>
  <si>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</si>
  <si>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</si>
  <si>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</si>
  <si>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</si>
  <si>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</si>
  <si>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</si>
  <si>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</si>
  <si>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</si>
  <si>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</si>
  <si>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</si>
  <si>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</si>
  <si>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</si>
  <si>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</si>
  <si>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</si>
  <si>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</si>
  <si>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</si>
  <si>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</si>
  <si>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</si>
  <si>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</si>
  <si>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</si>
  <si>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</si>
  <si>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</si>
  <si>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</si>
  <si>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</si>
  <si>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</si>
  <si>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</si>
  <si>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</si>
  <si>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</si>
  <si>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</si>
  <si>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</si>
  <si>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</si>
  <si>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</si>
  <si>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</si>
  <si>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</si>
  <si>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</si>
  <si>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</si>
  <si>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</si>
  <si>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</si>
  <si>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</si>
  <si>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</si>
  <si>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</si>
  <si>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</si>
  <si>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</si>
  <si>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</si>
  <si>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</si>
  <si>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</si>
  <si>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</si>
  <si>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</si>
  <si>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</si>
  <si>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</si>
  <si>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</si>
  <si>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</si>
  <si>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</si>
  <si>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</si>
  <si>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</si>
  <si>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</si>
  <si>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</si>
  <si>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</si>
  <si>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序号</t>
    <phoneticPr fontId="224" type="noConversion"/>
  </si>
  <si>
    <t>土地证</t>
    <phoneticPr fontId="224" type="noConversion"/>
  </si>
  <si>
    <t>赵镇国用（2016）第827号</t>
    <phoneticPr fontId="224" type="noConversion"/>
  </si>
  <si>
    <t>土地使用权人</t>
    <phoneticPr fontId="224" type="noConversion"/>
  </si>
  <si>
    <t>成都花园水城城市建设集团有限公司</t>
    <phoneticPr fontId="224" type="noConversion"/>
  </si>
  <si>
    <t>坐落</t>
    <phoneticPr fontId="224" type="noConversion"/>
  </si>
  <si>
    <t>四川省成都市金堂县赵镇家珍村</t>
    <phoneticPr fontId="224" type="noConversion"/>
  </si>
  <si>
    <t>终止日期</t>
    <phoneticPr fontId="224" type="noConversion"/>
  </si>
  <si>
    <t>住宅2086-8-23，商业2056-8-23</t>
    <phoneticPr fontId="224" type="noConversion"/>
  </si>
  <si>
    <t>赵镇国用（2016）第828号</t>
  </si>
  <si>
    <t>赵镇国用（2016）第829号</t>
  </si>
  <si>
    <t>二类居住用地</t>
    <phoneticPr fontId="224" type="noConversion"/>
  </si>
  <si>
    <t>赵镇国用（2016）第830号</t>
  </si>
  <si>
    <t>赵镇国用（2016）第831号</t>
  </si>
  <si>
    <t>合计</t>
    <phoneticPr fontId="224" type="noConversion"/>
  </si>
  <si>
    <t>住宅2086-8-23，商业2056-8-23</t>
    <phoneticPr fontId="224" type="noConversion"/>
  </si>
  <si>
    <t>抵押价格</t>
  </si>
  <si>
    <t>其他：</t>
  </si>
  <si>
    <t>企业</t>
  </si>
  <si>
    <t>出让金</t>
    <phoneticPr fontId="224" type="noConversion"/>
  </si>
  <si>
    <t>容积率</t>
    <phoneticPr fontId="224" type="noConversion"/>
  </si>
  <si>
    <t>1≤R≤2（商业比例不超15%）</t>
    <phoneticPr fontId="224" type="noConversion"/>
  </si>
  <si>
    <t>商业</t>
    <phoneticPr fontId="224" type="noConversion"/>
  </si>
  <si>
    <t>建筑面积</t>
    <phoneticPr fontId="224" type="noConversion"/>
  </si>
  <si>
    <t>地块名称</t>
  </si>
  <si>
    <t>城市</t>
  </si>
  <si>
    <t>地块编号</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</si>
  <si>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</si>
  <si>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</si>
  <si>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</si>
  <si>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</si>
  <si>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</si>
  <si>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</si>
  <si>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</si>
  <si>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</si>
  <si>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</si>
  <si>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</si>
  <si>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</si>
  <si>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</si>
  <si>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</si>
  <si>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</si>
  <si>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</si>
  <si>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</si>
  <si>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</si>
  <si>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</si>
  <si>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</si>
  <si>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</si>
  <si>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</si>
  <si>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</si>
  <si>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</si>
  <si>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</si>
  <si>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</si>
  <si>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</si>
  <si>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</si>
  <si>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</si>
  <si>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</si>
  <si>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</si>
  <si>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</si>
  <si>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</si>
  <si>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</si>
  <si>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</si>
  <si>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</si>
  <si>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</si>
  <si>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</si>
  <si>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</si>
  <si>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</si>
  <si>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</si>
  <si>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</si>
  <si>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</si>
  <si>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</si>
  <si>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</si>
  <si>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</si>
  <si>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</si>
  <si>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金堂县栖贤街道川福号社区,临近韩滩双岛大桥,兴业路、川福号路、天星路和文翔路围合区域(栖贤片区A06地块)</t>
  </si>
  <si>
    <t>成都市</t>
  </si>
  <si>
    <t>JT2022-08</t>
  </si>
  <si>
    <t xml:space="preserve"> 金堂大学城</t>
  </si>
  <si>
    <t xml:space="preserve"> 金堂县栖贤街道川福号社区,临近韩滩双岛大桥,兴业路、川福号路、天星路和文翔路围合区域(栖贤片区A06地块)</t>
  </si>
  <si>
    <t xml:space="preserve"> 综合用地(含住宅)</t>
  </si>
  <si>
    <t xml:space="preserve"> 1.0&lt;r≤1.8;</t>
  </si>
  <si>
    <t xml:space="preserve"> 拍卖</t>
  </si>
  <si>
    <t xml:space="preserve"> 二类住宅用地(可兼容商业比例≥3%且≤8%)</t>
  </si>
  <si>
    <t xml:space="preserve">-- </t>
  </si>
  <si>
    <t xml:space="preserve"> -- </t>
  </si>
  <si>
    <t xml:space="preserve"> 不大于30%</t>
  </si>
  <si>
    <t xml:space="preserve"> ≤60米</t>
  </si>
  <si>
    <t xml:space="preserve"> --</t>
  </si>
  <si>
    <t xml:space="preserve"> 成公资土拍告[2022]48号</t>
  </si>
  <si>
    <t xml:space="preserve"> 已成交</t>
  </si>
  <si>
    <t xml:space="preserve"> 四川城乡锦云置业有限公司  </t>
  </si>
  <si>
    <t xml:space="preserve"> 蜀道投资集团</t>
  </si>
  <si>
    <t xml:space="preserve"> 地方国有企业</t>
  </si>
  <si>
    <t>2022-12-07 16:00</t>
  </si>
  <si>
    <t xml:space="preserve"> 住宅用地、商服用地住宅用地70年、商服用地40年</t>
  </si>
  <si>
    <t>金堂县栖贤街道,兴业路以西,文汇路以北(栖贤南片区A02-1地块)</t>
  </si>
  <si>
    <t>JT2022-07</t>
  </si>
  <si>
    <t xml:space="preserve"> 金堂县栖贤街道,兴业路以西,文汇路以北(栖贤南片区A02-1地块)</t>
  </si>
  <si>
    <t xml:space="preserve"> 1.0&lt;r≤2.0;计入容积率的建筑面积大于73333.95平方米且不大于146667.90平方米</t>
  </si>
  <si>
    <t xml:space="preserve"> 二类住宅用地(可兼容商业用地比例≥5%且≤8%)</t>
  </si>
  <si>
    <t xml:space="preserve"> ≥33米且≤60米</t>
  </si>
  <si>
    <t>金堂县赵镇毗河南路以南、支路二十一以北(沱源北片区拟出让2号地块)</t>
  </si>
  <si>
    <t>JT2021-11</t>
  </si>
  <si>
    <t xml:space="preserve"> 金堂老城</t>
  </si>
  <si>
    <t xml:space="preserve"> 金堂县赵镇毗河南路以南、支路二十一以北(沱源北片区拟出让2号地块)</t>
  </si>
  <si>
    <t xml:space="preserve"> ≤2.00</t>
  </si>
  <si>
    <t xml:space="preserve"> 二类居住用地(兼容商业计容总面积比例≥3%且≤10%)</t>
  </si>
  <si>
    <t xml:space="preserve"> ≤30%</t>
  </si>
  <si>
    <t xml:space="preserve"> 满足航空限高要求。</t>
  </si>
  <si>
    <t xml:space="preserve"> 成公资土拍告[2022]10号</t>
  </si>
  <si>
    <t xml:space="preserve"> 成都新安辰房地产开发有限公司  </t>
  </si>
  <si>
    <t xml:space="preserve"> 清凤现代地产</t>
  </si>
  <si>
    <t xml:space="preserve"> 民营企业</t>
  </si>
  <si>
    <t>2022-04-06 16:00</t>
  </si>
  <si>
    <t>金堂县淮州新城三溪片区南北干道以西、东西干道以南(16(Ⅰ.A)-e-04-02地块)。</t>
  </si>
  <si>
    <t>JT2021-12</t>
  </si>
  <si>
    <t xml:space="preserve"> 淮州新城</t>
  </si>
  <si>
    <t xml:space="preserve"> 金堂县淮州新城三溪片区南北干道以西、东西干道以南(16(Ⅰ.A)-e-04-02地块)。</t>
  </si>
  <si>
    <t xml:space="preserve"> 1&lt;r≤2.0;具体详见宗地规划条件。</t>
  </si>
  <si>
    <t xml:space="preserve"> 二类住宅用地(兼容商业计容总面积比例≥5%且≤10%)</t>
  </si>
  <si>
    <t xml:space="preserve"> 不大于60米且满足航空限高要求</t>
  </si>
  <si>
    <t xml:space="preserve"> 成公资土拍告[2021]80号</t>
  </si>
  <si>
    <t xml:space="preserve"> 金堂县兴金开发建设投资有限责任公司  </t>
  </si>
  <si>
    <t xml:space="preserve"> 金堂县兴金开发建设投资有限责任公司</t>
  </si>
  <si>
    <t>2021-12-22 16:00</t>
  </si>
  <si>
    <t>金堂县栖贤街道天星路以东、大学城公共交通客运站以南(栖贤片区9号地块)</t>
  </si>
  <si>
    <t>JT2021-21</t>
  </si>
  <si>
    <t xml:space="preserve"> 金堂县栖贤街道天星路以东、大学城公共交通客运站以南(栖贤片区9号地块)</t>
  </si>
  <si>
    <t xml:space="preserve"> 1.0&lt;r≤2.0;具体详见宗地规划条件。</t>
  </si>
  <si>
    <t xml:space="preserve"> 二类住宅用地(兼容商业计容总面积比例&gt;3%且≤10%)</t>
  </si>
  <si>
    <t xml:space="preserve"> 不大于54米且满足航空限高</t>
  </si>
  <si>
    <t xml:space="preserve"> 四川铁投城乡投资建设集团有限责任公司  </t>
  </si>
  <si>
    <t xml:space="preserve"> 四川铁投</t>
  </si>
  <si>
    <t>金堂县栖贤街道塘巴路以南、兴业路以西(栖贤10号拟出让地块)</t>
  </si>
  <si>
    <t>JT2021-22</t>
  </si>
  <si>
    <t xml:space="preserve"> 金堂县栖贤街道塘巴路以南、兴业路以西(栖贤10号拟出让地块)</t>
  </si>
  <si>
    <t xml:space="preserve"> 二类住宅用地(兼容商业计容总面积比例&gt;1%且≤10%)</t>
  </si>
  <si>
    <t>金堂县淮州新城通航东区纬二路以南、经二路以西(ⅢB018地块)</t>
  </si>
  <si>
    <t>JT2021-20</t>
  </si>
  <si>
    <t xml:space="preserve"> 金堂县淮州新城通航东区纬二路以南、经二路以西(ⅢB018地块)</t>
  </si>
  <si>
    <t xml:space="preserve"> 二类居住用地(兼容商业计容总面积比例≥1%且≤10%)</t>
  </si>
  <si>
    <t xml:space="preserve"> ≤25%</t>
  </si>
  <si>
    <t xml:space="preserve"> ≤35米且符合航空限高要求</t>
  </si>
  <si>
    <t xml:space="preserve"> 成都淮州新城置业有限责任公司  </t>
  </si>
  <si>
    <t xml:space="preserve"> 成都淮州新城置业有限责任公司</t>
  </si>
  <si>
    <t>金堂县赵镇环岛路以东、支路二十一以北(沱源北片区拟出让1号地块)</t>
  </si>
  <si>
    <t>JT2021-10</t>
  </si>
  <si>
    <t xml:space="preserve"> 金堂新城</t>
  </si>
  <si>
    <t xml:space="preserve"> 金堂县赵镇环岛路以东、支路二十一以北(沱源北片区拟出让1号地块)</t>
  </si>
  <si>
    <t xml:space="preserve"> 满足航空限高要求</t>
  </si>
  <si>
    <t xml:space="preserve"> 成公资土拍告[2021]78号</t>
  </si>
  <si>
    <t xml:space="preserve"> 成都干道金翔置业有限责任公司  </t>
  </si>
  <si>
    <t xml:space="preserve"> 成都城投置地</t>
  </si>
  <si>
    <t>2021-12-16 16:00</t>
  </si>
  <si>
    <t>金堂县淮州新城通航东区白高路以南,经五路以西。(地块编码ⅢB009)</t>
  </si>
  <si>
    <t>JT2021-06</t>
  </si>
  <si>
    <t xml:space="preserve"> 金堂县淮州新城通航东区白高路以南,经五路以西。(地块编码ⅢB009)</t>
  </si>
  <si>
    <t xml:space="preserve"> 住宅用地</t>
  </si>
  <si>
    <t xml:space="preserve"> 二类住宅用地</t>
  </si>
  <si>
    <t xml:space="preserve"> 小于等于60米且满足航空限高要求</t>
  </si>
  <si>
    <t xml:space="preserve"> 成公资土拍告[2021]76号</t>
  </si>
  <si>
    <t xml:space="preserve"> 成都淮州湾科创投资控股  </t>
  </si>
  <si>
    <t xml:space="preserve"> 淮州新城建投,成都环境投资集团有限公司</t>
  </si>
  <si>
    <t xml:space="preserve"> 地方国有企业,地方国有企业</t>
  </si>
  <si>
    <t>2021-12-14 16:00</t>
  </si>
  <si>
    <t xml:space="preserve"> 住宅用地70年</t>
  </si>
  <si>
    <t>金堂县淮州新城通航东区白高路以北、经五路以西。(地块编码ⅢB011)</t>
  </si>
  <si>
    <t>JT2021-09</t>
  </si>
  <si>
    <t xml:space="preserve"> 金堂县淮州新城通航东区白高路以北、经五路以西。(地块编码ⅢB011)</t>
  </si>
  <si>
    <t xml:space="preserve"> 不大于35米且满足航空限高要求</t>
  </si>
  <si>
    <t xml:space="preserve"> 成都淮州新城置业  </t>
  </si>
  <si>
    <t>金堂县栖贤街道文翔路以北、兴业路以西(三星片区A03拟出让地块)</t>
  </si>
  <si>
    <t>JT2020-20</t>
  </si>
  <si>
    <t xml:space="preserve"> 金堂县栖贤街道文翔路以北、兴业路以西(三星片区A03拟出让地块)</t>
  </si>
  <si>
    <t xml:space="preserve"> 1.0&lt;r≤2.0</t>
  </si>
  <si>
    <t xml:space="preserve"> 住宅兼容商业服务业设施用地</t>
  </si>
  <si>
    <t xml:space="preserve"> 限地价,竞配建</t>
  </si>
  <si>
    <t xml:space="preserve"> 限地价</t>
  </si>
  <si>
    <t xml:space="preserve"> 成公资土拍告(2021)14号</t>
  </si>
  <si>
    <t xml:space="preserve"> 成都海纳风华企业管理咨询有限公司  </t>
  </si>
  <si>
    <t xml:space="preserve"> 金地集团</t>
  </si>
  <si>
    <t xml:space="preserve"> 混合所有制</t>
  </si>
  <si>
    <t>2021-05-06 16:00</t>
  </si>
  <si>
    <t xml:space="preserve"> 住宅用地70年、商服用地40年</t>
  </si>
  <si>
    <t>金堂县栖贤街道文翔路以北、兴业路以东(三星片区A05拟出让地块)</t>
  </si>
  <si>
    <t>JT2020-21</t>
  </si>
  <si>
    <t xml:space="preserve"> 金堂县栖贤街道文翔路以北、兴业路以东(三星片区A05拟出让地块)</t>
  </si>
  <si>
    <t xml:space="preserve"> 住宅兼容商业服务业设施用地(可兼容的商业建筑面积占计入容积率的建筑面积的比例不大于10%)</t>
  </si>
  <si>
    <t xml:space="preserve"> 成公资土拍告(2020)108号</t>
  </si>
  <si>
    <t xml:space="preserve"> 四川美锦置业有限公司  </t>
  </si>
  <si>
    <t xml:space="preserve"> 美好置业</t>
  </si>
  <si>
    <t>2021-01-19 00:00</t>
  </si>
  <si>
    <t>金堂县淮州新城职教西区纬三路以南、经五路以西(ⅢB010地块)</t>
  </si>
  <si>
    <t>JT2020-10</t>
  </si>
  <si>
    <t xml:space="preserve"> 金堂县淮州新城职教西区纬三路以南、经五路以西(ⅢB010地块)</t>
  </si>
  <si>
    <t xml:space="preserve"> 二类居住用地(兼容商业计容总面积比例≤10%)</t>
  </si>
  <si>
    <t xml:space="preserve"> 成公资土拍告(2020)94号</t>
  </si>
  <si>
    <t xml:space="preserve"> 淮州新城建投</t>
  </si>
  <si>
    <t xml:space="preserve"> 住宅用地:70年、商服用地:40年</t>
  </si>
  <si>
    <t>金堂县淮州新城职教西区纬三路以南、经五路以东(ⅢB012地块)</t>
  </si>
  <si>
    <t>JT2020-12</t>
  </si>
  <si>
    <t xml:space="preserve"> 金堂县淮州新城职教西区纬三路以南、经五路以东(ⅢB012地块)</t>
  </si>
  <si>
    <t>金堂县淮州新城职教西区白高路以北、经三路以西(ⅢB016地块)</t>
  </si>
  <si>
    <t>JT2020-16</t>
  </si>
  <si>
    <t xml:space="preserve"> 金堂县淮州新城职教西区白高路以北、经三路以西(ⅢB016地块)</t>
  </si>
  <si>
    <t xml:space="preserve"> 1.0&lt;r≤2.5</t>
  </si>
  <si>
    <t xml:space="preserve"> ≤60米且符合航空限高要求</t>
  </si>
  <si>
    <t>金堂县赵镇毗河以东,金泉路以北(恒大以西H地块)</t>
  </si>
  <si>
    <t>JT2020-06</t>
  </si>
  <si>
    <t xml:space="preserve"> 金堂县赵镇毗河以东,金泉路以北(恒大以西H地块)</t>
  </si>
  <si>
    <t xml:space="preserve"> 大于1并且小于或等于2.25</t>
  </si>
  <si>
    <t xml:space="preserve"> 城镇住宅-普通商品住房用地</t>
  </si>
  <si>
    <t xml:space="preserve"> 小于或等于30</t>
  </si>
  <si>
    <t xml:space="preserve"> 小于或等于60</t>
  </si>
  <si>
    <t xml:space="preserve"> 成公资土拍告[2020]78号</t>
  </si>
  <si>
    <t xml:space="preserve"> 格尔木世邦投资有限公司  </t>
  </si>
  <si>
    <t xml:space="preserve"> 世邦投资集团</t>
  </si>
  <si>
    <t>2020-11-16 16:00</t>
  </si>
  <si>
    <t xml:space="preserve"> 70年</t>
  </si>
  <si>
    <t>金堂县淮州新城职教西区纬三路以南、经四路以东(ⅢB014地块)</t>
  </si>
  <si>
    <t>JT2020-14</t>
  </si>
  <si>
    <t xml:space="preserve"> 金堂县淮州新城职教西区纬三路以南、经四路以东(ⅢB014地块)</t>
  </si>
  <si>
    <t xml:space="preserve"> 成公资土拍告(2020)62号</t>
  </si>
  <si>
    <t xml:space="preserve"> 成都产业投资</t>
  </si>
  <si>
    <t>2020-09-29 00:00</t>
  </si>
  <si>
    <t>金堂县淮州新城职教西区白高路以北、经四路以西(ⅢB013地块)</t>
  </si>
  <si>
    <t>JT2020-13</t>
  </si>
  <si>
    <t xml:space="preserve"> 金堂县淮州新城职教西区白高路以北、经四路以西(ⅢB013地块)</t>
  </si>
  <si>
    <t>金堂县淮州新城职教西区纬二路以南、经三路以东(ⅢB017地块)</t>
  </si>
  <si>
    <t>JT2020-17</t>
  </si>
  <si>
    <t xml:space="preserve"> 金堂县淮州新城职教西区纬二路以南、经三路以东(ⅢB017地块)</t>
  </si>
  <si>
    <t>金堂县栖贤街道府月路以南、天星路以西(原三星11号拟出让地块)</t>
  </si>
  <si>
    <t>JT2020-01</t>
  </si>
  <si>
    <t xml:space="preserve"> 金堂县栖贤街道府月路以南、天星路以西(原三星11号拟出让地块)</t>
  </si>
  <si>
    <t xml:space="preserve"> 住宅用地、商服用地</t>
  </si>
  <si>
    <t xml:space="preserve"> 成公资土拍告(2020)39号</t>
  </si>
  <si>
    <t xml:space="preserve"> 四川华典置业有限公司  </t>
  </si>
  <si>
    <t xml:space="preserve"> 四川华典置业</t>
  </si>
  <si>
    <t>2020-06-28 00:00</t>
  </si>
  <si>
    <t>金堂县官仓街道白马泉村、柿子树村</t>
  </si>
  <si>
    <t>JT2019-18</t>
  </si>
  <si>
    <t xml:space="preserve"> 金堂观岭</t>
  </si>
  <si>
    <t xml:space="preserve"> 金堂县官仓街道白马泉村、柿子树村</t>
  </si>
  <si>
    <t xml:space="preserve"> 大于1.0且不大于1.80</t>
  </si>
  <si>
    <t xml:space="preserve"> 按照相关规定执行</t>
  </si>
  <si>
    <t xml:space="preserve"> 成公资土拍告(2020)24号</t>
  </si>
  <si>
    <t xml:space="preserve"> 香港中旅国际投资有限公司  </t>
  </si>
  <si>
    <t xml:space="preserve"> 港中旅</t>
  </si>
  <si>
    <t xml:space="preserve"> 中央国有企业</t>
  </si>
  <si>
    <t>2020-05-07 00:00</t>
  </si>
  <si>
    <t>金堂县官仓街道白马泉村</t>
  </si>
  <si>
    <t>JT2019-19</t>
  </si>
  <si>
    <t xml:space="preserve"> 金堂县官仓街道白马泉村</t>
  </si>
  <si>
    <t xml:space="preserve"> 大于1.0且不大于1.8</t>
  </si>
  <si>
    <t>JT2019-17</t>
  </si>
  <si>
    <t>金堂县淮州新城通航东区纬三路以北、经六路以东(ⅢB006地块)</t>
  </si>
  <si>
    <t>JT2019-12</t>
  </si>
  <si>
    <t xml:space="preserve"> 金堂县淮州新城通航东区纬三路以北、经六路以东(ⅢB006地块)</t>
  </si>
  <si>
    <t xml:space="preserve"> 大于1.0且不大于2.0</t>
  </si>
  <si>
    <t xml:space="preserve"> 配建人才住房(可售)</t>
  </si>
  <si>
    <t xml:space="preserve"> 成公资土拍告(2019)64号</t>
  </si>
  <si>
    <t xml:space="preserve"> 成都淮州东兴建设开发有限公司  </t>
  </si>
  <si>
    <t>金堂县淮州新城通航东区纬三路以北、经五路以西(ⅢB005地块)</t>
  </si>
  <si>
    <t>JT2019-11</t>
  </si>
  <si>
    <t xml:space="preserve"> 金堂县淮州新城通航东区纬三路以北、经五路以西(ⅢB005地块)</t>
  </si>
  <si>
    <t xml:space="preserve"> 不大于2.0</t>
  </si>
  <si>
    <t xml:space="preserve"> 人才住房(可售)</t>
  </si>
  <si>
    <t xml:space="preserve"> 成都淮州东兴建设开发有限公司</t>
  </si>
  <si>
    <t>金堂县淮州新城通航东区纬二路以南、经五路以西(ⅢB004地块)</t>
  </si>
  <si>
    <t>JT2019-10</t>
  </si>
  <si>
    <t xml:space="preserve"> 金堂县淮州新城通航东区纬二路以南、经五路以西(ⅢB004地块)</t>
  </si>
  <si>
    <t xml:space="preserve"> &lt;1.0且≤2.0</t>
  </si>
  <si>
    <t xml:space="preserve"> 配建人才住房(可售),配建人才住房(可售),纯人才住房(可售)</t>
  </si>
  <si>
    <t>金堂县赵镇金园街东侧(金山公园以南地块)</t>
  </si>
  <si>
    <t>JT2019-05</t>
  </si>
  <si>
    <t xml:space="preserve"> 金堂县赵镇金园街东侧(金山公园以南地块)</t>
  </si>
  <si>
    <t xml:space="preserve"> ≥1.0且≤2.0</t>
  </si>
  <si>
    <t xml:space="preserve"> 二类住宅用地(兼容商业比例≤10%)</t>
  </si>
  <si>
    <t xml:space="preserve"> ≤30米</t>
  </si>
  <si>
    <t xml:space="preserve"> 成公资土拍告(2019)47号</t>
  </si>
  <si>
    <t>金堂县三星镇兰家店路以南、南北一路以西(三星51号拟出让地块)</t>
  </si>
  <si>
    <t>JT2018-26</t>
  </si>
  <si>
    <t xml:space="preserve"> 金堂县三星镇兰家店路以南、南北一路以西(三星51号拟出让地块)</t>
  </si>
  <si>
    <t xml:space="preserve"> 大于1.0且≤2.5</t>
  </si>
  <si>
    <t xml:space="preserve"> 二类居住用地(可兼容≤20%商业)</t>
  </si>
  <si>
    <t xml:space="preserve"> 总建筑密度≤30%</t>
  </si>
  <si>
    <t xml:space="preserve"> 成公资土拍告(2019)23号</t>
  </si>
  <si>
    <t xml:space="preserve"> 成都金堂和裕房地产开发有限责任公司  </t>
  </si>
  <si>
    <t xml:space="preserve"> 富豪实业</t>
  </si>
  <si>
    <t xml:space="preserve"> 城镇住宅用地70年</t>
  </si>
  <si>
    <t>金堂县三星镇唐巴路以南、星文路以东(三星D-4拟出让地块)</t>
  </si>
  <si>
    <t>JT2018-27</t>
  </si>
  <si>
    <t xml:space="preserve"> 金堂县三星镇唐巴路以南、星文路以东(三星D-4拟出让地块)</t>
  </si>
  <si>
    <t xml:space="preserve"> 不小于1.0且不大于2.5</t>
  </si>
  <si>
    <t xml:space="preserve"> 满足航空限高</t>
  </si>
  <si>
    <t xml:space="preserve"> 成公资土拍告(2019)13号</t>
  </si>
  <si>
    <t xml:space="preserve"> 金堂和裕地产</t>
  </si>
  <si>
    <t>金堂县赵镇毗河三桥东侧</t>
  </si>
  <si>
    <t>JT2018-01(252/211)</t>
  </si>
  <si>
    <t xml:space="preserve"> 金堂县赵镇毗河三桥东侧</t>
  </si>
  <si>
    <t xml:space="preserve"> 大于1并且小于或等于2</t>
  </si>
  <si>
    <t xml:space="preserve"> 小于或等于25</t>
  </si>
  <si>
    <t xml:space="preserve"> 小于或等于46</t>
  </si>
  <si>
    <t xml:space="preserve"> 成公资土拍告[2019]2号</t>
  </si>
  <si>
    <t xml:space="preserve"> 成都金堂发展投资有限公司  </t>
  </si>
  <si>
    <t xml:space="preserve"> 成都天府大港集团有限公司</t>
  </si>
  <si>
    <t>金堂县赵镇毗河以东、杨柳桥街以西(恒大以西F地块)</t>
  </si>
  <si>
    <t>JT2018-17</t>
  </si>
  <si>
    <t xml:space="preserve"> 金堂县赵镇毗河以东、杨柳桥街以西(恒大以西F地块)</t>
  </si>
  <si>
    <t xml:space="preserve"> 大于或等于1并且小于或等于2.25</t>
  </si>
  <si>
    <t xml:space="preserve"> 其他普通商品住房用地</t>
  </si>
  <si>
    <t xml:space="preserve"> 成公资土拍告[2018]58号</t>
  </si>
  <si>
    <t xml:space="preserve"> 成都交投善成实业有限公司  </t>
  </si>
  <si>
    <t xml:space="preserve"> 成都交投</t>
  </si>
  <si>
    <t>金堂县赵镇毗河以东、杨柳桥街以西(恒大以西G地块)</t>
  </si>
  <si>
    <t>JT2018-18</t>
  </si>
  <si>
    <t xml:space="preserve"> 金堂县赵镇毗河以东、杨柳桥街以西(恒大以西G地块)</t>
  </si>
  <si>
    <t>金堂县赵镇毗河以东,杨柳桥街以西(恒大以西E地块)</t>
  </si>
  <si>
    <t>JT2018-16</t>
  </si>
  <si>
    <t xml:space="preserve"> 金堂县赵镇毗河以东,杨柳桥街以西(恒大以西E地块)</t>
  </si>
  <si>
    <t xml:space="preserve"> 二类住宅兼容商业</t>
  </si>
  <si>
    <t xml:space="preserve"> ≤60米,其中滨河道路的建筑高度≤18米</t>
  </si>
  <si>
    <t xml:space="preserve"> 成公资土拍告(2018)46号</t>
  </si>
  <si>
    <t xml:space="preserve"> 住宅70年、商服40年</t>
  </si>
  <si>
    <t>金堂县赵镇会馆路以南,西家坝路以北(西家坝D地块)</t>
  </si>
  <si>
    <t>JT2018-12</t>
  </si>
  <si>
    <t xml:space="preserve"> 金堂县赵镇会馆路以南,西家坝路以北(西家坝D地块)</t>
  </si>
  <si>
    <t xml:space="preserve"> ≥1.0且≤2.2</t>
  </si>
  <si>
    <t xml:space="preserve"> ≤50米,其中临会馆路≤18米</t>
  </si>
  <si>
    <t xml:space="preserve"> 成公资土拍告(2018)36号</t>
  </si>
  <si>
    <t xml:space="preserve"> 成都兴城人居地产投资集团有限公司  </t>
  </si>
  <si>
    <t xml:space="preserve"> 兴城人居</t>
  </si>
  <si>
    <t xml:space="preserve"> 住宅用地70年,商服用地40年</t>
  </si>
  <si>
    <t>金堂县赵镇会馆路以南,西家坝路以北(西家坝B地块)</t>
  </si>
  <si>
    <t>JT2018-11</t>
  </si>
  <si>
    <t xml:space="preserve"> 金堂县赵镇会馆路以南,西家坝路以北(西家坝B地块)</t>
  </si>
  <si>
    <t>金堂县赵镇金鹰路以西(恒大以西A地块)</t>
  </si>
  <si>
    <t>JT2018-09(252/211)</t>
  </si>
  <si>
    <t xml:space="preserve"> 金堂县赵镇金鹰路以西(恒大以西A地块)</t>
  </si>
  <si>
    <t xml:space="preserve"> 二类住宅(兼容商业计容面积比例≤10%)</t>
  </si>
  <si>
    <t xml:space="preserve"> 成公资土拍告(2018)27号</t>
  </si>
  <si>
    <t xml:space="preserve"> 保利(成都)实业有限公司  </t>
  </si>
  <si>
    <t xml:space="preserve"> 保利发展</t>
  </si>
  <si>
    <t xml:space="preserve"> 住宅70年,商服40年</t>
  </si>
  <si>
    <t>金堂县赵镇金鹰路以西(恒大以西B地块)</t>
  </si>
  <si>
    <t>JT2018-07(252/211)</t>
  </si>
  <si>
    <t xml:space="preserve"> 金堂县赵镇金鹰路以西(恒大以西B地块)</t>
  </si>
  <si>
    <t xml:space="preserve"> 成都世茂新城房地产开发有限公司  </t>
  </si>
  <si>
    <t xml:space="preserve"> 世茂集团</t>
  </si>
  <si>
    <t>金堂县赵镇金鹰路以西(恒大以西C地块)</t>
  </si>
  <si>
    <t>JT2018-08(252/211)</t>
  </si>
  <si>
    <t xml:space="preserve"> 金堂县赵镇金鹰路以西(恒大以西C地块)</t>
  </si>
  <si>
    <t xml:space="preserve"> 成都金禾茂置业有限公司  </t>
  </si>
  <si>
    <t xml:space="preserve"> 保利发展,中国金茂</t>
  </si>
  <si>
    <t xml:space="preserve"> 中央国有企业,中央国有企业</t>
  </si>
  <si>
    <t>金堂县淮口镇现代大道以东、红岩寺大桥以南(C地块)</t>
  </si>
  <si>
    <t>JT2017-02(251/211)</t>
  </si>
  <si>
    <t xml:space="preserve"> 金堂县淮口镇现代大道以东、红岩寺大桥以南(C地块)</t>
  </si>
  <si>
    <t xml:space="preserve"> 二类居住用地</t>
  </si>
  <si>
    <t xml:space="preserve"> 成公资土挂告(2018)1号</t>
  </si>
  <si>
    <t>金堂县淮口镇现代大道以东、红岩寺大桥以南(D地块)</t>
  </si>
  <si>
    <t>JT2017-03(251/211)</t>
  </si>
  <si>
    <t xml:space="preserve"> 金堂县淮口镇现代大道以东、红岩寺大桥以南(D地块)</t>
  </si>
  <si>
    <t>金堂县淮口镇现代大道以东、红岩寺大桥以南(F地块)</t>
  </si>
  <si>
    <t>JT2017-05(251/211)</t>
  </si>
  <si>
    <t xml:space="preserve"> 金堂县淮口镇现代大道以东、红岩寺大桥以南(F地块)</t>
  </si>
  <si>
    <t xml:space="preserve"> 1.0&lt;r≤2.8</t>
  </si>
  <si>
    <t>金堂县官仓镇白马泉村</t>
  </si>
  <si>
    <t>JT2015-14(252)</t>
  </si>
  <si>
    <t xml:space="preserve"> 金堂北部郊区</t>
  </si>
  <si>
    <t xml:space="preserve"> 金堂县官仓镇白马泉村</t>
  </si>
  <si>
    <t xml:space="preserve"> &gt;1,≤1.8</t>
  </si>
  <si>
    <t xml:space="preserve"> 城镇混合住宅用地</t>
  </si>
  <si>
    <t xml:space="preserve"> ≤35</t>
  </si>
  <si>
    <t xml:space="preserve"> 成公资土拍告[2015]57号-2</t>
  </si>
  <si>
    <t xml:space="preserve"> 港中旅海泉湾(成都)置业有限公司  </t>
  </si>
  <si>
    <t xml:space="preserve"> 住宅用地 70年、商业用地 40年</t>
  </si>
  <si>
    <t>JT2015-11(252)</t>
  </si>
  <si>
    <t xml:space="preserve"> 成公资土拍告[2015]51号-3</t>
  </si>
  <si>
    <t xml:space="preserve"> 住宅用地70年、商业用地 40年</t>
  </si>
  <si>
    <t>JT2015-10(252)</t>
  </si>
  <si>
    <t xml:space="preserve"> 成公资土拍告[2015]51号-2</t>
  </si>
  <si>
    <t>JT2015-12(252)</t>
  </si>
  <si>
    <t xml:space="preserve"> 成公资土拍告[2015]51号-4</t>
  </si>
  <si>
    <t>金堂县恒大以西杨柳安置房北侧</t>
  </si>
  <si>
    <t>JT2015-09(252)</t>
  </si>
  <si>
    <t xml:space="preserve"> 金堂县恒大以西杨柳安置房北侧</t>
  </si>
  <si>
    <t xml:space="preserve"> &gt;1,≤2</t>
  </si>
  <si>
    <t xml:space="preserve"> 成公资土拍告[2015]48号-4</t>
  </si>
  <si>
    <t xml:space="preserve"> 中节能(成都)环保生态产业有限公司  </t>
  </si>
  <si>
    <t xml:space="preserve"> 住宅用地70年、商业用地40年</t>
  </si>
  <si>
    <t>金堂县恒大以西杨柳安置房北侧,24米规划道路东侧</t>
  </si>
  <si>
    <t>JT2015-08(252)</t>
  </si>
  <si>
    <t xml:space="preserve"> 金堂县恒大以西杨柳安置房北侧,24米规划道路东侧</t>
  </si>
  <si>
    <t xml:space="preserve"> 成公资土拍告[2015]48号-3</t>
  </si>
  <si>
    <t>金堂县淮口镇</t>
  </si>
  <si>
    <t>JT2015-05(211/251)</t>
  </si>
  <si>
    <t xml:space="preserve"> 金堂县淮口镇</t>
  </si>
  <si>
    <t xml:space="preserve"> 1-2</t>
  </si>
  <si>
    <t xml:space="preserve"> 商业兼容住宅</t>
  </si>
  <si>
    <t xml:space="preserve"> ≤40%</t>
  </si>
  <si>
    <t xml:space="preserve"> 成公资土拍告(2015)12号-1</t>
  </si>
  <si>
    <t xml:space="preserve"> 成都西奥实业有限公司  </t>
  </si>
  <si>
    <t>金堂县竹篙镇规划道路东侧、下正街北侧</t>
  </si>
  <si>
    <t>JT2014-05(211/251)</t>
  </si>
  <si>
    <t xml:space="preserve"> 金堂东部郊区</t>
  </si>
  <si>
    <t xml:space="preserve"> 金堂县竹篙镇规划道路东侧、下正街北侧</t>
  </si>
  <si>
    <t xml:space="preserve"> 住宅和商业(其中计入容积率的商业建筑面积&lt;35%)</t>
  </si>
  <si>
    <t xml:space="preserve"> 成公资土拍告(2014)46号-2</t>
  </si>
  <si>
    <t xml:space="preserve"> 金堂县金恒发房地产开发有限公司  </t>
  </si>
  <si>
    <t xml:space="preserve"> 住宅用地70年\商业用地40年</t>
  </si>
  <si>
    <t>金堂县十里大道北侧</t>
  </si>
  <si>
    <t>JT04(251/211):2014-085</t>
  </si>
  <si>
    <t xml:space="preserve"> 金堂县十里大道北侧</t>
  </si>
  <si>
    <t xml:space="preserve"> 1&lt;r≤4.0</t>
  </si>
  <si>
    <t xml:space="preserve"> 商业用地、住宅用地</t>
  </si>
  <si>
    <t xml:space="preserve"> 成公资土拍告(2014)18号-4</t>
  </si>
  <si>
    <t xml:space="preserve"> 成都俊逸金沱投资管理有限公司  </t>
  </si>
  <si>
    <t xml:space="preserve"> 商业用地40年、住宅用地70年</t>
  </si>
  <si>
    <t>是</t>
  </si>
  <si>
    <t>地上</t>
  </si>
  <si>
    <t>平层住宅</t>
  </si>
  <si>
    <t>底商</t>
  </si>
  <si>
    <t>住宅</t>
    <phoneticPr fontId="7" type="noConversion"/>
  </si>
  <si>
    <t>商业</t>
    <phoneticPr fontId="7" type="noConversion"/>
  </si>
  <si>
    <t>利息：取LPR加浮动点数</t>
  </si>
  <si>
    <t>不动产收益法</t>
  </si>
  <si>
    <t>正常</t>
  </si>
  <si>
    <t>住宅、商业</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</si>
  <si>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</si>
  <si>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</si>
  <si>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</si>
  <si>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</si>
  <si>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</si>
  <si>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</si>
  <si>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</si>
  <si>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</si>
  <si>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</si>
  <si>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</si>
  <si>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</si>
  <si>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</si>
  <si>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</si>
  <si>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楼面地价</t>
  </si>
  <si>
    <t>住宅、商业</t>
  </si>
  <si>
    <t>一般</t>
  </si>
  <si>
    <t>较好</t>
  </si>
  <si>
    <t>六通</t>
  </si>
  <si>
    <t>较规则</t>
  </si>
  <si>
    <t>较适宜</t>
  </si>
  <si>
    <t>售价</t>
  </si>
  <si>
    <t>土地（套用方法）</t>
  </si>
  <si>
    <t>押一</t>
  </si>
  <si>
    <t>钢混</t>
  </si>
  <si>
    <t>朗诗未来街区</t>
    <phoneticPr fontId="3" type="noConversion"/>
  </si>
  <si>
    <t>钢混</t>
    <phoneticPr fontId="3" type="noConversion"/>
  </si>
  <si>
    <t>普装</t>
    <phoneticPr fontId="3" type="noConversion"/>
  </si>
  <si>
    <t>好</t>
  </si>
  <si>
    <t>较差</t>
  </si>
  <si>
    <t>差</t>
  </si>
  <si>
    <t>专业</t>
    <phoneticPr fontId="3" type="noConversion"/>
  </si>
  <si>
    <t>精装</t>
  </si>
  <si>
    <t>精装</t>
    <phoneticPr fontId="3" type="noConversion"/>
  </si>
  <si>
    <t>普装</t>
    <phoneticPr fontId="21" type="noConversion"/>
  </si>
  <si>
    <t>简装</t>
    <phoneticPr fontId="21" type="noConversion"/>
  </si>
  <si>
    <t>毛坯</t>
  </si>
  <si>
    <t>毛坯</t>
    <phoneticPr fontId="21" type="noConversion"/>
  </si>
  <si>
    <t>高层</t>
  </si>
  <si>
    <t>高层</t>
    <phoneticPr fontId="21" type="noConversion"/>
  </si>
  <si>
    <t>住宅</t>
    <phoneticPr fontId="21" type="noConversion"/>
  </si>
  <si>
    <t>比较法-住宅、综合</t>
  </si>
  <si>
    <t>剩余法-待开发</t>
  </si>
  <si>
    <t>和裕晶河湾</t>
    <phoneticPr fontId="3" type="noConversion"/>
  </si>
  <si>
    <t>世邦昆仑城</t>
    <phoneticPr fontId="3" type="noConversion"/>
  </si>
  <si>
    <t>评估楼面单价</t>
    <phoneticPr fontId="224" type="noConversion"/>
  </si>
  <si>
    <t>评估值(万元)</t>
    <phoneticPr fontId="224" type="noConversion"/>
  </si>
  <si>
    <t>成都花园水城城市建设集团有限公司</t>
    <phoneticPr fontId="224" type="noConversion"/>
  </si>
  <si>
    <t>四川省成都市金堂县赵镇家珍村</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</si>
</sst>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0" applyFont="1" applyAlignment="1">
      <alignment horizontal="left" vertical="center" wrapText="1"/>
    </xf>
    <xf numFmtId="0" fontId="160" fillId="0" borderId="0" xfId="0" applyNumberFormat="1" applyFont="1" applyAlignment="1"/>
    <xf numFmtId="14" fontId="160" fillId="0" borderId="0" xfId="0" applyNumberFormat="1" applyFont="1" applyAlignment="1"/>
    <xf numFmtId="0" fontId="166" fillId="0" borderId="0" xfId="0" applyNumberFormat="1" applyFont="1" applyAlignment="1"/>
    <xf numFmtId="14" fontId="166" fillId="0" borderId="0" xfId="0" applyNumberFormat="1" applyFont="1" applyAlignment="1"/>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160" fillId="0" borderId="0" xfId="0" applyFont="1" applyFill="1" applyAlignment="1">
      <alignment horizontal="left" vertical="center" wrapText="1"/>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26</xdr:col>
      <xdr:colOff>455838</xdr:colOff>
      <xdr:row>83</xdr:row>
      <xdr:rowOff>47010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772400"/>
          <a:ext cx="10904763" cy="4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11</xdr:col>
      <xdr:colOff>386734</xdr:colOff>
      <xdr:row>32</xdr:row>
      <xdr:rowOff>85724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3825"/>
          <a:ext cx="7930534" cy="54482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受贵公司委托，我公司对出让国有建设用地使用权抵押价格进行了预评估。</v>
      </c>
      <c r="AM6" s="2382"/>
    </row>
    <row r="7" spans="1:55" s="2356" customFormat="1">
      <c r="A7" s="2357" t="s">
        <v>1939</v>
      </c>
      <c r="B7" s="2358" t="str">
        <f>'预评函-1'!A6</f>
        <v>估价对象为使用的、位于出让国有建设用地使用权。根据《国有土地使用证》[]，估价对象（分摊）出让国有建设用地使用权面积为28084.68平方米。根据《建设工程规划许可证》[]、《出让合同》[]，估价对象规划建筑面积为56169.36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2023年4月12日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根据《国有土地使用证》[]，估价对象（分摊）出让国有建设用地使用权面积为28084.68平方米。根据《建设工程规划许可证》[]、《出让合同》[]，估价对象规划建筑面积为56169.36平方米。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2056年8月23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估价期日：2023年4月12日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28084.68</v>
      </c>
    </row>
    <row r="44" spans="1:2">
      <c r="A44" s="2357" t="s">
        <v>2022</v>
      </c>
      <c r="B44" s="2358" t="str">
        <f>'预评函-2'!O3</f>
        <v>规划建筑面积/㎡</v>
      </c>
    </row>
    <row r="45" spans="1:2">
      <c r="A45" s="2357" t="s">
        <v>2004</v>
      </c>
      <c r="B45" s="2358">
        <f>'预评函-2'!O5</f>
        <v>56169.36</v>
      </c>
    </row>
    <row r="46" spans="1:2">
      <c r="A46" s="2357" t="s">
        <v>2005</v>
      </c>
      <c r="B46" s="2358">
        <f ca="1">'预评函-2'!P5</f>
        <v>4483</v>
      </c>
    </row>
    <row r="47" spans="1:2">
      <c r="A47" s="2357" t="s">
        <v>2006</v>
      </c>
      <c r="B47" s="2358">
        <f ca="1">'预评函-2'!Q5</f>
        <v>2241</v>
      </c>
    </row>
    <row r="48" spans="1:2">
      <c r="A48" s="2357" t="s">
        <v>2007</v>
      </c>
      <c r="B48" s="2358">
        <f ca="1">'预评函-2'!R5</f>
        <v>12590</v>
      </c>
    </row>
    <row r="49" spans="1:2">
      <c r="A49" s="2357" t="s">
        <v>2023</v>
      </c>
      <c r="B49" s="2358" t="str">
        <f>'预评函-2'!A6</f>
        <v>抵押价格</v>
      </c>
    </row>
    <row r="50" spans="1:2">
      <c r="A50" s="2357" t="s">
        <v>2008</v>
      </c>
      <c r="B50" s="2358">
        <f ca="1">'预评函-2'!R6</f>
        <v>12590</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2676</v>
      </c>
      <c r="B1" s="3284"/>
      <c r="C1" s="3284"/>
      <c r="D1" s="3284"/>
      <c r="E1" s="3284"/>
      <c r="F1" s="3285"/>
    </row>
    <row r="2" spans="1:6">
      <c r="A2" s="3287"/>
      <c r="B2" s="3288"/>
      <c r="C2" s="3288"/>
      <c r="D2" s="3288"/>
      <c r="E2" s="3288"/>
      <c r="F2" s="3289"/>
    </row>
    <row r="3" spans="1:6">
      <c r="A3" s="3290" t="s">
        <v>2677</v>
      </c>
      <c r="B3" s="3291">
        <f>项目基本情况!D3</f>
        <v>45028</v>
      </c>
      <c r="C3" s="3292"/>
      <c r="D3" s="3292"/>
      <c r="E3" s="3292"/>
      <c r="F3" s="3289"/>
    </row>
    <row r="4" spans="1:6">
      <c r="A4" s="3290" t="s">
        <v>2678</v>
      </c>
      <c r="B4" s="3293" t="s">
        <v>2679</v>
      </c>
      <c r="C4" s="3293" t="s">
        <v>2680</v>
      </c>
      <c r="D4" s="3293" t="s">
        <v>2681</v>
      </c>
      <c r="E4" s="3293" t="s">
        <v>2682</v>
      </c>
      <c r="F4" s="3289"/>
    </row>
    <row r="5" spans="1:6">
      <c r="A5" s="3294"/>
      <c r="B5" s="3291"/>
      <c r="C5" s="3293">
        <f>ROUNDDOWN(MIN((B5-B3)/365,A5),2)</f>
        <v>-123.36</v>
      </c>
      <c r="D5" s="3295">
        <f>IF(ISERROR(ROUND(POWER(1+E5,A5-C5)*(POWER(1+E5,C5)-1)/(POWER(1+E5,A5)-1),3)),0,ROUND(POWER(1+E5,A5-C5)*(POWER(1+E5,C5)-1)/(POWER(1+E5,A5)-1),4))</f>
        <v>0</v>
      </c>
      <c r="E5" s="3296"/>
      <c r="F5" s="3289"/>
    </row>
    <row r="6" spans="1:6">
      <c r="A6" s="3294"/>
      <c r="B6" s="3291"/>
      <c r="C6" s="3293">
        <f>ROUNDDOWN(MIN((B6-B3)/365,A6),2)</f>
        <v>-123.36</v>
      </c>
      <c r="D6" s="3295">
        <f>IF(ISERROR(ROUND(POWER(1+E6,A6-C6)*(POWER(1+E6,C6)-1)/(POWER(1+E6,A6)-1),3)),0,ROUND(POWER(1+E6,A6-C6)*(POWER(1+E6,C6)-1)/(POWER(1+E6,A6)-1),4))</f>
        <v>0</v>
      </c>
      <c r="E6" s="3296"/>
      <c r="F6" s="3289"/>
    </row>
    <row r="7" spans="1:6">
      <c r="A7" s="3294"/>
      <c r="B7" s="3291"/>
      <c r="C7" s="3293">
        <f>ROUNDDOWN(MIN((B7-B3)/365,A7),2)</f>
        <v>-123.36</v>
      </c>
      <c r="D7" s="3295">
        <f>IF(ISERROR(ROUND(POWER(1+E7,A7-C7)*(POWER(1+E7,C7)-1)/(POWER(1+E7,A7)-1),3)),0,ROUND(POWER(1+E7,A7-C7)*(POWER(1+E7,C7)-1)/(POWER(1+E7,A7)-1),4))</f>
        <v>0</v>
      </c>
      <c r="E7" s="3296"/>
      <c r="F7" s="3289"/>
    </row>
    <row r="8" spans="1:6">
      <c r="A8" s="3287"/>
      <c r="B8" s="3288"/>
      <c r="C8" s="3288"/>
      <c r="D8" s="3288"/>
      <c r="E8" s="3288"/>
      <c r="F8" s="3289"/>
    </row>
    <row r="9" spans="1:6">
      <c r="A9" s="3290" t="s">
        <v>2683</v>
      </c>
      <c r="B9" s="3293"/>
      <c r="C9" s="3293"/>
      <c r="D9" s="3293"/>
      <c r="E9" s="3293"/>
      <c r="F9" s="3297"/>
    </row>
    <row r="10" spans="1:6">
      <c r="A10" s="3290" t="s">
        <v>2684</v>
      </c>
      <c r="B10" s="3293"/>
      <c r="C10" s="3293"/>
      <c r="D10" s="3293" t="s">
        <v>2682</v>
      </c>
      <c r="E10" s="3293"/>
      <c r="F10" s="3297" t="s">
        <v>2681</v>
      </c>
    </row>
    <row r="11" spans="1:6">
      <c r="A11" s="3290" t="s">
        <v>2685</v>
      </c>
      <c r="B11" s="3298"/>
      <c r="C11" s="3293" t="s">
        <v>2686</v>
      </c>
      <c r="D11" s="3299"/>
      <c r="E11" s="3293" t="s">
        <v>2687</v>
      </c>
      <c r="F11" s="3300">
        <f>ROUND(1-(1/(POWER(1+D11,B11))),4)</f>
        <v>0</v>
      </c>
    </row>
    <row r="12" spans="1:6">
      <c r="A12" s="3290" t="s">
        <v>2688</v>
      </c>
      <c r="B12" s="3298"/>
      <c r="C12" s="3293" t="s">
        <v>2689</v>
      </c>
      <c r="D12" s="3299"/>
      <c r="E12" s="3293" t="s">
        <v>2690</v>
      </c>
      <c r="F12" s="3300">
        <f>ROUND(1-(1/(POWER(1+D12,B12))),4)</f>
        <v>0</v>
      </c>
    </row>
    <row r="13" spans="1:6">
      <c r="A13" s="3290" t="s">
        <v>2691</v>
      </c>
      <c r="B13" s="3293"/>
      <c r="C13" s="3292"/>
      <c r="D13" s="3288"/>
      <c r="E13" s="3288"/>
      <c r="F13" s="3289"/>
    </row>
    <row r="14" spans="1:6">
      <c r="A14" s="3290" t="s">
        <v>2692</v>
      </c>
      <c r="B14" s="3298"/>
      <c r="C14" s="3292"/>
      <c r="D14" s="3288"/>
      <c r="E14" s="3288"/>
      <c r="F14" s="3289"/>
    </row>
    <row r="15" spans="1:6">
      <c r="A15" s="3290" t="s">
        <v>2693</v>
      </c>
      <c r="B15" s="3293" t="e">
        <f>ROUND(B14*F12/F11,2)</f>
        <v>#DIV/0!</v>
      </c>
      <c r="C15" s="3293" t="e">
        <f>ROUND(F12/F11,4)</f>
        <v>#DIV/0!</v>
      </c>
      <c r="D15" s="3288"/>
      <c r="E15" s="3288"/>
      <c r="F15" s="3289"/>
    </row>
    <row r="16" spans="1:6">
      <c r="A16" s="3290" t="s">
        <v>2694</v>
      </c>
      <c r="B16" s="3293"/>
      <c r="C16" s="3292"/>
      <c r="D16" s="3288"/>
      <c r="E16" s="3288"/>
      <c r="F16" s="3289"/>
    </row>
    <row r="17" spans="1:7">
      <c r="A17" s="3290" t="s">
        <v>2693</v>
      </c>
      <c r="B17" s="3299"/>
      <c r="C17" s="3292"/>
      <c r="D17" s="3288"/>
      <c r="E17" s="3288"/>
      <c r="F17" s="3289"/>
    </row>
    <row r="18" spans="1:7" ht="14.25" thickBot="1">
      <c r="A18" s="3301" t="s">
        <v>2692</v>
      </c>
      <c r="B18" s="3302" t="e">
        <f>ROUND(B17*F11/F12,2)</f>
        <v>#DIV/0!</v>
      </c>
      <c r="C18" s="3302" t="e">
        <f>ROUND(F11/F12,4)</f>
        <v>#DIV/0!</v>
      </c>
      <c r="D18" s="3303"/>
      <c r="E18" s="3303"/>
      <c r="F18" s="3304"/>
    </row>
    <row r="19" spans="1:7" ht="14.25" thickBot="1"/>
    <row r="20" spans="1:7">
      <c r="A20" s="3305" t="s">
        <v>2695</v>
      </c>
      <c r="B20" s="3306"/>
      <c r="C20" s="3306"/>
      <c r="D20" s="3306"/>
      <c r="E20" s="3306"/>
      <c r="F20" s="3306"/>
      <c r="G20" s="3307"/>
    </row>
    <row r="21" spans="1:7">
      <c r="A21" s="3308"/>
      <c r="B21" s="3309" t="s">
        <v>2696</v>
      </c>
      <c r="C21" s="3309" t="s">
        <v>2697</v>
      </c>
      <c r="D21" s="3309" t="s">
        <v>2698</v>
      </c>
      <c r="E21" s="3309" t="s">
        <v>2699</v>
      </c>
      <c r="F21" s="3309" t="s">
        <v>2700</v>
      </c>
      <c r="G21" s="3310" t="s">
        <v>2701</v>
      </c>
    </row>
    <row r="22" spans="1:7">
      <c r="A22" s="3308" t="s">
        <v>2702</v>
      </c>
      <c r="B22" s="3311">
        <v>50</v>
      </c>
      <c r="C22" s="3311">
        <v>32</v>
      </c>
      <c r="D22" s="3312">
        <v>0.05</v>
      </c>
      <c r="E22" s="3309">
        <f>ROUND(POWER(1+D22,B22-C22)*(POWER(1+D22,C22)-1)/(POWER(1+D22,B22)-1),3)</f>
        <v>0.86599999999999999</v>
      </c>
      <c r="F22" s="3312">
        <v>0.6</v>
      </c>
      <c r="G22" s="3310">
        <f>ROUND(100*(1-(1-E22)*F22),1)</f>
        <v>92</v>
      </c>
    </row>
    <row r="23" spans="1:7">
      <c r="A23" s="3313" t="s">
        <v>2703</v>
      </c>
      <c r="B23" s="3311">
        <v>50</v>
      </c>
      <c r="C23" s="3311">
        <v>35</v>
      </c>
      <c r="D23" s="3312">
        <v>0.05</v>
      </c>
      <c r="E23" s="3309">
        <f>ROUND(POWER(1+D23,B23-C23)*(POWER(1+D23,C23)-1)/(POWER(1+D23,B23)-1),3)</f>
        <v>0.89700000000000002</v>
      </c>
      <c r="F23" s="3312">
        <f>F22</f>
        <v>0.6</v>
      </c>
      <c r="G23" s="3310">
        <f>ROUND(100*(1-(1-E23)*F23),1)</f>
        <v>93.8</v>
      </c>
    </row>
    <row r="24" spans="1:7">
      <c r="A24" s="3313" t="s">
        <v>2704</v>
      </c>
      <c r="B24" s="3311">
        <v>50</v>
      </c>
      <c r="C24" s="3311">
        <v>25</v>
      </c>
      <c r="D24" s="3312">
        <v>0.05</v>
      </c>
      <c r="E24" s="3309">
        <f>ROUND(POWER(1+D24,B24-C24)*(POWER(1+D24,C24)-1)/(POWER(1+D24,B24)-1),3)</f>
        <v>0.77200000000000002</v>
      </c>
      <c r="F24" s="3312">
        <f>F23</f>
        <v>0.6</v>
      </c>
      <c r="G24" s="3310">
        <f>ROUND(100*(1-(1-E24)*F24),1)</f>
        <v>86.3</v>
      </c>
    </row>
    <row r="25" spans="1:7">
      <c r="A25" s="3313" t="s">
        <v>2705</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2706</v>
      </c>
      <c r="B27" s="3318"/>
      <c r="C27" s="3318"/>
      <c r="D27" s="3318"/>
      <c r="E27" s="3318"/>
      <c r="F27" s="3318"/>
      <c r="G27" s="3319"/>
    </row>
    <row r="28" spans="1:7">
      <c r="A28" s="3317" t="s">
        <v>2707</v>
      </c>
      <c r="B28" s="3318"/>
      <c r="C28" s="3318"/>
      <c r="D28" s="3318"/>
      <c r="E28" s="3318"/>
      <c r="F28" s="3318"/>
      <c r="G28" s="3319"/>
    </row>
    <row r="29" spans="1:7">
      <c r="A29" s="3317" t="s">
        <v>2708</v>
      </c>
      <c r="B29" s="3318"/>
      <c r="C29" s="3318"/>
      <c r="D29" s="3318"/>
      <c r="E29" s="3318"/>
      <c r="F29" s="3318"/>
      <c r="G29" s="3319"/>
    </row>
    <row r="30" spans="1:7">
      <c r="A30" s="3317" t="s">
        <v>2709</v>
      </c>
      <c r="B30" s="3318"/>
      <c r="C30" s="3318"/>
      <c r="D30" s="3318"/>
      <c r="E30" s="3318"/>
      <c r="F30" s="3318"/>
      <c r="G30" s="3319"/>
    </row>
    <row r="31" spans="1:7">
      <c r="A31" s="3317" t="s">
        <v>2710</v>
      </c>
      <c r="B31" s="3318"/>
      <c r="C31" s="3318"/>
      <c r="D31" s="3318"/>
      <c r="E31" s="3318"/>
      <c r="F31" s="3318"/>
      <c r="G31" s="3319"/>
    </row>
    <row r="32" spans="1:7">
      <c r="A32" s="3317" t="s">
        <v>2711</v>
      </c>
      <c r="B32" s="3318"/>
      <c r="C32" s="3318"/>
      <c r="D32" s="3318"/>
      <c r="E32" s="3318"/>
      <c r="F32" s="3318"/>
      <c r="G32" s="3319"/>
    </row>
    <row r="33" spans="1:7">
      <c r="A33" s="3317" t="s">
        <v>2712</v>
      </c>
      <c r="B33" s="3318"/>
      <c r="C33" s="3318"/>
      <c r="D33" s="3318"/>
      <c r="E33" s="3318"/>
      <c r="F33" s="3318"/>
      <c r="G33" s="3319"/>
    </row>
    <row r="34" spans="1:7">
      <c r="A34" s="3317" t="s">
        <v>2713</v>
      </c>
      <c r="B34" s="3318"/>
      <c r="C34" s="3318"/>
      <c r="D34" s="3318"/>
      <c r="E34" s="3318"/>
      <c r="F34" s="3318"/>
      <c r="G34" s="3319"/>
    </row>
    <row r="35" spans="1:7">
      <c r="A35" s="3317" t="s">
        <v>2714</v>
      </c>
      <c r="B35" s="3318"/>
      <c r="C35" s="3318"/>
      <c r="D35" s="3318"/>
      <c r="E35" s="3318"/>
      <c r="F35" s="3318"/>
      <c r="G35" s="3319"/>
    </row>
    <row r="36" spans="1:7">
      <c r="A36" s="3317" t="s">
        <v>2715</v>
      </c>
      <c r="B36" s="3318"/>
      <c r="C36" s="3318"/>
      <c r="D36" s="3318"/>
      <c r="E36" s="3318"/>
      <c r="F36" s="3318"/>
      <c r="G36" s="3319"/>
    </row>
    <row r="37" spans="1:7">
      <c r="A37" s="3317" t="s">
        <v>2716</v>
      </c>
      <c r="B37" s="3318"/>
      <c r="C37" s="3318"/>
      <c r="D37" s="3318"/>
      <c r="E37" s="3318"/>
      <c r="F37" s="3318"/>
      <c r="G37" s="3319"/>
    </row>
    <row r="38" spans="1:7">
      <c r="A38" s="3317" t="s">
        <v>2717</v>
      </c>
      <c r="B38" s="3318"/>
      <c r="C38" s="3318"/>
      <c r="D38" s="3318"/>
      <c r="E38" s="3318"/>
      <c r="F38" s="3318"/>
      <c r="G38" s="3319"/>
    </row>
    <row r="39" spans="1:7">
      <c r="A39" s="3317"/>
      <c r="B39" s="3318"/>
      <c r="C39" s="3318"/>
      <c r="D39" s="3318"/>
      <c r="E39" s="3318"/>
      <c r="F39" s="3318"/>
      <c r="G39" s="3319"/>
    </row>
    <row r="40" spans="1:7">
      <c r="A40" s="3320" t="s">
        <v>2718</v>
      </c>
      <c r="B40" s="3321"/>
      <c r="C40" s="3321"/>
      <c r="D40" s="3321"/>
      <c r="E40" s="3321"/>
      <c r="F40" s="3321"/>
      <c r="G40" s="3322"/>
    </row>
    <row r="41" spans="1:7">
      <c r="A41" s="3323" t="s">
        <v>2719</v>
      </c>
      <c r="B41" s="3324" t="s">
        <v>2720</v>
      </c>
      <c r="C41" s="3325" t="s">
        <v>2721</v>
      </c>
      <c r="D41" s="3325" t="s">
        <v>2722</v>
      </c>
      <c r="E41" s="3326"/>
      <c r="F41" s="3327"/>
      <c r="G41" s="3328"/>
    </row>
    <row r="42" spans="1:7">
      <c r="A42" s="3323" t="s">
        <v>2723</v>
      </c>
      <c r="B42" s="3324" t="s">
        <v>2724</v>
      </c>
      <c r="C42" s="3325" t="s">
        <v>2724</v>
      </c>
      <c r="D42" s="3329" t="s">
        <v>2725</v>
      </c>
      <c r="E42" s="3321" t="s">
        <v>2726</v>
      </c>
      <c r="F42" s="3321"/>
      <c r="G42" s="3322"/>
    </row>
    <row r="43" spans="1:7">
      <c r="A43" s="3323" t="s">
        <v>2727</v>
      </c>
      <c r="B43" s="3324" t="s">
        <v>2728</v>
      </c>
      <c r="C43" s="3325" t="s">
        <v>2729</v>
      </c>
      <c r="D43" s="3325" t="s">
        <v>2730</v>
      </c>
      <c r="E43" s="3326" t="s">
        <v>2731</v>
      </c>
      <c r="F43" s="3327"/>
      <c r="G43" s="3328"/>
    </row>
    <row r="44" spans="1:7">
      <c r="A44" s="3323" t="s">
        <v>2732</v>
      </c>
      <c r="B44" s="3324" t="s">
        <v>2733</v>
      </c>
      <c r="C44" s="3325" t="s">
        <v>2734</v>
      </c>
      <c r="D44" s="3329">
        <v>0.5</v>
      </c>
      <c r="E44" s="3326" t="s">
        <v>2735</v>
      </c>
      <c r="F44" s="3327"/>
      <c r="G44" s="3328"/>
    </row>
    <row r="45" spans="1:7" ht="14.25" thickBot="1">
      <c r="A45" s="3330" t="s">
        <v>2736</v>
      </c>
      <c r="B45" s="3331" t="s">
        <v>2724</v>
      </c>
      <c r="C45" s="3332" t="s">
        <v>2724</v>
      </c>
      <c r="D45" s="3332" t="s">
        <v>2737</v>
      </c>
      <c r="E45" s="3333" t="s">
        <v>2738</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N8"/>
  <sheetViews>
    <sheetView topLeftCell="C1" workbookViewId="0">
      <selection activeCell="N8" sqref="N8"/>
    </sheetView>
  </sheetViews>
  <sheetFormatPr defaultRowHeight="12"/>
  <cols>
    <col min="1" max="1" width="4.75" style="3663" bestFit="1" customWidth="1"/>
    <col min="2" max="2" width="15.125" style="3663" customWidth="1"/>
    <col min="3" max="3" width="16" style="3663" customWidth="1"/>
    <col min="4" max="5" width="9" style="3663"/>
    <col min="6" max="6" width="9.375" style="3663" bestFit="1" customWidth="1"/>
    <col min="7" max="7" width="9" style="3663"/>
    <col min="8" max="8" width="9.375" style="3663" bestFit="1" customWidth="1"/>
    <col min="9" max="12" width="9" style="3663"/>
    <col min="13" max="13" width="11.25" style="3663" bestFit="1" customWidth="1"/>
    <col min="14" max="16384" width="9" style="3663"/>
  </cols>
  <sheetData>
    <row r="2" spans="1:14" ht="24">
      <c r="A2" s="3663" t="s">
        <v>3260</v>
      </c>
      <c r="B2" s="3663" t="s">
        <v>3261</v>
      </c>
      <c r="C2" s="3663" t="s">
        <v>3263</v>
      </c>
      <c r="D2" s="3663" t="s">
        <v>3265</v>
      </c>
      <c r="E2" s="3663" t="s">
        <v>2719</v>
      </c>
      <c r="F2" s="3663" t="s">
        <v>2213</v>
      </c>
      <c r="G2" s="3663" t="s">
        <v>3267</v>
      </c>
      <c r="H2" s="3663" t="s">
        <v>3279</v>
      </c>
      <c r="I2" s="3663" t="s">
        <v>3280</v>
      </c>
      <c r="J2" s="3663" t="s">
        <v>2727</v>
      </c>
      <c r="K2" s="3663" t="s">
        <v>3282</v>
      </c>
      <c r="L2" s="3663" t="s">
        <v>3283</v>
      </c>
      <c r="M2" s="3663" t="s">
        <v>3732</v>
      </c>
      <c r="N2" s="3663" t="s">
        <v>3733</v>
      </c>
    </row>
    <row r="3" spans="1:14" ht="36">
      <c r="A3" s="3663">
        <v>1</v>
      </c>
      <c r="B3" s="3663" t="s">
        <v>3262</v>
      </c>
      <c r="C3" s="3663" t="s">
        <v>3734</v>
      </c>
      <c r="D3" s="3663" t="s">
        <v>3266</v>
      </c>
      <c r="E3" s="3663" t="s">
        <v>3271</v>
      </c>
      <c r="F3" s="3663">
        <v>28084.68</v>
      </c>
      <c r="G3" s="3663" t="s">
        <v>3275</v>
      </c>
      <c r="H3" s="3663">
        <v>4844.6072999999997</v>
      </c>
      <c r="I3" s="3663" t="s">
        <v>3281</v>
      </c>
      <c r="J3" s="3663">
        <f>ROUND(F3*2*0.85,2)</f>
        <v>47743.96</v>
      </c>
      <c r="K3" s="3663">
        <f>ROUND(F3*2-J3,2)</f>
        <v>8425.4</v>
      </c>
      <c r="L3" s="3663">
        <f>K3+J3</f>
        <v>56169.36</v>
      </c>
      <c r="M3" s="3663">
        <f ca="1">结果表!G20</f>
        <v>2242</v>
      </c>
      <c r="N3" s="3663">
        <f ca="1">ROUND(M3*L3/10000,0)</f>
        <v>12593</v>
      </c>
    </row>
    <row r="4" spans="1:14" ht="36">
      <c r="A4" s="3663">
        <v>2</v>
      </c>
      <c r="B4" s="3663" t="s">
        <v>3269</v>
      </c>
      <c r="C4" s="3663" t="s">
        <v>3264</v>
      </c>
      <c r="D4" s="3663" t="s">
        <v>3735</v>
      </c>
      <c r="E4" s="3663" t="s">
        <v>3271</v>
      </c>
      <c r="F4" s="3663">
        <v>29632.71</v>
      </c>
      <c r="G4" s="3663" t="s">
        <v>3268</v>
      </c>
      <c r="H4" s="3663">
        <v>5111.6424999999999</v>
      </c>
      <c r="I4" s="3663" t="s">
        <v>3281</v>
      </c>
      <c r="J4" s="3663">
        <f t="shared" ref="J4:J7" si="0">ROUND(F4*2*0.85,2)</f>
        <v>50375.61</v>
      </c>
      <c r="K4" s="3663">
        <f>ROUND(F4*2-J4,2)</f>
        <v>8889.81</v>
      </c>
      <c r="L4" s="3663">
        <f t="shared" ref="L4:L7" si="1">K4+J4</f>
        <v>59265.42</v>
      </c>
      <c r="M4" s="3663">
        <f ca="1">M3</f>
        <v>2242</v>
      </c>
      <c r="N4" s="3663">
        <f t="shared" ref="N4:N7" ca="1" si="2">ROUND(M4*L4/10000,0)</f>
        <v>13287</v>
      </c>
    </row>
    <row r="5" spans="1:14" ht="36">
      <c r="A5" s="3663">
        <v>3</v>
      </c>
      <c r="B5" s="3663" t="s">
        <v>3270</v>
      </c>
      <c r="C5" s="3663" t="s">
        <v>3264</v>
      </c>
      <c r="D5" s="3663" t="s">
        <v>3266</v>
      </c>
      <c r="E5" s="3663" t="s">
        <v>3271</v>
      </c>
      <c r="F5" s="3663">
        <v>34142.82</v>
      </c>
      <c r="G5" s="3663" t="s">
        <v>3268</v>
      </c>
      <c r="H5" s="3663">
        <v>5889.6364999999996</v>
      </c>
      <c r="I5" s="3663" t="s">
        <v>3281</v>
      </c>
      <c r="J5" s="3663">
        <f t="shared" si="0"/>
        <v>58042.79</v>
      </c>
      <c r="K5" s="3663">
        <f t="shared" ref="K5:K7" si="3">ROUND(F5*2-J5,2)</f>
        <v>10242.85</v>
      </c>
      <c r="L5" s="3663">
        <f t="shared" si="1"/>
        <v>68285.64</v>
      </c>
      <c r="M5" s="3663">
        <f ca="1">M3</f>
        <v>2242</v>
      </c>
      <c r="N5" s="3663">
        <f t="shared" ca="1" si="2"/>
        <v>15310</v>
      </c>
    </row>
    <row r="6" spans="1:14" ht="36">
      <c r="A6" s="3663">
        <v>4</v>
      </c>
      <c r="B6" s="3663" t="s">
        <v>3272</v>
      </c>
      <c r="C6" s="3663" t="s">
        <v>3264</v>
      </c>
      <c r="D6" s="3663" t="s">
        <v>3266</v>
      </c>
      <c r="E6" s="3663" t="s">
        <v>3271</v>
      </c>
      <c r="F6" s="3663">
        <v>29771.73</v>
      </c>
      <c r="G6" s="3663" t="s">
        <v>3268</v>
      </c>
      <c r="H6" s="3663">
        <v>5135.6234999999997</v>
      </c>
      <c r="I6" s="3663" t="s">
        <v>3281</v>
      </c>
      <c r="J6" s="3663">
        <f t="shared" si="0"/>
        <v>50611.94</v>
      </c>
      <c r="K6" s="3663">
        <f t="shared" si="3"/>
        <v>8931.52</v>
      </c>
      <c r="L6" s="3663">
        <f t="shared" si="1"/>
        <v>59543.460000000006</v>
      </c>
      <c r="M6" s="3663">
        <f ca="1">M3</f>
        <v>2242</v>
      </c>
      <c r="N6" s="3663">
        <f t="shared" ca="1" si="2"/>
        <v>13350</v>
      </c>
    </row>
    <row r="7" spans="1:14" ht="36">
      <c r="A7" s="3663">
        <v>5</v>
      </c>
      <c r="B7" s="3663" t="s">
        <v>3273</v>
      </c>
      <c r="C7" s="3663" t="s">
        <v>3264</v>
      </c>
      <c r="D7" s="3663" t="s">
        <v>3266</v>
      </c>
      <c r="E7" s="3663" t="s">
        <v>3271</v>
      </c>
      <c r="F7" s="3663">
        <v>42375.55</v>
      </c>
      <c r="G7" s="3663" t="s">
        <v>3268</v>
      </c>
      <c r="H7" s="3663">
        <v>7309.7824000000001</v>
      </c>
      <c r="I7" s="3663" t="s">
        <v>3281</v>
      </c>
      <c r="J7" s="3663">
        <f t="shared" si="0"/>
        <v>72038.44</v>
      </c>
      <c r="K7" s="3663">
        <f t="shared" si="3"/>
        <v>12712.66</v>
      </c>
      <c r="L7" s="3663">
        <f t="shared" si="1"/>
        <v>84751.1</v>
      </c>
      <c r="M7" s="3663">
        <f ca="1">M3</f>
        <v>2242</v>
      </c>
      <c r="N7" s="3663">
        <f t="shared" ca="1" si="2"/>
        <v>19001</v>
      </c>
    </row>
    <row r="8" spans="1:14">
      <c r="A8" s="3663" t="s">
        <v>3274</v>
      </c>
      <c r="F8" s="3663">
        <f>SUM(F3:F7)</f>
        <v>164007.49</v>
      </c>
      <c r="H8" s="3672">
        <f>SUM(H3:H7)</f>
        <v>28291.2922</v>
      </c>
      <c r="I8" s="3672"/>
      <c r="J8" s="3672">
        <f t="shared" ref="J8:N8" si="4">SUM(J3:J7)</f>
        <v>278812.74</v>
      </c>
      <c r="K8" s="3672">
        <f t="shared" si="4"/>
        <v>49202.240000000005</v>
      </c>
      <c r="L8" s="3672">
        <f t="shared" si="4"/>
        <v>328014.98</v>
      </c>
      <c r="M8" s="3672"/>
      <c r="N8" s="3672">
        <f t="shared" ca="1" si="4"/>
        <v>73541</v>
      </c>
    </row>
  </sheetData>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C53" sqref="C53"/>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06" t="str">
        <f>IF(B10="北京市","北京市",C10)&amp;F10&amp;A17&amp;"国有建设用地使用权"&amp;B9&amp;"预评估"</f>
        <v>出让国有建设用地使用权抵押价格预评估</v>
      </c>
      <c r="C1" s="3707"/>
      <c r="D1" s="3707"/>
      <c r="E1" s="3707"/>
      <c r="F1" s="3707"/>
      <c r="G1" s="3707"/>
      <c r="H1" s="3707"/>
      <c r="I1" s="3708"/>
      <c r="J1" s="2816"/>
      <c r="K1" s="2107" t="str">
        <f>IF(B10="北京市","北京市",C10)&amp;F10&amp;A17&amp;"国有建设用地使用权"&amp;B9</f>
        <v>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出让国有建设用地使用权</v>
      </c>
      <c r="L2" s="2795"/>
      <c r="M2" s="2795"/>
      <c r="N2" s="2796"/>
      <c r="O2" s="2797"/>
      <c r="P2" s="2796"/>
      <c r="Q2" s="2796"/>
      <c r="R2" s="2796"/>
      <c r="S2" s="2796"/>
      <c r="T2" s="2796"/>
      <c r="U2" s="2796"/>
    </row>
    <row r="3" spans="1:21">
      <c r="A3" s="1464" t="s">
        <v>1459</v>
      </c>
      <c r="B3" s="1465"/>
      <c r="C3" s="2739" t="s">
        <v>1513</v>
      </c>
      <c r="D3" s="1465">
        <v>45028</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3217</v>
      </c>
      <c r="C8" s="1474"/>
      <c r="D8" s="3712" t="s">
        <v>1464</v>
      </c>
      <c r="E8" s="1628" t="s">
        <v>3276</v>
      </c>
      <c r="F8" s="1475"/>
      <c r="G8" s="2817"/>
      <c r="H8" s="2817"/>
      <c r="I8" s="2820"/>
      <c r="J8" s="2816"/>
      <c r="K8" s="2799"/>
      <c r="L8" s="2795"/>
      <c r="M8" s="2795"/>
      <c r="N8" s="2796"/>
      <c r="O8" s="2797"/>
      <c r="P8" s="2796"/>
      <c r="Q8" s="2796"/>
      <c r="R8" s="2796"/>
      <c r="S8" s="2796"/>
      <c r="T8" s="2796"/>
      <c r="U8" s="2796"/>
    </row>
    <row r="9" spans="1:21" ht="15" thickBot="1">
      <c r="A9" s="2741" t="s">
        <v>1463</v>
      </c>
      <c r="B9" s="1476" t="s">
        <v>3276</v>
      </c>
      <c r="C9" s="1477"/>
      <c r="D9" s="3713"/>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3277</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3278</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09"/>
      <c r="C12" s="3710"/>
      <c r="D12" s="3711"/>
      <c r="E12" s="1494" t="s">
        <v>1579</v>
      </c>
      <c r="F12" s="3727" t="s">
        <v>2163</v>
      </c>
      <c r="G12" s="3728"/>
      <c r="H12" s="3728"/>
      <c r="I12" s="3729"/>
      <c r="J12" s="2816"/>
      <c r="K12" s="2799"/>
      <c r="L12" s="2795"/>
      <c r="M12" s="2795"/>
      <c r="N12" s="2796"/>
      <c r="O12" s="2797"/>
      <c r="P12" s="2796"/>
      <c r="Q12" s="2796"/>
      <c r="R12" s="2796"/>
      <c r="S12" s="2796"/>
      <c r="T12" s="2796"/>
      <c r="U12" s="2796"/>
    </row>
    <row r="13" spans="1:21">
      <c r="A13" s="1485" t="s">
        <v>1577</v>
      </c>
      <c r="B13" s="3709"/>
      <c r="C13" s="3710"/>
      <c r="D13" s="3711"/>
      <c r="E13" s="1494" t="s">
        <v>1579</v>
      </c>
      <c r="F13" s="3727" t="s">
        <v>2164</v>
      </c>
      <c r="G13" s="3728"/>
      <c r="H13" s="3728"/>
      <c r="I13" s="3729"/>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ht="28.5">
      <c r="A16" s="2744" t="s">
        <v>1467</v>
      </c>
      <c r="B16" s="1494" t="s">
        <v>1468</v>
      </c>
      <c r="C16" s="3282" t="s">
        <v>1469</v>
      </c>
      <c r="D16" s="1516" t="s">
        <v>2741</v>
      </c>
      <c r="E16" s="1516" t="s">
        <v>1212</v>
      </c>
      <c r="F16" s="1516" t="s">
        <v>2742</v>
      </c>
      <c r="G16" s="1516" t="s">
        <v>2743</v>
      </c>
      <c r="H16" s="1484" t="s">
        <v>776</v>
      </c>
      <c r="I16" s="1484" t="s">
        <v>2740</v>
      </c>
      <c r="J16" s="2816"/>
      <c r="K16" s="2108" t="str">
        <f>IF(D17="","",D16&amp;TEXT(D17,"yyyy年m月d日;;"))</f>
        <v>商业2056年8月23日</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2744</v>
      </c>
      <c r="B17" s="2745" t="s">
        <v>1473</v>
      </c>
      <c r="C17" s="3335">
        <v>68172</v>
      </c>
      <c r="D17" s="3335">
        <v>57215</v>
      </c>
      <c r="E17" s="3335"/>
      <c r="F17" s="3335"/>
      <c r="G17" s="3335"/>
      <c r="H17" s="3335"/>
      <c r="I17" s="3335"/>
      <c r="J17" s="2816"/>
      <c r="K17" s="2794" t="str">
        <f>CONCATENATE(K16,L16,M16,N16,O16,P16,Q16,R16,S16,T16,,U16)</f>
        <v>商业2056年8月23日</v>
      </c>
      <c r="L17" s="2795"/>
      <c r="M17" s="2795"/>
      <c r="N17" s="2796"/>
      <c r="O17" s="2797"/>
      <c r="P17" s="2796"/>
      <c r="Q17" s="2796"/>
      <c r="R17" s="2796"/>
      <c r="S17" s="2796"/>
      <c r="T17" s="2796"/>
      <c r="U17" s="2796"/>
    </row>
    <row r="18" spans="1:21">
      <c r="A18" s="1552"/>
      <c r="B18" s="2745" t="s">
        <v>1474</v>
      </c>
      <c r="C18" s="1482">
        <v>70</v>
      </c>
      <c r="D18" s="1482">
        <v>40</v>
      </c>
      <c r="E18" s="1482"/>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63.4</v>
      </c>
      <c r="D19" s="1547">
        <f>IF(A17="出让",IF(D17="","",ROUNDDOWN(MIN((D17-$D$3)/365,D18),2)),D18)</f>
        <v>33.380000000000003</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24"/>
      <c r="E20" s="3725"/>
      <c r="F20" s="3725"/>
      <c r="G20" s="3725"/>
      <c r="H20" s="3725"/>
      <c r="I20" s="3726"/>
      <c r="J20" s="2816"/>
      <c r="K20" s="2799"/>
      <c r="L20" s="2795"/>
      <c r="M20" s="2795"/>
      <c r="N20" s="2796"/>
      <c r="O20" s="2797"/>
      <c r="P20" s="2796"/>
      <c r="Q20" s="2796"/>
      <c r="R20" s="2796"/>
      <c r="S20" s="2796"/>
      <c r="T20" s="2796"/>
      <c r="U20" s="2796"/>
    </row>
    <row r="21" spans="1:21">
      <c r="A21" s="1552" t="s">
        <v>1476</v>
      </c>
      <c r="B21" s="1553" t="s">
        <v>1477</v>
      </c>
      <c r="C21" s="1548">
        <f>'数据-汇总表'!E3</f>
        <v>56169.36</v>
      </c>
      <c r="D21" s="1549" t="s">
        <v>1478</v>
      </c>
      <c r="E21" s="3714" t="s">
        <v>1516</v>
      </c>
      <c r="F21" s="3715"/>
      <c r="G21" s="3715"/>
      <c r="H21" s="3715"/>
      <c r="I21" s="3716"/>
      <c r="J21" s="2816"/>
      <c r="K21" s="2799"/>
      <c r="L21" s="2795"/>
      <c r="M21" s="2795"/>
      <c r="N21" s="2796"/>
      <c r="O21" s="2797"/>
      <c r="P21" s="2796"/>
      <c r="Q21" s="2796"/>
      <c r="R21" s="2796"/>
      <c r="S21" s="2796"/>
      <c r="T21" s="2796"/>
      <c r="U21" s="2796"/>
    </row>
    <row r="22" spans="1:21">
      <c r="A22" s="2556" t="s">
        <v>877</v>
      </c>
      <c r="B22" s="1464" t="s">
        <v>1479</v>
      </c>
      <c r="C22" s="1484">
        <f>'数据-汇总表'!D3</f>
        <v>28084.68</v>
      </c>
      <c r="D22" s="1485" t="s">
        <v>1478</v>
      </c>
      <c r="E22" s="3714" t="s">
        <v>2165</v>
      </c>
      <c r="F22" s="3715"/>
      <c r="G22" s="3715"/>
      <c r="H22" s="3715"/>
      <c r="I22" s="3716"/>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17" t="s">
        <v>1484</v>
      </c>
      <c r="C24" s="3718"/>
      <c r="D24" s="3719" t="s">
        <v>1485</v>
      </c>
      <c r="E24" s="3720"/>
      <c r="F24" s="1502" t="s">
        <v>1486</v>
      </c>
      <c r="G24" s="2816"/>
      <c r="H24" s="2816"/>
      <c r="I24" s="2820"/>
      <c r="J24" s="2816"/>
      <c r="K24" s="3705"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05"/>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05"/>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32" t="s">
        <v>1519</v>
      </c>
      <c r="B31" s="1553" t="s">
        <v>1520</v>
      </c>
      <c r="C31" s="3730"/>
      <c r="D31" s="3731"/>
      <c r="E31" s="2816"/>
      <c r="F31" s="2816"/>
      <c r="G31" s="2816"/>
      <c r="H31" s="2816"/>
      <c r="I31" s="2820"/>
      <c r="J31" s="2816"/>
      <c r="K31" s="2802"/>
      <c r="L31" s="2796"/>
      <c r="M31" s="2796"/>
      <c r="N31" s="2796"/>
      <c r="O31" s="2796"/>
      <c r="P31" s="2796"/>
      <c r="Q31" s="2796"/>
      <c r="R31" s="2796"/>
      <c r="S31" s="2796"/>
      <c r="T31" s="2796"/>
      <c r="U31" s="2796"/>
    </row>
    <row r="32" spans="1:21">
      <c r="A32" s="3732"/>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32"/>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33"/>
      <c r="B34" s="1464" t="s">
        <v>1523</v>
      </c>
      <c r="C34" s="3734"/>
      <c r="D34" s="3735"/>
      <c r="E34" s="2816"/>
      <c r="F34" s="2816"/>
      <c r="G34" s="2816"/>
      <c r="H34" s="2816"/>
      <c r="I34" s="2820"/>
      <c r="J34" s="2816"/>
      <c r="K34" s="2802"/>
      <c r="L34" s="2796"/>
      <c r="M34" s="2796"/>
      <c r="N34" s="2796"/>
      <c r="O34" s="2796"/>
      <c r="P34" s="2796"/>
      <c r="Q34" s="2796"/>
      <c r="R34" s="2796"/>
      <c r="S34" s="2796"/>
      <c r="T34" s="2796"/>
      <c r="U34" s="2796"/>
    </row>
    <row r="35" spans="1:28">
      <c r="A35" s="3736" t="s">
        <v>785</v>
      </c>
      <c r="B35" s="1516"/>
      <c r="C35" s="1562" t="str">
        <f>IF(B35="场地平整","——","具体情况：")</f>
        <v>具体情况：</v>
      </c>
      <c r="D35" s="3738"/>
      <c r="E35" s="3739"/>
      <c r="F35" s="3739"/>
      <c r="G35" s="3739"/>
      <c r="H35" s="3739"/>
      <c r="I35" s="3740"/>
      <c r="J35" s="2816"/>
      <c r="K35" s="2803"/>
      <c r="L35" s="2795"/>
      <c r="M35" s="2795"/>
      <c r="N35" s="2796"/>
      <c r="O35" s="2797"/>
      <c r="P35" s="2796"/>
      <c r="Q35" s="2796"/>
      <c r="R35" s="2796"/>
      <c r="S35" s="2796"/>
      <c r="T35" s="2796"/>
      <c r="U35" s="2796"/>
    </row>
    <row r="36" spans="1:28">
      <c r="A36" s="3732"/>
      <c r="B36" s="3741" t="s">
        <v>1572</v>
      </c>
      <c r="C36" s="3742"/>
      <c r="D36" s="1578"/>
      <c r="E36" s="3743"/>
      <c r="F36" s="3743"/>
      <c r="G36" s="1485" t="str">
        <f>IF(B35="场地未平整","估价结果处理","")</f>
        <v/>
      </c>
      <c r="H36" s="3744"/>
      <c r="I36" s="3744"/>
      <c r="J36" s="2816"/>
      <c r="K36" s="2803"/>
      <c r="L36" s="2795"/>
      <c r="M36" s="2795"/>
      <c r="N36" s="2796"/>
      <c r="O36" s="2797"/>
      <c r="P36" s="2796"/>
      <c r="Q36" s="2796"/>
      <c r="R36" s="2796"/>
      <c r="S36" s="2796"/>
      <c r="T36" s="2796"/>
      <c r="U36" s="2796"/>
    </row>
    <row r="37" spans="1:28" ht="28.5">
      <c r="A37" s="3732"/>
      <c r="B37" s="3721"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32"/>
      <c r="B38" s="3722"/>
      <c r="C38" s="1472" t="s">
        <v>788</v>
      </c>
      <c r="D38" s="1577">
        <f>ROUNDDOWN(MIN(('数据-取费表'!$B$2-D37)/365,D34),1)</f>
        <v>123.3</v>
      </c>
      <c r="E38" s="1521" t="s">
        <v>789</v>
      </c>
      <c r="F38" s="2816"/>
      <c r="G38" s="2816"/>
      <c r="H38" s="2816"/>
      <c r="I38" s="2820"/>
      <c r="J38" s="2816"/>
      <c r="K38" s="2803"/>
      <c r="L38" s="2796"/>
      <c r="M38" s="2796"/>
      <c r="N38" s="2796"/>
      <c r="O38" s="2796"/>
      <c r="P38" s="2796"/>
      <c r="Q38" s="2796"/>
      <c r="R38" s="2796"/>
      <c r="S38" s="2796"/>
      <c r="T38" s="2796"/>
      <c r="U38" s="2796"/>
    </row>
    <row r="39" spans="1:28">
      <c r="A39" s="3733"/>
      <c r="B39" s="3723"/>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04" t="s">
        <v>1503</v>
      </c>
      <c r="T40" s="1525" t="str">
        <f>NUMBERSTRING(7-K40,1)&amp;"通"</f>
        <v>七通</v>
      </c>
      <c r="U40" s="2796"/>
    </row>
    <row r="41" spans="1:28">
      <c r="A41" s="1466"/>
      <c r="B41" s="3737" t="s">
        <v>1250</v>
      </c>
      <c r="C41" s="3737"/>
      <c r="D41" s="3737"/>
      <c r="E41" s="3737"/>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04"/>
      <c r="T41" s="1527" t="str">
        <f>IF(T40="一通",L41,IF(T40="二通",M41,IF(T40="三通",N41,IF(T40="四通",O41,IF(T40="五通",P41,IF(T40="六通",Q41,R41))))))</f>
        <v>、、、、、、</v>
      </c>
      <c r="U41" s="2796"/>
    </row>
    <row r="42" spans="1:28">
      <c r="A42" s="1529"/>
      <c r="B42" s="1555" t="s">
        <v>1422</v>
      </c>
      <c r="C42" s="1555" t="s">
        <v>1423</v>
      </c>
      <c r="D42" s="1555" t="s">
        <v>1424</v>
      </c>
      <c r="E42" s="3282" t="s">
        <v>2745</v>
      </c>
      <c r="F42" s="3282" t="s">
        <v>2746</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33" sqref="J3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面积表!F3</f>
        <v>28084.68</v>
      </c>
      <c r="B3" s="20">
        <f>IF(C3="否",G5-AT5,G5)</f>
        <v>56169.36</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56169.36</v>
      </c>
      <c r="H5" s="25">
        <f t="shared" ref="H5:AT5" si="0">SUM(H13:H641)</f>
        <v>56169.36</v>
      </c>
      <c r="I5" s="25">
        <f t="shared" si="0"/>
        <v>47743.96</v>
      </c>
      <c r="J5" s="25">
        <f t="shared" si="0"/>
        <v>0</v>
      </c>
      <c r="K5" s="25">
        <f t="shared" si="0"/>
        <v>8425.4</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56169.36</v>
      </c>
      <c r="BA5" s="27">
        <f t="shared" si="1"/>
        <v>56169.36</v>
      </c>
      <c r="BB5" s="27">
        <f t="shared" si="1"/>
        <v>47743.96</v>
      </c>
      <c r="BC5" s="27">
        <f t="shared" si="1"/>
        <v>8425.4</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28084.68</v>
      </c>
      <c r="F6" s="25" t="s">
        <v>0</v>
      </c>
      <c r="G6" s="25" t="s">
        <v>1</v>
      </c>
      <c r="H6" s="31">
        <f>SUMIF(I$12:AB$12,"总值",I6:AB6)</f>
        <v>28084.68</v>
      </c>
      <c r="I6" s="25">
        <f t="shared" ref="I6:AB6" si="2">ROUND($A$3*I5/$B$3,2)</f>
        <v>23871.98</v>
      </c>
      <c r="J6" s="25">
        <f t="shared" si="2"/>
        <v>0</v>
      </c>
      <c r="K6" s="25">
        <f t="shared" si="2"/>
        <v>4212.7</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28084.68</v>
      </c>
      <c r="AZ6" s="25" t="s">
        <v>2</v>
      </c>
      <c r="BA6" s="25">
        <f>ROUND($AY$6*BA5/$AZ$5,2)</f>
        <v>28084.68</v>
      </c>
      <c r="BB6" s="25">
        <f>ROUND($AY$6*BB5/$AZ$5,2)</f>
        <v>23871.98</v>
      </c>
      <c r="BC6" s="25">
        <f t="shared" ref="BC6:BH6" si="4">ROUND($AY$6*BC5/$AZ$5,2)</f>
        <v>4212.7</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3679</v>
      </c>
      <c r="J9" s="49"/>
      <c r="K9" s="2491" t="s">
        <v>3679</v>
      </c>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851</v>
      </c>
      <c r="J10" s="49"/>
      <c r="K10" s="2493" t="s">
        <v>2741</v>
      </c>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t="s">
        <v>3680</v>
      </c>
      <c r="J11" s="69"/>
      <c r="K11" s="2492" t="s">
        <v>3681</v>
      </c>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商业</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平层住宅</v>
      </c>
      <c r="BC12" s="77" t="str">
        <f>K11</f>
        <v>底商</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3678</v>
      </c>
      <c r="E13" s="25">
        <f t="shared" ref="E13:E20" si="6">IF($C$3="是",ROUND($A$3*G13/$B$3,2),ROUND($A$3*(G13-AT13)/$B$3,2))</f>
        <v>28084.68</v>
      </c>
      <c r="F13" s="78"/>
      <c r="G13" s="79">
        <f t="shared" ref="G13:G20" si="7">H13+AC13+AT13</f>
        <v>56169.36</v>
      </c>
      <c r="H13" s="31">
        <f t="shared" ref="H13:H20" si="8">SUMIF(I$12:AB$12,"总值",I13:AB13)</f>
        <v>56169.36</v>
      </c>
      <c r="I13" s="2490">
        <f>面积表!J3</f>
        <v>47743.96</v>
      </c>
      <c r="J13" s="2490"/>
      <c r="K13" s="2490">
        <f>面积表!K3</f>
        <v>8425.4</v>
      </c>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28084.68</v>
      </c>
      <c r="AZ13" s="25">
        <f t="shared" ref="AZ13:AZ20" si="12">BA13+BL13</f>
        <v>56169.36</v>
      </c>
      <c r="BA13" s="25">
        <f t="shared" ref="BA13:BA20" si="13">SUM(BB13:BK13)</f>
        <v>56169.36</v>
      </c>
      <c r="BB13" s="25">
        <f t="shared" ref="BB13:BB20" si="14">IF($D13="是",I13-J13,0)</f>
        <v>47743.96</v>
      </c>
      <c r="BC13" s="25">
        <f t="shared" ref="BC13:BC20" si="15">IF($D13="是",K13-L13,0)</f>
        <v>8425.4</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J55" sqref="J55"/>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54" t="s">
        <v>169</v>
      </c>
      <c r="B2" s="3754"/>
      <c r="C2" s="3754"/>
      <c r="D2" s="1729" t="s">
        <v>170</v>
      </c>
      <c r="E2" s="102" t="s">
        <v>171</v>
      </c>
      <c r="F2" s="2825"/>
      <c r="G2" s="1096"/>
      <c r="H2" s="1097"/>
      <c r="I2" s="1098" t="s">
        <v>795</v>
      </c>
      <c r="J2" s="2825"/>
      <c r="K2" s="2825"/>
      <c r="L2" s="2825"/>
      <c r="M2" s="2825"/>
      <c r="N2" s="2825"/>
      <c r="O2" s="2825"/>
      <c r="P2" s="2825"/>
    </row>
    <row r="3" spans="1:16" ht="15.75" thickBot="1">
      <c r="A3" s="3755" t="s">
        <v>172</v>
      </c>
      <c r="B3" s="3755"/>
      <c r="C3" s="3755"/>
      <c r="D3" s="103">
        <f>'数据-基础表'!AY6</f>
        <v>28084.68</v>
      </c>
      <c r="E3" s="103">
        <f>'数据-基础表'!AZ5</f>
        <v>56169.36</v>
      </c>
      <c r="F3" s="2825"/>
      <c r="G3" s="271" t="s">
        <v>796</v>
      </c>
      <c r="H3" s="266" t="s">
        <v>797</v>
      </c>
      <c r="I3" s="1730">
        <f>ROUND('数据-基础表'!B3/'数据-基础表'!A3,2)</f>
        <v>2</v>
      </c>
      <c r="J3" s="2825"/>
      <c r="K3" s="2825"/>
      <c r="L3" s="2825"/>
      <c r="M3" s="2825"/>
      <c r="N3" s="2825"/>
      <c r="O3" s="2825"/>
      <c r="P3" s="2825"/>
    </row>
    <row r="4" spans="1:16" ht="15">
      <c r="A4" s="3756"/>
      <c r="B4" s="3757"/>
      <c r="C4" s="3758"/>
      <c r="D4" s="104" t="s">
        <v>170</v>
      </c>
      <c r="E4" s="105" t="s">
        <v>171</v>
      </c>
      <c r="F4" s="2825"/>
      <c r="G4" s="1099"/>
      <c r="H4" s="266" t="s">
        <v>798</v>
      </c>
      <c r="I4" s="1730">
        <f>ROUND(SUMIF('数据-基础表'!I9:AS9,"地上",'数据-基础表'!I5:AS5)/'数据-基础表'!A3,2)</f>
        <v>2</v>
      </c>
      <c r="J4" s="2825"/>
      <c r="K4" s="2825"/>
      <c r="L4" s="2825"/>
      <c r="M4" s="2825"/>
      <c r="N4" s="2825"/>
      <c r="O4" s="2825"/>
      <c r="P4" s="2825"/>
    </row>
    <row r="5" spans="1:16">
      <c r="A5" s="106" t="s">
        <v>173</v>
      </c>
      <c r="B5" s="3759" t="s">
        <v>196</v>
      </c>
      <c r="C5" s="3759"/>
      <c r="D5" s="107">
        <f>ROUND($D$3*E5/$E$3,2)</f>
        <v>23871.98</v>
      </c>
      <c r="E5" s="108">
        <f>SUMIF('数据-基础表'!$11:$11,"住宅",'数据-基础表'!$5:$5)</f>
        <v>47743.96</v>
      </c>
      <c r="F5" s="2825"/>
      <c r="G5" s="271" t="s">
        <v>799</v>
      </c>
      <c r="H5" s="266" t="s">
        <v>797</v>
      </c>
      <c r="I5" s="1730">
        <f>ROUND(E31/D31,2)</f>
        <v>2</v>
      </c>
      <c r="J5" s="2825"/>
      <c r="K5" s="2825"/>
      <c r="L5" s="2825"/>
      <c r="M5" s="2825"/>
      <c r="N5" s="2825"/>
      <c r="O5" s="2825"/>
      <c r="P5" s="2825"/>
    </row>
    <row r="6" spans="1:16" ht="15" thickBot="1">
      <c r="A6" s="109"/>
      <c r="B6" s="3759" t="s">
        <v>174</v>
      </c>
      <c r="C6" s="3759"/>
      <c r="D6" s="107">
        <f>ROUND($D$3*E6/$E$3,2)</f>
        <v>4212.7</v>
      </c>
      <c r="E6" s="108">
        <f>E3-E5</f>
        <v>8425.4000000000015</v>
      </c>
      <c r="F6" s="2825"/>
      <c r="G6" s="1099"/>
      <c r="H6" s="266" t="s">
        <v>798</v>
      </c>
      <c r="I6" s="1730">
        <f>ROUND(F31/D31,2)</f>
        <v>2</v>
      </c>
      <c r="J6" s="2825"/>
      <c r="K6" s="2825"/>
      <c r="L6" s="2825"/>
      <c r="M6" s="2825"/>
      <c r="N6" s="2825"/>
      <c r="O6" s="2825"/>
      <c r="P6" s="2825"/>
    </row>
    <row r="7" spans="1:16" ht="15">
      <c r="A7" s="3751"/>
      <c r="B7" s="3752"/>
      <c r="C7" s="3753"/>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28084.68</v>
      </c>
      <c r="E8" s="112">
        <f>SUMIF('数据-基础表'!BB10:BK10,"地上",'数据-基础表'!BB5:BK5)</f>
        <v>56169.36</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28084.68</v>
      </c>
      <c r="E16" s="116">
        <f>SUM(E8:E15)</f>
        <v>56169.36</v>
      </c>
      <c r="F16" s="2825"/>
      <c r="G16" s="2826"/>
      <c r="H16" s="930" t="s">
        <v>185</v>
      </c>
      <c r="I16" s="931"/>
      <c r="J16" s="1738"/>
      <c r="K16" s="3745" t="s">
        <v>1849</v>
      </c>
      <c r="L16" s="3746"/>
      <c r="M16" s="3746"/>
      <c r="N16" s="3746"/>
      <c r="O16" s="3746"/>
      <c r="P16" s="3747"/>
    </row>
    <row r="17" spans="1:19" ht="15">
      <c r="A17" s="117" t="s">
        <v>182</v>
      </c>
      <c r="B17" s="118" t="s">
        <v>183</v>
      </c>
      <c r="C17" s="2016" t="s">
        <v>1670</v>
      </c>
      <c r="D17" s="104" t="s">
        <v>170</v>
      </c>
      <c r="E17" s="120" t="s">
        <v>171</v>
      </c>
      <c r="F17" s="121"/>
      <c r="G17" s="1225"/>
      <c r="H17" s="932" t="s">
        <v>184</v>
      </c>
      <c r="I17" s="933" t="s">
        <v>1669</v>
      </c>
      <c r="J17" s="1738"/>
      <c r="K17" s="3748" t="s">
        <v>1850</v>
      </c>
      <c r="L17" s="3749"/>
      <c r="M17" s="3750"/>
      <c r="N17" s="3748" t="s">
        <v>1851</v>
      </c>
      <c r="O17" s="3749"/>
      <c r="P17" s="3750"/>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3682</v>
      </c>
      <c r="D19" s="107">
        <f t="shared" ref="D19:D26" si="1">ROUND($D$3*E19/$E$3,2)</f>
        <v>23871.98</v>
      </c>
      <c r="E19" s="130">
        <f t="shared" ref="E19:E26" si="2">SUM(F19:G19)</f>
        <v>47743.96</v>
      </c>
      <c r="F19" s="2827">
        <f>面积表!J3</f>
        <v>47743.96</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23871.98</v>
      </c>
      <c r="S19" s="2019">
        <f t="shared" si="5"/>
        <v>47743.96</v>
      </c>
    </row>
    <row r="20" spans="1:19">
      <c r="A20" s="133"/>
      <c r="B20" s="111" t="s">
        <v>192</v>
      </c>
      <c r="C20" s="2497" t="s">
        <v>3683</v>
      </c>
      <c r="D20" s="107">
        <f t="shared" si="1"/>
        <v>4212.7</v>
      </c>
      <c r="E20" s="130">
        <f t="shared" si="2"/>
        <v>8425.4</v>
      </c>
      <c r="F20" s="2827">
        <f>'数据-基础表'!K13</f>
        <v>8425.4</v>
      </c>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4212.7</v>
      </c>
      <c r="S20" s="2019">
        <f t="shared" si="5"/>
        <v>8425.4</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28084.68</v>
      </c>
      <c r="E27" s="136">
        <f>IF(SUM(E19:E26)='数据-基础表'!BA5,SUM(E19:E26),IF(F27="地上面积有误","面积有误","地下面积有误"))</f>
        <v>56169.36</v>
      </c>
      <c r="F27" s="130">
        <f>IF(SUM(F19:F26)=E8,SUM(F19:F26),"地上面积有误")</f>
        <v>56169.36</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28084.68</v>
      </c>
      <c r="S27" s="266">
        <f>IF(SUM(S19:S26)=$E$3,SUM(S19:S26),SUM(S19:S26)&amp;"误差"&amp;ROUND(SUM(S19:S26)-E3,2))</f>
        <v>56169.36</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28084.68</v>
      </c>
      <c r="E31" s="1229">
        <f>E27+E30</f>
        <v>56169.36</v>
      </c>
      <c r="F31" s="1230">
        <f>F27+F30</f>
        <v>56169.36</v>
      </c>
      <c r="G31" s="1231">
        <f>G27+G30</f>
        <v>0</v>
      </c>
      <c r="H31" s="2825"/>
      <c r="I31" s="2825"/>
      <c r="J31" s="2825"/>
      <c r="K31" s="2825"/>
      <c r="L31" s="2825"/>
      <c r="M31" s="2825"/>
      <c r="N31" s="2825"/>
      <c r="O31" s="2825"/>
      <c r="P31" s="2825"/>
    </row>
    <row r="32" spans="1:19">
      <c r="A32" s="1738"/>
      <c r="B32" s="2060" t="s">
        <v>1678</v>
      </c>
      <c r="C32" s="2251"/>
      <c r="D32" s="1099"/>
      <c r="E32" s="1099">
        <f>SUMIF(C19:C26,"*住宅*",E19:E26)</f>
        <v>47743.96</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T6" activePane="bottomRight" state="frozen"/>
      <selection pane="topRight" activeCell="D1" sqref="D1"/>
      <selection pane="bottomLeft" activeCell="A4" sqref="A4"/>
      <selection pane="bottomRight" activeCell="AA40" sqref="AA40"/>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45028</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3249</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851</v>
      </c>
      <c r="D6" s="2026">
        <f>SUMIF(项目基本情况!C$15:I$15,C6,项目基本情况!C$18:I$18)</f>
        <v>70</v>
      </c>
      <c r="E6" s="2027">
        <f>IF(B6="","",SUMIF(项目基本情况!C$15:I$15,C6,项目基本情况!C$17:I$17))</f>
        <v>68172</v>
      </c>
      <c r="F6" s="167">
        <f>SUMIF(项目基本情况!C$15:I$15,C6,项目基本情况!C$19:I$19)</f>
        <v>63.4</v>
      </c>
      <c r="G6" s="168">
        <f t="shared" ref="G6:G13" si="0">IF(ISERROR(ROUND(POWER(1+H6,D6-F6)*(POWER(1+H6,F6)-1)/(POWER(1+H6,D6)-1),3)),0,ROUND(POWER(1+H6,D6-F6)*(POWER(1+H6,F6)-1)/(POWER(1+H6,D6)-1),3))</f>
        <v>0.98399999999999999</v>
      </c>
      <c r="H6" s="2498">
        <v>4.4999999999999998E-2</v>
      </c>
      <c r="I6" s="2498">
        <v>0.05</v>
      </c>
      <c r="J6" s="169">
        <v>7.0000000000000007E-2</v>
      </c>
      <c r="K6" s="172">
        <f>SUMIF('数据-汇总表'!C$19:C$33,'数据-取费表'!A6,'数据-汇总表'!E$19:E$33)</f>
        <v>47743.96</v>
      </c>
      <c r="L6" s="2499">
        <v>3000</v>
      </c>
      <c r="M6" s="170">
        <f t="shared" ref="M6:M14" si="1">ROUND(K6*L6/10000,0)</f>
        <v>14323</v>
      </c>
      <c r="N6" s="2500">
        <v>0</v>
      </c>
      <c r="O6" s="170">
        <f>IF($N$5="成新度","——",ROUND(M6*N6,0))</f>
        <v>0</v>
      </c>
      <c r="P6" s="171">
        <f>IF($N$5="成新度","——",M6-O6)</f>
        <v>14323</v>
      </c>
      <c r="Q6" s="2501">
        <v>0.15</v>
      </c>
      <c r="R6" s="172">
        <f>SUMIF('数据-汇总表'!C$19:C$33,A6,'数据-汇总表'!R$19:R$33)</f>
        <v>23871.98</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0.93899999999999995</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商业</v>
      </c>
      <c r="B7" s="2055" t="str">
        <f t="shared" ref="B7:B13" si="2">IF(A7=0,"","经营性")</f>
        <v>经营性</v>
      </c>
      <c r="C7" s="166" t="s">
        <v>2741</v>
      </c>
      <c r="D7" s="2026">
        <f>SUMIF(项目基本情况!C$15:I$15,C7,项目基本情况!C$18:I$18)</f>
        <v>40</v>
      </c>
      <c r="E7" s="2027">
        <f>IF(B7="","",SUMIF(项目基本情况!C$15:I$15,C7,项目基本情况!C$17:I$17))</f>
        <v>57215</v>
      </c>
      <c r="F7" s="167">
        <f>SUMIF(项目基本情况!C$15:I$15,C7,项目基本情况!C$19:I$19)</f>
        <v>33.380000000000003</v>
      </c>
      <c r="G7" s="168">
        <f t="shared" si="0"/>
        <v>0.93700000000000006</v>
      </c>
      <c r="H7" s="2498">
        <v>0.05</v>
      </c>
      <c r="I7" s="2498">
        <v>5.5E-2</v>
      </c>
      <c r="J7" s="169">
        <v>7.0000000000000007E-2</v>
      </c>
      <c r="K7" s="172">
        <f>SUMIF('数据-汇总表'!C$19:C$33,'数据-取费表'!A7,'数据-汇总表'!E$19:E$33)</f>
        <v>8425.4</v>
      </c>
      <c r="L7" s="2499">
        <f>L6</f>
        <v>3000</v>
      </c>
      <c r="M7" s="170">
        <f t="shared" si="1"/>
        <v>2528</v>
      </c>
      <c r="N7" s="2500">
        <v>0</v>
      </c>
      <c r="O7" s="170">
        <f t="shared" ref="O7:O14" si="3">IF($N$5="成新度","——",ROUND(M7*N7,0))</f>
        <v>0</v>
      </c>
      <c r="P7" s="171">
        <f t="shared" ref="P7:P14" si="4">IF($N$5="成新度","——",M7-O7)</f>
        <v>2528</v>
      </c>
      <c r="Q7" s="2501">
        <f>Q6</f>
        <v>0.15</v>
      </c>
      <c r="R7" s="172">
        <f>SUMIF('数据-汇总表'!C$19:C$33,A7,'数据-汇总表'!R$19:R$33)</f>
        <v>4212.7</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v>1.7</v>
      </c>
      <c r="V7" s="174">
        <v>2.5000000000000001E-2</v>
      </c>
      <c r="W7" s="174">
        <v>0.15</v>
      </c>
      <c r="X7" s="2039"/>
      <c r="Y7" s="175">
        <v>1</v>
      </c>
      <c r="Z7" s="176"/>
      <c r="AA7" s="169"/>
      <c r="AB7" s="169"/>
      <c r="AC7" s="2042"/>
      <c r="AD7" s="177"/>
      <c r="AE7" s="934">
        <f t="shared" ref="AE7:AE13" ca="1" si="6">IF(AN7="",0,SUMIF(INDIRECT("'"&amp;AN7&amp;"'"&amp;"!E:E"),$AE$5,INDIRECT("'"&amp;AN7&amp;"'"&amp;"!F:F")))</f>
        <v>31.380000000000003</v>
      </c>
      <c r="AF7" s="134"/>
      <c r="AG7" s="1111">
        <f t="shared" ref="AG7:AG13" si="7">IF(AF7="",0,AE7-AF7)</f>
        <v>0</v>
      </c>
      <c r="AH7" s="134"/>
      <c r="AI7" s="180">
        <v>365</v>
      </c>
      <c r="AJ7" s="181"/>
      <c r="AK7" s="182">
        <v>0.01</v>
      </c>
      <c r="AL7" s="183">
        <v>1.5E-3</v>
      </c>
      <c r="AM7" s="2081">
        <v>0.01</v>
      </c>
      <c r="AN7" s="2083" t="s">
        <v>3685</v>
      </c>
      <c r="AO7" s="2835"/>
      <c r="AP7" s="1102">
        <f t="shared" ref="AP7:AP13" si="8">ROUND(1-1/(1+H7)^F7,3)</f>
        <v>0.80400000000000005</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0.97699999999999998</v>
      </c>
      <c r="H16" s="194">
        <f>ROUND(SUMPRODUCT(H6:H13,K6:K13)/SUMPRODUCT((H6:H13&gt;0)*(K6:K13)),3)</f>
        <v>4.5999999999999999E-2</v>
      </c>
      <c r="I16" s="195"/>
      <c r="J16" s="195"/>
      <c r="K16" s="196">
        <f>SUM(K6:K15)</f>
        <v>56169.36</v>
      </c>
      <c r="L16" s="197">
        <f>ROUND(M16*10000/SUM(K6:K14),0)</f>
        <v>3000</v>
      </c>
      <c r="M16" s="197">
        <f>SUM(M6:M14)</f>
        <v>16851</v>
      </c>
      <c r="N16" s="198">
        <f>ROUND(SUMPRODUCT(M6:M14,N6:N14)/M16,3)</f>
        <v>0</v>
      </c>
      <c r="O16" s="197">
        <f>SUM(O6:O14)</f>
        <v>0</v>
      </c>
      <c r="P16" s="197">
        <f>SUM(P6:P14)</f>
        <v>16851</v>
      </c>
      <c r="Q16" s="199">
        <f>ROUND(SUMPRODUCT(Q6:Q13,K6:K13)/SUMPRODUCT((Q6:Q13&gt;0)*(K6:K13)),2)</f>
        <v>0.15</v>
      </c>
      <c r="R16" s="2029">
        <f>SUM(R6:R13)</f>
        <v>28084.68</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0.91900000000000004</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2</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2</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120</v>
      </c>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120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100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100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0.05</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3684</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1152</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v>5</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60" t="s">
        <v>1198</v>
      </c>
      <c r="B1" s="3761"/>
      <c r="C1" s="3761"/>
      <c r="D1" s="3761"/>
      <c r="E1" s="3761"/>
      <c r="F1" s="3761"/>
      <c r="G1" s="3761"/>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15" sqref="D15"/>
    </sheetView>
  </sheetViews>
  <sheetFormatPr defaultColWidth="14.625" defaultRowHeight="13.5"/>
  <cols>
    <col min="1" max="1" width="24.375" style="2929" customWidth="1"/>
    <col min="2" max="16384" width="14.625" style="2929"/>
  </cols>
  <sheetData>
    <row r="1" spans="1:10" ht="16.5">
      <c r="A1" s="2928" t="s">
        <v>2118</v>
      </c>
      <c r="B1" s="2928">
        <f>SUM(B14:B23)</f>
        <v>328014.98</v>
      </c>
      <c r="C1" s="2937"/>
      <c r="D1" s="2937"/>
      <c r="E1" s="2937"/>
      <c r="F1" s="2937"/>
      <c r="G1" s="2938"/>
      <c r="H1" s="2938"/>
      <c r="I1" s="2938"/>
      <c r="J1" s="2938"/>
    </row>
    <row r="2" spans="1:10" ht="16.5">
      <c r="A2" s="2928" t="s">
        <v>2119</v>
      </c>
      <c r="B2" s="2928">
        <f>SUM(C14:C23)</f>
        <v>164007.49</v>
      </c>
      <c r="C2" s="2937"/>
      <c r="D2" s="2937"/>
      <c r="E2" s="2937"/>
      <c r="F2" s="2937"/>
      <c r="G2" s="2938"/>
      <c r="H2" s="2938"/>
      <c r="I2" s="2938"/>
      <c r="J2" s="2938"/>
    </row>
    <row r="3" spans="1:10" ht="16.5">
      <c r="A3" s="2928" t="s">
        <v>2120</v>
      </c>
      <c r="B3" s="2930">
        <f>项目基本情况!D3</f>
        <v>45028</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 ca="1">SUM(D14:D23)</f>
        <v>73541</v>
      </c>
      <c r="C5" s="2928">
        <f ca="1">ROUND(B5*10000/$B$1,0)</f>
        <v>2242</v>
      </c>
      <c r="D5" s="2928">
        <f ca="1">ROUND(B5*10000/$B$2,0)</f>
        <v>4484</v>
      </c>
      <c r="E5" s="2937"/>
      <c r="F5" s="2937"/>
      <c r="G5" s="2938"/>
      <c r="H5" s="2938"/>
      <c r="I5" s="2938"/>
      <c r="J5" s="2938"/>
    </row>
    <row r="6" spans="1:10" ht="16.5">
      <c r="A6" s="2928" t="s">
        <v>2126</v>
      </c>
      <c r="B6" s="2928">
        <f ca="1">SUM(G14:G23)</f>
        <v>73541</v>
      </c>
      <c r="C6" s="2928">
        <f ca="1">ROUND(B6*10000/$B$1,0)</f>
        <v>2242</v>
      </c>
      <c r="D6" s="2928">
        <f ca="1">ROUND(B6*10000/$B$2,0)</f>
        <v>4484</v>
      </c>
      <c r="E6" s="2937"/>
      <c r="F6" s="2937"/>
      <c r="G6" s="2938"/>
      <c r="H6" s="2938"/>
      <c r="I6" s="2938"/>
      <c r="J6" s="2938"/>
    </row>
    <row r="7" spans="1:10" ht="16.5">
      <c r="A7" s="2928" t="s">
        <v>2127</v>
      </c>
      <c r="B7" s="2928">
        <f>SUM(H14:H23)</f>
        <v>0</v>
      </c>
      <c r="C7" s="2928">
        <f>ROUND(B7*10000/$B$1,0)</f>
        <v>0</v>
      </c>
      <c r="D7" s="2928">
        <f>ROUND(B7*10000/$B$2,0)</f>
        <v>0</v>
      </c>
      <c r="E7" s="2937"/>
      <c r="F7" s="2937"/>
      <c r="G7" s="2938"/>
      <c r="H7" s="2938"/>
      <c r="I7" s="2938"/>
      <c r="J7" s="2938"/>
    </row>
    <row r="8" spans="1:10" ht="16.5">
      <c r="A8" s="2928" t="s">
        <v>2128</v>
      </c>
      <c r="B8" s="2928">
        <f>SUM(I14:I23)</f>
        <v>0</v>
      </c>
      <c r="C8" s="2928">
        <f>ROUND(B8*10000/$B$1,0)</f>
        <v>0</v>
      </c>
      <c r="D8" s="2928">
        <f>ROUND(B8*10000/$B$2,0)</f>
        <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f>面积表!L8</f>
        <v>328014.98</v>
      </c>
      <c r="C14" s="2934">
        <f>面积表!F8</f>
        <v>164007.49</v>
      </c>
      <c r="D14" s="2934">
        <f ca="1">面积表!N8</f>
        <v>73541</v>
      </c>
      <c r="E14" s="2934">
        <f ca="1">ROUND(D14*10000/B14,0)</f>
        <v>2242</v>
      </c>
      <c r="F14" s="2934">
        <f ca="1">ROUND(D14*10000/C14,0)</f>
        <v>4484</v>
      </c>
      <c r="G14" s="2934">
        <f ca="1">D14</f>
        <v>73541</v>
      </c>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F27" sqref="F27"/>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06" t="str">
        <f>项目基本情况!K2</f>
        <v>出让国有建设用地使用权</v>
      </c>
      <c r="B2" s="3807"/>
      <c r="C2" s="3808"/>
      <c r="D2" s="3808"/>
      <c r="E2" s="3808"/>
      <c r="F2" s="3808"/>
      <c r="G2" s="3807"/>
      <c r="H2" s="3807"/>
      <c r="I2" s="3809"/>
      <c r="J2" s="1753"/>
      <c r="K2" s="1752"/>
      <c r="L2" s="1752"/>
      <c r="M2" s="1752"/>
      <c r="N2" s="1752"/>
      <c r="O2" s="1752"/>
      <c r="P2" s="1752"/>
      <c r="Q2" s="1752"/>
      <c r="R2" s="1752"/>
      <c r="S2" s="1752"/>
      <c r="T2" s="1752"/>
      <c r="U2" s="1752"/>
      <c r="V2" s="1752"/>
    </row>
    <row r="3" spans="1:22" ht="14.25">
      <c r="A3" s="3817" t="s">
        <v>264</v>
      </c>
      <c r="B3" s="3818"/>
      <c r="C3" s="3818"/>
      <c r="D3" s="3818"/>
      <c r="E3" s="3818"/>
      <c r="F3" s="3818"/>
      <c r="G3" s="3818"/>
      <c r="H3" s="3818"/>
      <c r="I3" s="3818"/>
      <c r="J3" s="1753"/>
      <c r="K3" s="1752"/>
      <c r="L3" s="1752"/>
      <c r="M3" s="1752"/>
      <c r="N3" s="1752"/>
      <c r="O3" s="1752"/>
      <c r="P3" s="1752"/>
      <c r="Q3" s="1752"/>
      <c r="R3" s="1752"/>
      <c r="S3" s="1752"/>
      <c r="T3" s="1752"/>
      <c r="U3" s="1752"/>
      <c r="V3" s="1752"/>
    </row>
    <row r="4" spans="1:22" ht="14.25">
      <c r="A4" s="249" t="s">
        <v>265</v>
      </c>
      <c r="B4" s="250" t="s">
        <v>266</v>
      </c>
      <c r="C4" s="251" t="s">
        <v>3728</v>
      </c>
      <c r="D4" s="251" t="s">
        <v>3729</v>
      </c>
      <c r="E4" s="3781" t="s">
        <v>267</v>
      </c>
      <c r="F4" s="3823"/>
      <c r="G4" s="3823"/>
      <c r="H4" s="3823"/>
      <c r="I4" s="3782"/>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10" t="s">
        <v>268</v>
      </c>
      <c r="B5" s="3811">
        <v>25</v>
      </c>
      <c r="C5" s="3819"/>
      <c r="D5" s="3822"/>
      <c r="E5" s="252" t="s">
        <v>269</v>
      </c>
      <c r="F5" s="253"/>
      <c r="G5" s="253"/>
      <c r="H5" s="253"/>
      <c r="I5" s="254"/>
      <c r="J5" s="1753"/>
      <c r="K5" s="1752"/>
      <c r="L5" s="1752"/>
      <c r="M5" s="1752"/>
      <c r="N5" s="1752"/>
      <c r="O5" s="1752"/>
      <c r="P5" s="1752"/>
      <c r="Q5" s="1752"/>
      <c r="R5" s="1752"/>
      <c r="S5" s="1752"/>
      <c r="T5" s="1752"/>
      <c r="U5" s="1752"/>
      <c r="V5" s="1752"/>
    </row>
    <row r="6" spans="1:22" ht="14.25">
      <c r="A6" s="3810"/>
      <c r="B6" s="3811"/>
      <c r="C6" s="3820"/>
      <c r="D6" s="3822"/>
      <c r="E6" s="252" t="s">
        <v>270</v>
      </c>
      <c r="F6" s="253"/>
      <c r="G6" s="253"/>
      <c r="H6" s="253"/>
      <c r="I6" s="254"/>
      <c r="J6" s="1753"/>
      <c r="K6" s="1752"/>
      <c r="L6" s="1752"/>
      <c r="M6" s="1752"/>
      <c r="N6" s="1752"/>
      <c r="O6" s="1752"/>
      <c r="P6" s="1752"/>
      <c r="Q6" s="1752"/>
      <c r="R6" s="1752"/>
      <c r="S6" s="1752"/>
      <c r="T6" s="1752"/>
      <c r="U6" s="1752"/>
      <c r="V6" s="1752"/>
    </row>
    <row r="7" spans="1:22" ht="14.25">
      <c r="A7" s="3810"/>
      <c r="B7" s="3811"/>
      <c r="C7" s="3821"/>
      <c r="D7" s="3822"/>
      <c r="E7" s="252" t="s">
        <v>271</v>
      </c>
      <c r="F7" s="253"/>
      <c r="G7" s="253"/>
      <c r="H7" s="253"/>
      <c r="I7" s="254"/>
      <c r="J7" s="1753"/>
      <c r="K7" s="1752"/>
      <c r="L7" s="1752"/>
      <c r="M7" s="1752"/>
      <c r="N7" s="1752"/>
      <c r="O7" s="1752"/>
      <c r="P7" s="1752"/>
      <c r="Q7" s="1752"/>
      <c r="R7" s="1752"/>
      <c r="S7" s="1752"/>
      <c r="T7" s="1752"/>
      <c r="U7" s="1752"/>
      <c r="V7" s="1752"/>
    </row>
    <row r="8" spans="1:22" ht="14.25">
      <c r="A8" s="3810" t="s">
        <v>272</v>
      </c>
      <c r="B8" s="3811">
        <v>15</v>
      </c>
      <c r="C8" s="3819"/>
      <c r="D8" s="3822"/>
      <c r="E8" s="252" t="s">
        <v>273</v>
      </c>
      <c r="F8" s="253"/>
      <c r="G8" s="253"/>
      <c r="H8" s="253"/>
      <c r="I8" s="254"/>
      <c r="J8" s="1753"/>
      <c r="K8" s="1752"/>
      <c r="L8" s="1752"/>
      <c r="M8" s="1752"/>
      <c r="N8" s="1752"/>
      <c r="O8" s="1752"/>
      <c r="P8" s="1752"/>
      <c r="Q8" s="1752"/>
      <c r="R8" s="1752"/>
      <c r="S8" s="1752"/>
      <c r="T8" s="1752"/>
      <c r="U8" s="1752"/>
      <c r="V8" s="1752"/>
    </row>
    <row r="9" spans="1:22" ht="14.25">
      <c r="A9" s="3810"/>
      <c r="B9" s="3811"/>
      <c r="C9" s="3821"/>
      <c r="D9" s="3822"/>
      <c r="E9" s="252" t="s">
        <v>274</v>
      </c>
      <c r="F9" s="253"/>
      <c r="G9" s="253"/>
      <c r="H9" s="253"/>
      <c r="I9" s="254"/>
      <c r="J9" s="1753"/>
      <c r="K9" s="1752"/>
      <c r="L9" s="1752"/>
      <c r="M9" s="1752"/>
      <c r="N9" s="1752"/>
      <c r="O9" s="1752"/>
      <c r="P9" s="1752"/>
      <c r="Q9" s="1752"/>
      <c r="R9" s="1752"/>
      <c r="S9" s="1752"/>
      <c r="T9" s="1752"/>
      <c r="U9" s="1752"/>
      <c r="V9" s="1752"/>
    </row>
    <row r="10" spans="1:22" ht="14.25">
      <c r="A10" s="3810" t="s">
        <v>275</v>
      </c>
      <c r="B10" s="3811">
        <v>15</v>
      </c>
      <c r="C10" s="3819"/>
      <c r="D10" s="3822"/>
      <c r="E10" s="252" t="s">
        <v>276</v>
      </c>
      <c r="F10" s="253"/>
      <c r="G10" s="253"/>
      <c r="H10" s="253"/>
      <c r="I10" s="254"/>
      <c r="J10" s="1753"/>
      <c r="K10" s="1752"/>
      <c r="L10" s="1752"/>
      <c r="M10" s="1752"/>
      <c r="N10" s="1752"/>
      <c r="O10" s="1752"/>
      <c r="P10" s="1752"/>
      <c r="Q10" s="1752"/>
      <c r="R10" s="1752"/>
      <c r="S10" s="1752"/>
      <c r="T10" s="1752"/>
      <c r="U10" s="1752"/>
      <c r="V10" s="1752"/>
    </row>
    <row r="11" spans="1:22" ht="14.25">
      <c r="A11" s="3810"/>
      <c r="B11" s="3811"/>
      <c r="C11" s="3821"/>
      <c r="D11" s="3822"/>
      <c r="E11" s="252" t="s">
        <v>277</v>
      </c>
      <c r="F11" s="253"/>
      <c r="G11" s="253"/>
      <c r="H11" s="253"/>
      <c r="I11" s="254"/>
      <c r="J11" s="1753"/>
      <c r="K11" s="1752"/>
      <c r="L11" s="1752"/>
      <c r="M11" s="1752"/>
      <c r="N11" s="1752"/>
      <c r="O11" s="1752"/>
      <c r="P11" s="1752"/>
      <c r="Q11" s="1752"/>
      <c r="R11" s="1752"/>
      <c r="S11" s="1752"/>
      <c r="T11" s="1752"/>
      <c r="U11" s="1752"/>
      <c r="V11" s="1752"/>
    </row>
    <row r="12" spans="1:22" ht="14.25">
      <c r="A12" s="3810" t="s">
        <v>278</v>
      </c>
      <c r="B12" s="3811">
        <v>15</v>
      </c>
      <c r="C12" s="3819"/>
      <c r="D12" s="3822"/>
      <c r="E12" s="252" t="s">
        <v>279</v>
      </c>
      <c r="F12" s="253"/>
      <c r="G12" s="253"/>
      <c r="H12" s="253"/>
      <c r="I12" s="254"/>
      <c r="J12" s="1753"/>
      <c r="K12" s="1752"/>
      <c r="L12" s="1752"/>
      <c r="M12" s="1752"/>
      <c r="N12" s="1752"/>
      <c r="O12" s="1752"/>
      <c r="P12" s="1752"/>
      <c r="Q12" s="1752"/>
      <c r="R12" s="1752"/>
      <c r="S12" s="1752"/>
      <c r="T12" s="1752"/>
      <c r="U12" s="1752"/>
      <c r="V12" s="1752"/>
    </row>
    <row r="13" spans="1:22" ht="14.25">
      <c r="A13" s="3810"/>
      <c r="B13" s="3811"/>
      <c r="C13" s="3821"/>
      <c r="D13" s="3822"/>
      <c r="E13" s="252" t="s">
        <v>280</v>
      </c>
      <c r="F13" s="253"/>
      <c r="G13" s="253"/>
      <c r="H13" s="253"/>
      <c r="I13" s="254"/>
      <c r="J13" s="1753"/>
      <c r="K13" s="1752"/>
      <c r="L13" s="1752"/>
      <c r="M13" s="1752"/>
      <c r="N13" s="1752"/>
      <c r="O13" s="1752"/>
      <c r="P13" s="1752"/>
      <c r="Q13" s="1752"/>
      <c r="R13" s="1752"/>
      <c r="S13" s="1752"/>
      <c r="T13" s="1752"/>
      <c r="U13" s="1752"/>
      <c r="V13" s="1752"/>
    </row>
    <row r="14" spans="1:22" ht="14.25">
      <c r="A14" s="3810" t="s">
        <v>281</v>
      </c>
      <c r="B14" s="3811">
        <v>30</v>
      </c>
      <c r="C14" s="3819">
        <v>4</v>
      </c>
      <c r="D14" s="3822">
        <v>6</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10"/>
      <c r="B15" s="3811"/>
      <c r="C15" s="3820"/>
      <c r="D15" s="3822"/>
      <c r="E15" s="252" t="s">
        <v>283</v>
      </c>
      <c r="F15" s="253"/>
      <c r="G15" s="253"/>
      <c r="H15" s="253"/>
      <c r="I15" s="254"/>
      <c r="J15" s="1753"/>
      <c r="K15" s="1752"/>
      <c r="L15" s="1752"/>
      <c r="M15" s="1752"/>
      <c r="N15" s="1752"/>
      <c r="O15" s="1752"/>
      <c r="P15" s="1752"/>
      <c r="Q15" s="1752"/>
      <c r="R15" s="1752"/>
      <c r="S15" s="1752"/>
      <c r="T15" s="1752"/>
      <c r="U15" s="1752"/>
      <c r="V15" s="1752"/>
    </row>
    <row r="16" spans="1:22" ht="14.25">
      <c r="A16" s="3810"/>
      <c r="B16" s="3811"/>
      <c r="C16" s="3821"/>
      <c r="D16" s="3822"/>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4</v>
      </c>
      <c r="D17" s="256">
        <f>SUM(D5:D16)</f>
        <v>6</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0.4</v>
      </c>
      <c r="D18" s="258">
        <f>1-C18</f>
        <v>0.6</v>
      </c>
      <c r="E18" s="3824" t="s">
        <v>2254</v>
      </c>
      <c r="F18" s="3825"/>
      <c r="G18" s="3825"/>
      <c r="H18" s="3825"/>
      <c r="I18" s="3825"/>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15688</v>
      </c>
      <c r="D19" s="262">
        <f ca="1">SUMIF(INDIRECT("'"&amp;D4&amp;"'"&amp;"!A:A"),结果表!B19,INDIRECT("'"&amp;D4&amp;"'"&amp;"!B:B"))</f>
        <v>10524</v>
      </c>
      <c r="E19" s="259" t="s">
        <v>289</v>
      </c>
      <c r="F19" s="260" t="s">
        <v>288</v>
      </c>
      <c r="G19" s="263">
        <f ca="1">ROUND(C19*$C$18+D19*$D$18,0)</f>
        <v>12590</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2793</v>
      </c>
      <c r="D20" s="268">
        <f ca="1">SUMIF(INDIRECT("'"&amp;D4&amp;"'"&amp;"!A:A"),结果表!B20,INDIRECT("'"&amp;D4&amp;"'"&amp;"!B:B"))</f>
        <v>1874</v>
      </c>
      <c r="E20" s="265"/>
      <c r="F20" s="266" t="s">
        <v>291</v>
      </c>
      <c r="G20" s="269">
        <f ca="1">ROUND(C20*$C$18+D20*$D$18,0)</f>
        <v>2242</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5586</v>
      </c>
      <c r="D21" s="144">
        <f ca="1">SUMIF(INDIRECT("'"&amp;D4&amp;"'"&amp;"!A:A"),结果表!B21,INDIRECT("'"&amp;D4&amp;"'"&amp;"!B:B"))</f>
        <v>3747</v>
      </c>
      <c r="E21" s="265"/>
      <c r="F21" s="271" t="s">
        <v>293</v>
      </c>
      <c r="G21" s="273">
        <f ca="1">ROUND(C21*$C$18+D21*$D$18,0)</f>
        <v>4483</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0.49068795134929677</v>
      </c>
      <c r="E22" s="275"/>
      <c r="F22" s="276"/>
      <c r="G22" s="277">
        <f ca="1">ROUND(G19/('数据-汇总表'!D3/666.67),0)</f>
        <v>299</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83"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30"/>
      <c r="B25" s="1190" t="s">
        <v>297</v>
      </c>
      <c r="C25" s="281">
        <f>IF(B30=0,0,C30)</f>
        <v>0</v>
      </c>
      <c r="D25" s="282"/>
      <c r="E25" s="302"/>
      <c r="F25" s="302"/>
      <c r="G25" s="302"/>
      <c r="H25" s="302"/>
      <c r="I25" s="302"/>
      <c r="J25" s="1752"/>
      <c r="K25" s="1124" t="str">
        <f ca="1">项目基本情况!A17&amp;"国有建设用地使用权价格："&amp;O38&amp;"万元"</f>
        <v>出让国有建设用地使用权价格：12590万元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大写金额：人民币壹亿贰仟伍佰玖拾万元整</v>
      </c>
      <c r="L26" s="1121"/>
      <c r="M26" s="1121"/>
      <c r="N26" s="1121"/>
      <c r="O26" s="1120"/>
      <c r="P26" s="1752"/>
      <c r="Q26" s="1752"/>
      <c r="R26" s="1752"/>
      <c r="S26" s="1752"/>
      <c r="T26" s="1752"/>
      <c r="U26" s="1752"/>
      <c r="V26" s="1752"/>
      <c r="W26" s="283"/>
      <c r="X26" s="283"/>
      <c r="Y26" s="283"/>
      <c r="Z26" s="283"/>
    </row>
    <row r="27" spans="1:26" ht="18">
      <c r="A27" s="284"/>
      <c r="B27" s="285"/>
      <c r="C27" s="285"/>
      <c r="D27" s="286">
        <f ca="1">G19/'剩余法-待开发'!C6</f>
        <v>0.30199812900285444</v>
      </c>
      <c r="E27" s="302"/>
      <c r="F27" s="302"/>
      <c r="G27" s="302"/>
      <c r="H27" s="302"/>
      <c r="I27" s="302"/>
      <c r="J27" s="1752"/>
      <c r="K27" s="1127" t="str">
        <f ca="1">"单位面积地价："&amp;M38&amp;"元/平方米"</f>
        <v>单位面积地价：4483元/平方米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楼面地价：2241元/平方米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抵押价格：12590万元</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 ca="1">IF(K29="——","——","大写金额：人民币"&amp;NUMBERSTRING(INT(O39*10000),2)&amp;"元整")</f>
        <v>大写金额：人民币壹亿贰仟伍佰玖拾万元整</v>
      </c>
      <c r="L30" s="1121"/>
      <c r="M30" s="1121"/>
      <c r="N30" s="1121"/>
      <c r="O30" s="1120"/>
      <c r="P30" s="1752"/>
      <c r="V30" s="1752"/>
    </row>
    <row r="31" spans="1:26" ht="24" customHeight="1" thickBot="1">
      <c r="A31" s="3826" t="s">
        <v>2256</v>
      </c>
      <c r="B31" s="3826"/>
      <c r="C31" s="3826"/>
      <c r="D31" s="3826"/>
      <c r="E31" s="3826"/>
      <c r="F31" s="3826"/>
      <c r="G31" s="3826"/>
      <c r="H31" s="3826"/>
      <c r="I31" s="3826"/>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12590</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2241</v>
      </c>
      <c r="D33" s="1240" t="s">
        <v>1224</v>
      </c>
      <c r="E33" s="3783"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4483</v>
      </c>
      <c r="D34" s="1242" t="s">
        <v>1224</v>
      </c>
      <c r="E34" s="3784"/>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299</v>
      </c>
      <c r="D35" s="1245" t="s">
        <v>1226</v>
      </c>
      <c r="E35" s="3785"/>
      <c r="F35" s="292" t="s">
        <v>308</v>
      </c>
      <c r="G35" s="944"/>
      <c r="H35" s="943" t="s">
        <v>309</v>
      </c>
      <c r="I35" s="302"/>
      <c r="J35" s="1752"/>
      <c r="K35" s="3789" t="s">
        <v>316</v>
      </c>
      <c r="L35" s="3789" t="s">
        <v>317</v>
      </c>
      <c r="M35" s="1133" t="s">
        <v>318</v>
      </c>
      <c r="N35" s="3789" t="s">
        <v>319</v>
      </c>
      <c r="O35" s="3789" t="s">
        <v>320</v>
      </c>
      <c r="P35" s="1752"/>
      <c r="V35" s="1752"/>
    </row>
    <row r="36" spans="1:26" ht="16.5" customHeight="1">
      <c r="A36" s="294" t="s">
        <v>310</v>
      </c>
      <c r="B36" s="295" t="s">
        <v>299</v>
      </c>
      <c r="C36" s="296" t="s">
        <v>311</v>
      </c>
      <c r="D36" s="296" t="s">
        <v>312</v>
      </c>
      <c r="E36" s="297" t="s">
        <v>313</v>
      </c>
      <c r="F36" s="302"/>
      <c r="G36" s="302"/>
      <c r="H36" s="302"/>
      <c r="I36" s="302"/>
      <c r="J36" s="1754"/>
      <c r="K36" s="3790"/>
      <c r="L36" s="3790"/>
      <c r="M36" s="1135" t="s">
        <v>321</v>
      </c>
      <c r="N36" s="3790"/>
      <c r="O36" s="3790"/>
      <c r="P36" s="1752"/>
      <c r="V36" s="1752"/>
    </row>
    <row r="37" spans="1:26" ht="16.5" customHeight="1" thickBot="1">
      <c r="A37" s="1129" t="s">
        <v>314</v>
      </c>
      <c r="B37" s="298"/>
      <c r="C37" s="285"/>
      <c r="D37" s="285"/>
      <c r="E37" s="286"/>
      <c r="F37" s="302"/>
      <c r="G37" s="302"/>
      <c r="H37" s="302"/>
      <c r="I37" s="302"/>
      <c r="J37" s="1754"/>
      <c r="K37" s="3791"/>
      <c r="L37" s="3791"/>
      <c r="M37" s="1136"/>
      <c r="N37" s="3791"/>
      <c r="O37" s="3791"/>
      <c r="P37" s="1752"/>
      <c r="V37" s="1752"/>
    </row>
    <row r="38" spans="1:26" ht="16.5" customHeight="1" thickBot="1">
      <c r="A38" s="1129" t="s">
        <v>315</v>
      </c>
      <c r="B38" s="298"/>
      <c r="C38" s="285"/>
      <c r="D38" s="285"/>
      <c r="E38" s="286"/>
      <c r="F38" s="302"/>
      <c r="G38" s="302"/>
      <c r="H38" s="302"/>
      <c r="I38" s="302"/>
      <c r="J38" s="1754"/>
      <c r="K38" s="1137">
        <f>'数据-汇总表'!D3</f>
        <v>28084.68</v>
      </c>
      <c r="L38" s="1138">
        <f>'数据-汇总表'!E3</f>
        <v>56169.36</v>
      </c>
      <c r="M38" s="1138">
        <f ca="1">C34</f>
        <v>4483</v>
      </c>
      <c r="N38" s="1138">
        <f ca="1">C33</f>
        <v>2241</v>
      </c>
      <c r="O38" s="1139">
        <f ca="1">C32</f>
        <v>12590</v>
      </c>
      <c r="P38" s="1752"/>
      <c r="V38" s="1752"/>
    </row>
    <row r="39" spans="1:26" ht="16.5" customHeight="1" thickBot="1">
      <c r="A39" s="1134"/>
      <c r="B39" s="299"/>
      <c r="C39" s="300"/>
      <c r="D39" s="300"/>
      <c r="E39" s="301"/>
      <c r="F39" s="302"/>
      <c r="G39" s="302"/>
      <c r="H39" s="302"/>
      <c r="I39" s="302"/>
      <c r="J39" s="1754"/>
      <c r="K39" s="3802" t="str">
        <f>MID(A44,3,LEN(A44)-2)</f>
        <v>抵押价格</v>
      </c>
      <c r="L39" s="3803"/>
      <c r="M39" s="3803"/>
      <c r="N39" s="3804"/>
      <c r="O39" s="1247">
        <f ca="1">C44</f>
        <v>12590</v>
      </c>
      <c r="P39" s="1752"/>
      <c r="V39" s="1752"/>
    </row>
    <row r="40" spans="1:26" ht="19.5" thickBot="1">
      <c r="A40" s="100" t="s">
        <v>810</v>
      </c>
      <c r="B40" s="302"/>
      <c r="C40" s="302"/>
      <c r="D40" s="302"/>
      <c r="E40" s="302"/>
      <c r="F40" s="302"/>
      <c r="G40" s="302"/>
      <c r="H40" s="302"/>
      <c r="I40" s="302"/>
      <c r="J40" s="1754"/>
      <c r="K40" s="3802" t="str">
        <f>MID(A45,3,LEN(A45)-2)</f>
        <v/>
      </c>
      <c r="L40" s="3803"/>
      <c r="M40" s="3803"/>
      <c r="N40" s="3804"/>
      <c r="O40" s="1247" t="str">
        <f>C45</f>
        <v>——</v>
      </c>
      <c r="P40" s="1752"/>
      <c r="V40" s="1752"/>
    </row>
    <row r="41" spans="1:26" ht="16.5" thickBot="1">
      <c r="A41" s="303" t="s">
        <v>322</v>
      </c>
      <c r="B41" s="304"/>
      <c r="C41" s="305" t="s">
        <v>323</v>
      </c>
      <c r="D41" s="306" t="s">
        <v>324</v>
      </c>
      <c r="E41" s="306" t="s">
        <v>325</v>
      </c>
      <c r="F41" s="307" t="s">
        <v>326</v>
      </c>
      <c r="G41" s="302"/>
      <c r="H41" s="302"/>
      <c r="I41" s="302"/>
      <c r="J41" s="1754"/>
      <c r="K41" s="3802" t="str">
        <f>MID(A46,3,LEN(A46)-2)</f>
        <v/>
      </c>
      <c r="L41" s="3803"/>
      <c r="M41" s="3803"/>
      <c r="N41" s="3804"/>
      <c r="O41" s="1247" t="str">
        <f>C46</f>
        <v>——</v>
      </c>
      <c r="P41" s="1752"/>
      <c r="V41" s="1752"/>
    </row>
    <row r="42" spans="1:26" ht="29.25">
      <c r="A42" s="3831" t="s">
        <v>1585</v>
      </c>
      <c r="B42" s="3832"/>
      <c r="C42" s="255">
        <f ca="1">C32</f>
        <v>12590</v>
      </c>
      <c r="D42" s="308">
        <f ca="1">C33</f>
        <v>2241</v>
      </c>
      <c r="E42" s="308">
        <f ca="1">C34</f>
        <v>4483</v>
      </c>
      <c r="F42" s="309">
        <f ca="1">C35</f>
        <v>299</v>
      </c>
      <c r="G42" s="302"/>
      <c r="H42" s="302"/>
      <c r="I42" s="310"/>
      <c r="J42" s="1754"/>
      <c r="K42" s="1140" t="s">
        <v>327</v>
      </c>
      <c r="L42" s="1771" t="s">
        <v>328</v>
      </c>
      <c r="M42" s="1141" t="s">
        <v>329</v>
      </c>
      <c r="N42" s="1772" t="s">
        <v>330</v>
      </c>
      <c r="O42" s="1773" t="s">
        <v>331</v>
      </c>
      <c r="P42" s="1752"/>
      <c r="V42" s="1752"/>
    </row>
    <row r="43" spans="1:26" ht="30">
      <c r="A43" s="3841" t="s">
        <v>2012</v>
      </c>
      <c r="B43" s="3842"/>
      <c r="C43" s="255">
        <f>IF(H33="正常操作",G33+G34+G35,G34+G35)</f>
        <v>0</v>
      </c>
      <c r="D43" s="308" t="s">
        <v>17</v>
      </c>
      <c r="E43" s="308" t="s">
        <v>18</v>
      </c>
      <c r="F43" s="309" t="s">
        <v>18</v>
      </c>
      <c r="G43" s="2346" t="s">
        <v>877</v>
      </c>
      <c r="H43" s="302"/>
      <c r="I43" s="310"/>
      <c r="J43" s="1754"/>
      <c r="K43" s="1142" t="str">
        <f>C4</f>
        <v>比较法-住宅、综合</v>
      </c>
      <c r="L43" s="1143">
        <f ca="1">IF(L42="估价结果/万元",C19,C20)</f>
        <v>15688</v>
      </c>
      <c r="M43" s="1144">
        <f>C18</f>
        <v>0.4</v>
      </c>
      <c r="N43" s="1145">
        <f ca="1">IF(N42="测算结果/万元",G19,G20)</f>
        <v>12590</v>
      </c>
      <c r="O43" s="1146">
        <f ca="1">IF(O42="最终结果/万元",C32,C33)</f>
        <v>12590</v>
      </c>
      <c r="P43" s="1752"/>
      <c r="V43" s="1752"/>
    </row>
    <row r="44" spans="1:26" ht="30.75" thickBot="1">
      <c r="A44" s="3831" t="str">
        <f>IF(OR(项目基本情况!E8="抵押价格",项目基本情况!E8="已注销及未注销"),"3.抵押价格","——")</f>
        <v>3.抵押价格</v>
      </c>
      <c r="B44" s="3832"/>
      <c r="C44" s="255">
        <f ca="1">IF(A44="——","——",C42-C43)</f>
        <v>12590</v>
      </c>
      <c r="D44" s="308">
        <f ca="1">ROUND(C44*10000/'数据-汇总表'!E3,0)</f>
        <v>2241</v>
      </c>
      <c r="E44" s="308">
        <f ca="1">ROUND(C44*10000/'数据-汇总表'!D3,0)</f>
        <v>4483</v>
      </c>
      <c r="F44" s="309">
        <f ca="1">ROUND(C44/('数据-汇总表'!D3/666.67),0)</f>
        <v>299</v>
      </c>
      <c r="G44" s="302"/>
      <c r="H44" s="302"/>
      <c r="I44" s="310"/>
      <c r="J44" s="1754"/>
      <c r="K44" s="1147" t="str">
        <f>D4</f>
        <v>剩余法-待开发</v>
      </c>
      <c r="L44" s="1148">
        <f ca="1">IF(L42="估价结果/万元",D19,D20)</f>
        <v>10524</v>
      </c>
      <c r="M44" s="1149">
        <f>D18</f>
        <v>0.6</v>
      </c>
      <c r="N44" s="1150"/>
      <c r="O44" s="1151"/>
      <c r="P44" s="1752"/>
      <c r="V44" s="1752"/>
    </row>
    <row r="45" spans="1:26" ht="15">
      <c r="A45" s="3836" t="str">
        <f>IF(项目基本情况!E8="已注销及未注销","4.抵押担保权已注销时的抵押价格",IF(项目基本情况!E8="已注销","3.抵押担保权已注销时的抵押价格","——"))</f>
        <v>——</v>
      </c>
      <c r="B45" s="3837"/>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33" t="str">
        <f>IF(项目基本情况!E9="抵押净值",IF(A45="——","4.抵押净值","5.抵押净值"),"——")</f>
        <v>——</v>
      </c>
      <c r="B46" s="3834"/>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794" t="s">
        <v>340</v>
      </c>
      <c r="B63" s="3795"/>
      <c r="C63" s="3796"/>
      <c r="D63" s="332">
        <f ca="1">ROUND(C42*F63,0)</f>
        <v>12590</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38" t="s">
        <v>344</v>
      </c>
      <c r="B64" s="3839"/>
      <c r="C64" s="3839"/>
      <c r="D64" s="3839"/>
      <c r="E64" s="3839"/>
      <c r="F64" s="3839"/>
      <c r="G64" s="3840"/>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35" t="s">
        <v>352</v>
      </c>
      <c r="B66" s="3801"/>
      <c r="C66" s="3801"/>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762" t="s">
        <v>351</v>
      </c>
      <c r="M66" s="3763"/>
      <c r="N66" s="2110"/>
      <c r="O66" s="2111"/>
      <c r="P66" s="2112"/>
      <c r="Q66" s="1752"/>
      <c r="R66" s="1752"/>
      <c r="S66" s="1752"/>
      <c r="T66" s="1752"/>
      <c r="U66" s="1752"/>
      <c r="V66" s="1752"/>
    </row>
    <row r="67" spans="1:22" ht="25.5" customHeight="1">
      <c r="A67" s="343" t="s">
        <v>355</v>
      </c>
      <c r="B67" s="3813" t="s">
        <v>356</v>
      </c>
      <c r="C67" s="3813"/>
      <c r="D67" s="344">
        <v>0</v>
      </c>
      <c r="E67" s="39" t="s">
        <v>357</v>
      </c>
      <c r="F67" s="60" t="s">
        <v>15</v>
      </c>
      <c r="G67" s="3797"/>
      <c r="H67" s="2749" t="s">
        <v>2257</v>
      </c>
      <c r="I67" s="2751"/>
      <c r="J67" s="1759"/>
      <c r="K67" s="1731">
        <v>2</v>
      </c>
      <c r="L67" s="3767" t="s">
        <v>354</v>
      </c>
      <c r="M67" s="3767"/>
      <c r="N67" s="1194">
        <f>'数据-取费表'!B2</f>
        <v>45028</v>
      </c>
      <c r="O67" s="1194"/>
      <c r="P67" s="1194"/>
      <c r="Q67" s="1752"/>
      <c r="R67" s="1752"/>
      <c r="S67" s="1752"/>
      <c r="T67" s="1752"/>
      <c r="U67" s="1752"/>
      <c r="V67" s="1752"/>
    </row>
    <row r="68" spans="1:22" ht="25.5" customHeight="1">
      <c r="A68" s="345"/>
      <c r="B68" s="3813" t="s">
        <v>359</v>
      </c>
      <c r="C68" s="3813"/>
      <c r="D68" s="346"/>
      <c r="E68" s="75"/>
      <c r="F68" s="347"/>
      <c r="G68" s="3798"/>
      <c r="H68" s="2750" t="s">
        <v>2258</v>
      </c>
      <c r="I68" s="2751"/>
      <c r="J68" s="1759"/>
      <c r="K68" s="1731">
        <v>3</v>
      </c>
      <c r="L68" s="3767" t="s">
        <v>358</v>
      </c>
      <c r="M68" s="3767"/>
      <c r="N68" s="1162">
        <f ca="1">C42</f>
        <v>12590</v>
      </c>
      <c r="O68" s="1162"/>
      <c r="P68" s="1162"/>
      <c r="Q68" s="1752"/>
      <c r="R68" s="1752"/>
      <c r="S68" s="1752"/>
      <c r="T68" s="1752"/>
      <c r="U68" s="1752"/>
      <c r="V68" s="1752"/>
    </row>
    <row r="69" spans="1:22" ht="23.45" customHeight="1">
      <c r="A69" s="348"/>
      <c r="B69" s="3813" t="s">
        <v>360</v>
      </c>
      <c r="C69" s="3813"/>
      <c r="D69" s="349"/>
      <c r="E69" s="71"/>
      <c r="F69" s="347"/>
      <c r="G69" s="3799"/>
      <c r="H69" s="2750" t="s">
        <v>2259</v>
      </c>
      <c r="I69" s="2751"/>
      <c r="J69" s="1759"/>
      <c r="K69" s="1163">
        <v>4</v>
      </c>
      <c r="L69" s="3768" t="s">
        <v>2157</v>
      </c>
      <c r="M69" s="3769"/>
      <c r="N69" s="1164">
        <f ca="1">C44</f>
        <v>12590</v>
      </c>
      <c r="O69" s="1164"/>
      <c r="P69" s="1164"/>
      <c r="Q69" s="1752"/>
      <c r="R69" s="1752"/>
      <c r="S69" s="1752"/>
      <c r="T69" s="1752"/>
      <c r="U69" s="1752"/>
      <c r="V69" s="1752"/>
    </row>
    <row r="70" spans="1:22" ht="24" customHeight="1">
      <c r="A70" s="350" t="s">
        <v>361</v>
      </c>
      <c r="B70" s="3813" t="s">
        <v>362</v>
      </c>
      <c r="C70" s="3813"/>
      <c r="D70" s="349">
        <f ca="1">ROUND(D63*'数据-取费表'!B41/(1+'数据-取费表'!C42),0)</f>
        <v>659</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12" t="s">
        <v>2286</v>
      </c>
      <c r="C71" s="3829"/>
      <c r="D71" s="349">
        <f ca="1">ROUND(D63*'数据-取费表'!B41/(1+'数据-取费表'!C42),0)</f>
        <v>659</v>
      </c>
      <c r="E71" s="15" t="s">
        <v>363</v>
      </c>
      <c r="F71" s="351">
        <f>'数据-取费表'!B41</f>
        <v>5.5000000000000007E-2</v>
      </c>
      <c r="G71" s="352"/>
      <c r="H71" s="302"/>
      <c r="I71" s="1161"/>
      <c r="J71" s="1759"/>
      <c r="K71" s="2521" t="s">
        <v>364</v>
      </c>
      <c r="L71" s="3770" t="s">
        <v>365</v>
      </c>
      <c r="M71" s="3770"/>
      <c r="N71" s="2521" t="s">
        <v>366</v>
      </c>
      <c r="O71" s="2521" t="s">
        <v>367</v>
      </c>
      <c r="P71" s="2521" t="s">
        <v>368</v>
      </c>
      <c r="Q71" s="1752"/>
      <c r="R71" s="1752"/>
      <c r="S71" s="1752"/>
      <c r="T71" s="1752"/>
      <c r="U71" s="1752"/>
      <c r="V71" s="1752"/>
    </row>
    <row r="72" spans="1:22" ht="12" customHeight="1">
      <c r="A72" s="350" t="s">
        <v>371</v>
      </c>
      <c r="B72" s="3812" t="s">
        <v>2287</v>
      </c>
      <c r="C72" s="3829"/>
      <c r="D72" s="349">
        <f ca="1">C86</f>
        <v>659</v>
      </c>
      <c r="E72" s="71" t="s">
        <v>372</v>
      </c>
      <c r="F72" s="351">
        <f>'数据-取费表'!B41</f>
        <v>5.5000000000000007E-2</v>
      </c>
      <c r="G72" s="352"/>
      <c r="H72" s="1167"/>
      <c r="I72" s="1161"/>
      <c r="J72" s="1759"/>
      <c r="K72" s="1731">
        <v>1</v>
      </c>
      <c r="L72" s="3766" t="s">
        <v>370</v>
      </c>
      <c r="M72" s="3766"/>
      <c r="N72" s="1165" t="b">
        <f>D66</f>
        <v>0</v>
      </c>
      <c r="O72" s="1636" t="str">
        <f>E66</f>
        <v>销售额×税（费）率</v>
      </c>
      <c r="P72" s="1166">
        <f>F66</f>
        <v>5.5000000000000007E-2</v>
      </c>
      <c r="Q72" s="1752"/>
      <c r="R72" s="1752"/>
      <c r="S72" s="1752"/>
      <c r="T72" s="1752"/>
      <c r="U72" s="1752"/>
      <c r="V72" s="1752"/>
    </row>
    <row r="73" spans="1:22" ht="24" customHeight="1">
      <c r="A73" s="3800" t="s">
        <v>374</v>
      </c>
      <c r="B73" s="3801"/>
      <c r="C73" s="3801"/>
      <c r="D73" s="353">
        <f ca="1">IF(H73="个人住宅",0,ROUND(D63*I73,0))</f>
        <v>6</v>
      </c>
      <c r="E73" s="15" t="s">
        <v>375</v>
      </c>
      <c r="F73" s="351" t="str">
        <f>IF(H73="正常",I73,"免征")</f>
        <v>免征</v>
      </c>
      <c r="G73" s="352"/>
      <c r="H73" s="184"/>
      <c r="I73" s="351">
        <f>'数据-取费表'!B49</f>
        <v>5.0000000000000001E-4</v>
      </c>
      <c r="J73" s="1759"/>
      <c r="K73" s="1731">
        <v>2</v>
      </c>
      <c r="L73" s="3766" t="s">
        <v>373</v>
      </c>
      <c r="M73" s="3766"/>
      <c r="N73" s="1165">
        <f t="shared" ref="N73:P74" ca="1" si="0">D73</f>
        <v>6</v>
      </c>
      <c r="O73" s="1636" t="str">
        <f t="shared" si="0"/>
        <v>销售额×税（费）率</v>
      </c>
      <c r="P73" s="1166" t="str">
        <f t="shared" si="0"/>
        <v>免征</v>
      </c>
      <c r="Q73" s="1752"/>
      <c r="R73" s="1752"/>
      <c r="S73" s="1752"/>
      <c r="T73" s="1752"/>
      <c r="U73" s="1752"/>
      <c r="V73" s="1752"/>
    </row>
    <row r="74" spans="1:22" ht="24.75">
      <c r="A74" s="3800" t="s">
        <v>377</v>
      </c>
      <c r="B74" s="3801"/>
      <c r="C74" s="3801"/>
      <c r="D74" s="353">
        <f ca="1">IF(H74="个人住宅",D75,D76)</f>
        <v>7137</v>
      </c>
      <c r="E74" s="15" t="s">
        <v>378</v>
      </c>
      <c r="F74" s="351" t="str">
        <f>IF(H74="正常",F76,"免征")</f>
        <v>免征</v>
      </c>
      <c r="G74" s="945" t="s">
        <v>379</v>
      </c>
      <c r="H74" s="354"/>
      <c r="I74" s="40"/>
      <c r="J74" s="1759"/>
      <c r="K74" s="1731">
        <v>3</v>
      </c>
      <c r="L74" s="3766" t="s">
        <v>376</v>
      </c>
      <c r="M74" s="3766"/>
      <c r="N74" s="1165">
        <f t="shared" ca="1" si="0"/>
        <v>7137</v>
      </c>
      <c r="O74" s="1636" t="str">
        <f t="shared" si="0"/>
        <v>增值额×税（费）率</v>
      </c>
      <c r="P74" s="1168" t="str">
        <f t="shared" si="0"/>
        <v>免征</v>
      </c>
      <c r="Q74" s="1752"/>
      <c r="R74" s="1752"/>
      <c r="S74" s="1752"/>
      <c r="T74" s="1752"/>
      <c r="U74" s="1752"/>
      <c r="V74" s="1752"/>
    </row>
    <row r="75" spans="1:22" ht="12.75">
      <c r="A75" s="350" t="s">
        <v>380</v>
      </c>
      <c r="B75" s="3781" t="s">
        <v>381</v>
      </c>
      <c r="C75" s="3782"/>
      <c r="D75" s="355">
        <v>0</v>
      </c>
      <c r="E75" s="39" t="s">
        <v>382</v>
      </c>
      <c r="F75" s="356"/>
      <c r="G75" s="352"/>
      <c r="H75" s="40"/>
      <c r="I75" s="40"/>
      <c r="J75" s="1759"/>
      <c r="K75" s="2515">
        <f>IF(H77="非个人房产","",4)</f>
        <v>4</v>
      </c>
      <c r="L75" s="3766" t="str">
        <f>IF(H77="非个人房产","——","个人所得税")</f>
        <v>个人所得税</v>
      </c>
      <c r="M75" s="3766"/>
      <c r="N75" s="1169">
        <f>D77</f>
        <v>0</v>
      </c>
      <c r="O75" s="1637" t="str">
        <f>E77</f>
        <v>差额计税</v>
      </c>
      <c r="P75" s="1170">
        <f>F77</f>
        <v>0.01</v>
      </c>
      <c r="Q75" s="1752"/>
      <c r="R75" s="1752"/>
      <c r="S75" s="1752"/>
      <c r="T75" s="1752"/>
      <c r="U75" s="1752"/>
      <c r="V75" s="1752"/>
    </row>
    <row r="76" spans="1:22" ht="24.75">
      <c r="A76" s="350" t="s">
        <v>361</v>
      </c>
      <c r="B76" s="3781" t="s">
        <v>384</v>
      </c>
      <c r="C76" s="3823"/>
      <c r="D76" s="353">
        <f ca="1">IF(H76="转让取得",C99,C115)</f>
        <v>7137</v>
      </c>
      <c r="E76" s="15" t="s">
        <v>385</v>
      </c>
      <c r="F76" s="51" t="s">
        <v>15</v>
      </c>
      <c r="G76" s="352"/>
      <c r="H76" s="354"/>
      <c r="I76" s="40"/>
      <c r="J76" s="1759"/>
      <c r="K76" s="2515" t="str">
        <f>IF(项目基本情况!K6="上海银行",IF(K75="",4,K75+1),"")</f>
        <v/>
      </c>
      <c r="L76" s="3777" t="str">
        <f>IF(项目基本情况!K6="上海银行","其他处置费用","")</f>
        <v/>
      </c>
      <c r="M76" s="3778"/>
      <c r="N76" s="1165" t="str">
        <f>IF(项目基本情况!K6="上海银行",N89,"")</f>
        <v/>
      </c>
      <c r="O76" s="3779" t="str">
        <f>IF(项目基本情况!K6="上海银行","包含处置中涉及的律师、诉讼、拍卖、评估等费用","")</f>
        <v/>
      </c>
      <c r="P76" s="3780"/>
      <c r="Q76" s="1752"/>
      <c r="R76" s="1752"/>
      <c r="S76" s="1752"/>
      <c r="T76" s="1752"/>
      <c r="U76" s="1752"/>
      <c r="V76" s="1752"/>
    </row>
    <row r="77" spans="1:22" ht="24.75" thickBot="1">
      <c r="A77" s="3792" t="s">
        <v>387</v>
      </c>
      <c r="B77" s="3793"/>
      <c r="C77" s="3793"/>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788">
        <f>IF(AND(K75="",K76=""),4,IF(项目基本情况!K6="上海银行",K76+1,K75+1))</f>
        <v>5</v>
      </c>
      <c r="L77" s="3766" t="s">
        <v>2158</v>
      </c>
      <c r="M77" s="2520" t="s">
        <v>383</v>
      </c>
      <c r="N77" s="1171"/>
      <c r="O77" s="1172">
        <f ca="1">SUMIF(N72:N76,"&lt;9e307")</f>
        <v>7143</v>
      </c>
      <c r="P77" s="1173"/>
      <c r="Q77" s="2518">
        <f ca="1">O77/N69</f>
        <v>0.56735504368546463</v>
      </c>
      <c r="R77" s="1752"/>
      <c r="S77" s="1752"/>
      <c r="T77" s="1752"/>
      <c r="U77" s="1752"/>
      <c r="V77" s="1752"/>
    </row>
    <row r="78" spans="1:22" ht="12" customHeight="1">
      <c r="A78" s="1174"/>
      <c r="B78" s="302"/>
      <c r="C78" s="302"/>
      <c r="D78" s="302"/>
      <c r="E78" s="40"/>
      <c r="F78" s="40"/>
      <c r="G78" s="40"/>
      <c r="H78" s="965"/>
      <c r="I78" s="302"/>
      <c r="J78" s="1759"/>
      <c r="K78" s="3788"/>
      <c r="L78" s="3766"/>
      <c r="M78" s="2520" t="s">
        <v>386</v>
      </c>
      <c r="N78" s="1171"/>
      <c r="O78" s="1172" t="str">
        <f ca="1">NUMBERSTRING(INT(O77*10000),2)&amp;"元整"</f>
        <v>柒仟壹佰肆拾叁万元整</v>
      </c>
      <c r="P78" s="1173"/>
      <c r="Q78" s="1752"/>
      <c r="R78" s="1752"/>
      <c r="S78" s="1752"/>
      <c r="T78" s="1752"/>
      <c r="U78" s="1752"/>
      <c r="V78" s="1752"/>
    </row>
    <row r="79" spans="1:22" ht="13.5" thickBot="1">
      <c r="A79" s="3843" t="s">
        <v>388</v>
      </c>
      <c r="B79" s="3843"/>
      <c r="C79" s="3843"/>
      <c r="D79" s="3843"/>
      <c r="E79" s="3843"/>
      <c r="F79" s="40"/>
      <c r="G79" s="40"/>
      <c r="H79" s="965"/>
      <c r="I79" s="302"/>
      <c r="J79" s="1759"/>
      <c r="K79" s="3764">
        <f>K77+1</f>
        <v>6</v>
      </c>
      <c r="L79" s="3766" t="s">
        <v>2159</v>
      </c>
      <c r="M79" s="2520" t="s">
        <v>383</v>
      </c>
      <c r="N79" s="1171"/>
      <c r="O79" s="1172">
        <f ca="1">N69-O77</f>
        <v>5447</v>
      </c>
      <c r="P79" s="1173"/>
      <c r="Q79" s="1752"/>
      <c r="R79" s="1752"/>
      <c r="S79" s="1752"/>
      <c r="T79" s="1752"/>
      <c r="U79" s="1752"/>
      <c r="V79" s="1752"/>
    </row>
    <row r="80" spans="1:22" ht="25.5">
      <c r="A80" s="3774" t="s">
        <v>389</v>
      </c>
      <c r="B80" s="3775"/>
      <c r="C80" s="956"/>
      <c r="D80" s="956" t="s">
        <v>390</v>
      </c>
      <c r="E80" s="357" t="s">
        <v>391</v>
      </c>
      <c r="F80" s="40"/>
      <c r="G80" s="40"/>
      <c r="H80" s="965"/>
      <c r="I80" s="302"/>
      <c r="J80" s="1752"/>
      <c r="K80" s="3765"/>
      <c r="L80" s="3766"/>
      <c r="M80" s="2520" t="s">
        <v>386</v>
      </c>
      <c r="N80" s="1171"/>
      <c r="O80" s="1172" t="str">
        <f ca="1">NUMBERSTRING(INT(O79*10000),2)&amp;"元整"</f>
        <v>伍仟肆佰肆拾柒万元整</v>
      </c>
      <c r="P80" s="1173"/>
      <c r="Q80" s="1752"/>
      <c r="R80" s="1752"/>
      <c r="S80" s="1752"/>
      <c r="T80" s="1752"/>
      <c r="U80" s="1752"/>
      <c r="V80" s="1752"/>
    </row>
    <row r="81" spans="1:26" ht="13.5" thickBot="1">
      <c r="A81" s="368" t="s">
        <v>1352</v>
      </c>
      <c r="B81" s="358" t="s">
        <v>392</v>
      </c>
      <c r="C81" s="359">
        <f ca="1">ROUND((C82+C83)/(1+'数据-取费表'!C42),0)</f>
        <v>11990</v>
      </c>
      <c r="D81" s="360"/>
      <c r="E81" s="361"/>
      <c r="F81" s="40"/>
      <c r="G81" s="40"/>
      <c r="H81" s="965"/>
      <c r="I81" s="302"/>
      <c r="J81" s="1752"/>
      <c r="K81" s="2515">
        <f>K79+1</f>
        <v>7</v>
      </c>
      <c r="L81" s="3786" t="s">
        <v>2160</v>
      </c>
      <c r="M81" s="3787"/>
      <c r="N81" s="1175"/>
      <c r="O81" s="1176">
        <f ca="1">ROUND(O79*10000/'数据-汇总表'!E3,0)</f>
        <v>970</v>
      </c>
      <c r="P81" s="1177"/>
      <c r="Q81" s="1752"/>
      <c r="R81" s="1752"/>
      <c r="S81" s="1752"/>
      <c r="T81" s="1752"/>
      <c r="U81" s="1752"/>
      <c r="V81" s="1752"/>
    </row>
    <row r="82" spans="1:26" ht="13.5" thickTop="1">
      <c r="A82" s="362" t="s">
        <v>1353</v>
      </c>
      <c r="B82" s="363" t="s">
        <v>393</v>
      </c>
      <c r="C82" s="364">
        <f ca="1">D63</f>
        <v>12590</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76" t="s">
        <v>2148</v>
      </c>
      <c r="L83" s="2526" t="s">
        <v>2149</v>
      </c>
      <c r="M83" s="2516">
        <f ca="1">IF(N69&gt;10000,N69*0.5%,IF(AND(N69&gt;1000,N69&lt;=10000),N69*1%,IF(AND(N69&gt;100,N69&lt;=1000),N69*3%,IF(AND(N69&gt;10,N69&lt;=100),N69*5%,N69*8%))))</f>
        <v>62.95</v>
      </c>
      <c r="N83" s="51">
        <f ca="1">ROUND(M83,1)</f>
        <v>63</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776"/>
      <c r="L84" s="2526" t="s">
        <v>2150</v>
      </c>
      <c r="M84" s="2516">
        <f ca="1">IF(N69&gt;2000,N69*0.5%,IF(AND(N69&gt;1000,N69&lt;=2000),N69*0.6%,IF(AND(N69&gt;500,N69&lt;=1000),N69*0.7%,IF(AND(N69&gt;200,N69&lt;=500),N69*0.8%,IF(AND(N69&gt;100,N69&lt;=200),N69*0.9%,IF(AND(N69&gt;50,N69&lt;=100),N69*1%,IF(AND(N69&gt;20,N69&lt;=50),N69*1.5%,IF(AND(N69&gt;10,N69&lt;=20),N69*2%,IF(AND(N69&gt;1,N69&lt;=10),N69*2.5%)))))))))</f>
        <v>62.95</v>
      </c>
      <c r="N84" s="51">
        <f ca="1">ROUND(M84,1)</f>
        <v>63</v>
      </c>
      <c r="O84" s="1752" t="s">
        <v>2151</v>
      </c>
      <c r="P84" s="1752"/>
      <c r="Q84" s="1752"/>
      <c r="R84" s="1752"/>
      <c r="S84" s="1752"/>
      <c r="T84" s="1752"/>
      <c r="U84" s="1752"/>
      <c r="V84" s="1752"/>
    </row>
    <row r="85" spans="1:26" ht="12.75">
      <c r="A85" s="368" t="s">
        <v>1356</v>
      </c>
      <c r="B85" s="369" t="s">
        <v>396</v>
      </c>
      <c r="C85" s="372">
        <f ca="1">C81-C84</f>
        <v>11990</v>
      </c>
      <c r="D85" s="365" t="s">
        <v>13</v>
      </c>
      <c r="E85" s="366"/>
      <c r="F85" s="40"/>
      <c r="G85" s="40"/>
      <c r="H85" s="965"/>
      <c r="I85" s="302"/>
      <c r="J85" s="1752"/>
      <c r="K85" s="3776"/>
      <c r="L85" s="2526" t="s">
        <v>2152</v>
      </c>
      <c r="M85" s="2516">
        <f ca="1">IF(N69&gt;1000,N69*0.1%,IF(AND(N69&gt;500,N69&lt;=1000),N69*0.5%,IF(AND(N69&gt;50,N69&lt;=500),N69*1%,IF(AND(N69&gt;1,N69&lt;=50),N69*1.5%))))</f>
        <v>12.59</v>
      </c>
      <c r="N85" s="51">
        <f ca="1">ROUND(M85,1)</f>
        <v>12.6</v>
      </c>
      <c r="O85" s="1752" t="s">
        <v>2151</v>
      </c>
      <c r="P85" s="1752"/>
      <c r="Q85" s="1752"/>
      <c r="R85" s="1752"/>
      <c r="S85" s="1752"/>
      <c r="T85" s="1752"/>
      <c r="U85" s="1752"/>
      <c r="V85" s="1752"/>
    </row>
    <row r="86" spans="1:26" ht="13.5" thickBot="1">
      <c r="A86" s="373" t="s">
        <v>1357</v>
      </c>
      <c r="B86" s="374" t="s">
        <v>397</v>
      </c>
      <c r="C86" s="375">
        <f ca="1">IF(C85&lt;=0,0,ROUND(C85*D86,0))</f>
        <v>659</v>
      </c>
      <c r="D86" s="376">
        <f>'数据-取费表'!B41</f>
        <v>5.5000000000000007E-2</v>
      </c>
      <c r="E86" s="377"/>
      <c r="F86" s="40"/>
      <c r="G86" s="40"/>
      <c r="H86" s="965"/>
      <c r="I86" s="302"/>
      <c r="J86" s="1752"/>
      <c r="K86" s="3776"/>
      <c r="L86" s="2526" t="s">
        <v>2153</v>
      </c>
      <c r="M86" s="2516">
        <f ca="1">N69*0.5%</f>
        <v>62.95</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76"/>
      <c r="L87" s="2526" t="s">
        <v>2155</v>
      </c>
      <c r="M87" s="2516">
        <f ca="1">IF(N69&gt;=10000,(8.25+(N69-10000)*0.01%),IF(AND(N69&gt;=8000,N69&lt;10000),(7.85+(N69-8000)*0.02%),IF(AND(N69&gt;=5000,N69&lt;8000),(6.65+(N69-5000)*0.04%),IF(AND(N69&gt;=2000,N69&lt;5000),(4.25+(PN69-2000)*0.08%),IF(AND(N69&gt;=1000,N69&lt;2000),(2.75+(N69-1000)*0.15%),IF(AND(N69&gt;=100,N69&lt;1000),(0.5+(N69-100)*0.25%),IF(AND(N69&gt;0,N69&lt;100),N69*0.5%)))))))</f>
        <v>8.5090000000000003</v>
      </c>
      <c r="N87" s="51">
        <f ca="1">ROUND(M87*0.9,1)</f>
        <v>7.7</v>
      </c>
      <c r="O87" s="2519"/>
      <c r="P87" s="1752"/>
      <c r="Q87" s="1752"/>
      <c r="R87" s="1752"/>
      <c r="S87" s="1752"/>
      <c r="T87" s="1752"/>
      <c r="U87" s="1752"/>
      <c r="V87" s="1752"/>
      <c r="W87" s="283"/>
      <c r="X87" s="283"/>
      <c r="Y87" s="283"/>
      <c r="Z87" s="283"/>
    </row>
    <row r="88" spans="1:26" s="1183" customFormat="1" ht="15" thickBot="1">
      <c r="A88" s="3815" t="s">
        <v>398</v>
      </c>
      <c r="B88" s="3816"/>
      <c r="C88" s="3816"/>
      <c r="D88" s="3816"/>
      <c r="E88" s="3816"/>
      <c r="F88" s="3816"/>
      <c r="G88" s="3816"/>
      <c r="H88" s="3816"/>
      <c r="I88" s="1184"/>
      <c r="J88" s="1760"/>
      <c r="K88" s="3776"/>
      <c r="L88" s="2526" t="s">
        <v>2156</v>
      </c>
      <c r="M88" s="2516">
        <f ca="1">IF(N69&gt;10000,N69*0.5%,IF(AND(N69&gt;5000,N69&lt;=10000),N69*1%,IF(AND(N69&gt;1000,N69&lt;=5000),N69*2%,IF(AND(N69&gt;200,N69&lt;=1000),N69*3%,N69*5%))))</f>
        <v>62.95</v>
      </c>
      <c r="N88" s="51">
        <f ca="1">ROUND(M88,1)</f>
        <v>63</v>
      </c>
      <c r="O88" s="2519"/>
      <c r="P88" s="1757"/>
      <c r="Q88" s="1757"/>
      <c r="R88" s="1757"/>
      <c r="S88" s="1757"/>
      <c r="T88" s="1757"/>
      <c r="U88" s="1757"/>
      <c r="V88" s="1757"/>
      <c r="W88" s="1761"/>
      <c r="X88" s="1761"/>
      <c r="Y88" s="1761"/>
      <c r="Z88" s="1761"/>
    </row>
    <row r="89" spans="1:26" s="1183" customFormat="1" ht="14.25">
      <c r="A89" s="3774" t="s">
        <v>389</v>
      </c>
      <c r="B89" s="3775"/>
      <c r="C89" s="956"/>
      <c r="D89" s="956" t="s">
        <v>390</v>
      </c>
      <c r="E89" s="378" t="s">
        <v>399</v>
      </c>
      <c r="F89" s="379"/>
      <c r="G89" s="379"/>
      <c r="H89" s="380"/>
      <c r="I89" s="1185"/>
      <c r="J89" s="1762"/>
      <c r="K89" s="3776"/>
      <c r="L89" s="2526" t="s">
        <v>16</v>
      </c>
      <c r="M89" s="2517"/>
      <c r="N89" s="51">
        <f ca="1">ROUND(SUM(N83:N88),0)</f>
        <v>210</v>
      </c>
      <c r="O89" s="2527">
        <f ca="1">N89/N69</f>
        <v>1.6679904686258934E-2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11990</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60</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12" t="s">
        <v>407</v>
      </c>
      <c r="F94" s="3813"/>
      <c r="G94" s="3813"/>
      <c r="H94" s="3814"/>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60</v>
      </c>
      <c r="D96" s="393">
        <f>'数据-取费表'!B43</f>
        <v>5.000000000000001E-3</v>
      </c>
      <c r="E96" s="3771" t="s">
        <v>1780</v>
      </c>
      <c r="F96" s="3772"/>
      <c r="G96" s="3772"/>
      <c r="H96" s="3773"/>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11930</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198.83333333333334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7137</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15" t="s">
        <v>414</v>
      </c>
      <c r="B101" s="3816"/>
      <c r="C101" s="3816"/>
      <c r="D101" s="3816"/>
      <c r="E101" s="3816"/>
      <c r="F101" s="3816"/>
      <c r="G101" s="3816"/>
      <c r="H101" s="3816"/>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74" t="s">
        <v>389</v>
      </c>
      <c r="B102" s="3775"/>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11990</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60</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27" t="s">
        <v>2252</v>
      </c>
      <c r="H108" s="3828"/>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05" t="s">
        <v>422</v>
      </c>
      <c r="F109" s="3772"/>
      <c r="G109" s="3772"/>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05" t="s">
        <v>424</v>
      </c>
      <c r="F110" s="3772"/>
      <c r="G110" s="3772"/>
      <c r="H110" s="3773"/>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60</v>
      </c>
      <c r="D111" s="393">
        <f>'数据-取费表'!B43</f>
        <v>5.000000000000001E-3</v>
      </c>
      <c r="E111" s="3771" t="s">
        <v>1780</v>
      </c>
      <c r="F111" s="3772"/>
      <c r="G111" s="3772"/>
      <c r="H111" s="3773"/>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05" t="s">
        <v>1799</v>
      </c>
      <c r="F112" s="3772"/>
      <c r="G112" s="3772"/>
      <c r="H112" s="3773"/>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11930</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198.83333333333334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7137</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50" sqref="M5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31" s="1765" customFormat="1" ht="18" customHeight="1">
      <c r="A2" s="1824" t="s">
        <v>427</v>
      </c>
      <c r="B2" s="1828">
        <f ca="1">C36</f>
        <v>10524</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1874</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3747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250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41689</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851</v>
      </c>
      <c r="D7" s="423" t="s">
        <v>2741</v>
      </c>
      <c r="E7" s="423"/>
      <c r="F7" s="423"/>
      <c r="G7" s="423"/>
      <c r="H7" s="423"/>
      <c r="I7" s="423"/>
      <c r="J7" s="423"/>
      <c r="K7" s="424"/>
      <c r="AA7" s="1835"/>
      <c r="AB7" s="1835"/>
      <c r="AC7" s="1835"/>
      <c r="AD7" s="1835"/>
      <c r="AE7" s="1835"/>
    </row>
    <row r="8" spans="1:31" s="1838" customFormat="1" ht="13.5" customHeight="1">
      <c r="A8" s="769" t="s">
        <v>1374</v>
      </c>
      <c r="B8" s="252" t="s">
        <v>432</v>
      </c>
      <c r="C8" s="2314">
        <f>'不动产比较法-住宅'!B3</f>
        <v>7393</v>
      </c>
      <c r="D8" s="2314">
        <f ca="1">不动产收益法!B3</f>
        <v>7587</v>
      </c>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47743.96</v>
      </c>
      <c r="D9" s="428">
        <f>SUMIF('数据-汇总表'!$C19:$C33,'剩余法-待开发'!D7,'数据-汇总表'!$E19:$E33)</f>
        <v>8425.4</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ROUND(C9*C8/10000,0)</f>
        <v>35297</v>
      </c>
      <c r="D10" s="2502">
        <f ca="1">ROUND(D9*D8/10000,0)</f>
        <v>6392</v>
      </c>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16851</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506</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716</v>
      </c>
      <c r="D15" s="2324"/>
      <c r="E15" s="2325"/>
      <c r="F15" s="2329">
        <f>'数据-取费表'!B34</f>
        <v>0.05</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1123</v>
      </c>
      <c r="D16" s="2324">
        <f ca="1">IF(B1="",'数据-汇总表'!E3,INDIRECT("'数据-取费表'!K"&amp;$K$1)+INDIRECT("'数据-取费表'!S"&amp;$K$1))</f>
        <v>56169.36</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253</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19449</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562</v>
      </c>
      <c r="D19" s="2334">
        <f ca="1">D16</f>
        <v>56169.36</v>
      </c>
      <c r="E19" s="2288">
        <f>'数据-取费表'!B32</f>
        <v>100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674</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573</v>
      </c>
      <c r="D21" s="2324">
        <f ca="1">IF(B1="",'数据-汇总表'!E5,IF(INDIRECT("'数据-取费表'!c"&amp;$K$1)="住宅",INDIRECT("'数据-取费表'!k"&amp;$K$1),0))</f>
        <v>47743.96</v>
      </c>
      <c r="E21" s="51">
        <f>'数据-取费表'!B27</f>
        <v>120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101</v>
      </c>
      <c r="D22" s="2324">
        <f ca="1">IF(B1="",'数据-汇总表'!E6,IF(INDIRECT("'数据-取费表'!c"&amp;$K$1)="住宅",INDIRECT("'数据-取费表'!s"&amp;$K$1),INDIRECT("'数据-取费表'!k"&amp;$K$1)+INDIRECT("'数据-取费表'!s"&amp;$K$1)))</f>
        <v>8425.4000000000015</v>
      </c>
      <c r="E22" s="51">
        <f>'数据-取费表'!B28</f>
        <v>120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414</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834</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910</v>
      </c>
      <c r="D26" s="453">
        <f ca="1">C27</f>
        <v>8.72E-2</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8.72E-2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910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2184</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25027</v>
      </c>
      <c r="D30" s="463">
        <f ca="1">C32</f>
        <v>0.1162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25027</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0.1162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3290</v>
      </c>
      <c r="D33" s="453">
        <f ca="1">C34</f>
        <v>0.15440000000000001</v>
      </c>
      <c r="E33" s="455" t="s">
        <v>455</v>
      </c>
      <c r="F33" s="465">
        <f ca="1">IF(B1="",'数据-取费表'!Q16,INDIRECT("'数据-取费表'!q"&amp;$K$1))</f>
        <v>0.15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0.15440000000000001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3290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10524</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73" t="str">
        <f>项目基本情况!B1</f>
        <v>出让国有建设用地使用权抵押价格预评估</v>
      </c>
      <c r="C37" s="3673"/>
      <c r="D37" s="3673"/>
      <c r="E37" s="3673"/>
      <c r="F37" s="3673"/>
      <c r="G37" s="3673"/>
      <c r="H37" s="3673"/>
      <c r="I37" s="3673"/>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38" sqref="C38"/>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t="s">
        <v>851</v>
      </c>
      <c r="D7" s="423" t="s">
        <v>2741</v>
      </c>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47743.96</v>
      </c>
      <c r="D9" s="428">
        <f>SUMIF('数据-汇总表'!$C19:$C33,'剩余法-现房'!D7,'数据-汇总表'!$E19:$E33)</f>
        <v>8425.4</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16851</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506</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716</v>
      </c>
      <c r="D15" s="437"/>
      <c r="E15" s="356"/>
      <c r="F15" s="442">
        <f>'数据-取费表'!B34</f>
        <v>0.05</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1123</v>
      </c>
      <c r="D16" s="437">
        <f ca="1">IF(B1="",'数据-汇总表'!E3,INDIRECT("'数据-取费表'!K"&amp;$K$1)+INDIRECT("'数据-取费表'!S"&amp;$K$1))</f>
        <v>56169.36</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253</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19449</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389</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823</v>
      </c>
      <c r="D20" s="448">
        <f ca="1">ROUND(((1+F20)^'数据-取费表'!B20)-1,4)</f>
        <v>8.4699999999999998E-2</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2298</v>
      </c>
      <c r="B21" s="2503" t="s">
        <v>2107</v>
      </c>
      <c r="C21" s="464">
        <f ca="1">ROUND((C18+C19)*F21,0)</f>
        <v>2976</v>
      </c>
      <c r="D21" s="3029"/>
      <c r="E21" s="448"/>
      <c r="F21" s="465">
        <f ca="1">IF(B1="",'数据-取费表'!Q16,INDIRECT("'数据-取费表'!q"&amp;$K$1))</f>
        <v>0.15</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2299</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44" t="s">
        <v>1394</v>
      </c>
      <c r="B24" s="3845"/>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44" t="s">
        <v>2296</v>
      </c>
      <c r="B25" s="3845"/>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44" t="s">
        <v>2297</v>
      </c>
      <c r="B26" s="3845"/>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46" t="s">
        <v>2295</v>
      </c>
      <c r="B27" s="3847"/>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N53" sqref="N53"/>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f>F67</f>
        <v>15688</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f>ROUND(B2*10000/'数据-汇总表'!E3,0)</f>
        <v>2793</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f>IF(B48="单位面积地价",C50,ROUND(B2*10000/'数据-汇总表'!D3,0))</f>
        <v>5586</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372</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71" t="s">
        <v>471</v>
      </c>
      <c r="D6" s="3872"/>
      <c r="E6" s="3871" t="s">
        <v>472</v>
      </c>
      <c r="F6" s="3872"/>
      <c r="G6" s="3871" t="s">
        <v>473</v>
      </c>
      <c r="H6" s="3872"/>
      <c r="I6" s="3871" t="s">
        <v>474</v>
      </c>
      <c r="J6" s="3872"/>
      <c r="K6" s="484" t="s">
        <v>475</v>
      </c>
      <c r="L6" s="1856"/>
      <c r="M6" s="1855"/>
      <c r="N6" s="1855"/>
      <c r="O6" s="1857"/>
      <c r="P6" s="3873" t="s">
        <v>476</v>
      </c>
      <c r="Q6" s="3874"/>
      <c r="R6" s="3857" t="s">
        <v>472</v>
      </c>
      <c r="S6" s="3858"/>
      <c r="T6" s="3857" t="s">
        <v>473</v>
      </c>
      <c r="U6" s="3858"/>
      <c r="V6" s="3879" t="s">
        <v>474</v>
      </c>
      <c r="W6" s="3879"/>
      <c r="X6" s="1380"/>
      <c r="Y6" s="3857" t="s">
        <v>476</v>
      </c>
      <c r="Z6" s="3858"/>
      <c r="AA6" s="3852" t="s">
        <v>472</v>
      </c>
      <c r="AB6" s="3853" t="s">
        <v>473</v>
      </c>
      <c r="AC6" s="3852" t="s">
        <v>474</v>
      </c>
    </row>
    <row r="7" spans="1:30" ht="50.25" customHeight="1">
      <c r="A7" s="485"/>
      <c r="B7" s="486"/>
      <c r="C7" s="3882" t="str">
        <f>面积表!D3</f>
        <v>四川省成都市金堂县赵镇家珍村</v>
      </c>
      <c r="D7" s="3883"/>
      <c r="E7" s="3882" t="str">
        <f>土地案例!A4</f>
        <v>金堂县赵镇毗河南路以南、支路二十一以北(沱源北片区拟出让2号地块)</v>
      </c>
      <c r="F7" s="3883"/>
      <c r="G7" s="3882" t="str">
        <f>土地案例!A9</f>
        <v>金堂县赵镇环岛路以东、支路二十一以北(沱源北片区拟出让1号地块)</v>
      </c>
      <c r="H7" s="3883"/>
      <c r="I7" s="3882" t="str">
        <f>土地案例!A17</f>
        <v>金堂县赵镇毗河以东,金泉路以北(恒大以西H地块)</v>
      </c>
      <c r="J7" s="3883"/>
      <c r="K7" s="484"/>
      <c r="L7" s="1856"/>
      <c r="M7" s="1855"/>
      <c r="N7" s="1855"/>
      <c r="O7" s="1857"/>
      <c r="P7" s="3875"/>
      <c r="Q7" s="3876"/>
      <c r="R7" s="3859"/>
      <c r="S7" s="3860"/>
      <c r="T7" s="3859"/>
      <c r="U7" s="3860"/>
      <c r="V7" s="3879"/>
      <c r="W7" s="3879"/>
      <c r="X7" s="1380"/>
      <c r="Y7" s="3859"/>
      <c r="Z7" s="3860"/>
      <c r="AA7" s="3853"/>
      <c r="AB7" s="3853"/>
      <c r="AC7" s="3853"/>
    </row>
    <row r="8" spans="1:30" ht="21" thickBot="1">
      <c r="A8" s="485"/>
      <c r="B8" s="486"/>
      <c r="C8" s="3884" t="s">
        <v>2196</v>
      </c>
      <c r="D8" s="3885"/>
      <c r="E8" s="3884" t="s">
        <v>2196</v>
      </c>
      <c r="F8" s="3885"/>
      <c r="G8" s="3880" t="s">
        <v>2196</v>
      </c>
      <c r="H8" s="3881"/>
      <c r="I8" s="3880" t="s">
        <v>2196</v>
      </c>
      <c r="J8" s="3881"/>
      <c r="K8" s="484" t="s">
        <v>477</v>
      </c>
      <c r="L8" s="1856"/>
      <c r="M8" s="1855"/>
      <c r="N8" s="1855"/>
      <c r="O8" s="1857"/>
      <c r="P8" s="3877"/>
      <c r="Q8" s="3878"/>
      <c r="R8" s="3859"/>
      <c r="S8" s="3860"/>
      <c r="T8" s="3861"/>
      <c r="U8" s="3862"/>
      <c r="V8" s="3879"/>
      <c r="W8" s="3879"/>
      <c r="X8" s="1380"/>
      <c r="Y8" s="3861"/>
      <c r="Z8" s="3862"/>
      <c r="AA8" s="3854"/>
      <c r="AB8" s="3854"/>
      <c r="AC8" s="3854"/>
    </row>
    <row r="9" spans="1:30" s="1118" customFormat="1" ht="21" thickBot="1">
      <c r="A9" s="2392"/>
      <c r="B9" s="2399" t="s">
        <v>478</v>
      </c>
      <c r="C9" s="2391">
        <f>'数据-取费表'!B2</f>
        <v>45028</v>
      </c>
      <c r="D9" s="490">
        <v>100</v>
      </c>
      <c r="E9" s="491">
        <f>土地案例!AA4</f>
        <v>44658.000497685185</v>
      </c>
      <c r="F9" s="492">
        <f>SUMIF(71:71,YEAR(E9)&amp;"-"&amp;INT((MONTH(E9)+2)/3),72:72)</f>
        <v>99.199999999999989</v>
      </c>
      <c r="G9" s="493">
        <f>土地案例!AA9</f>
        <v>44547.000497685185</v>
      </c>
      <c r="H9" s="490">
        <f>SUMIF(71:71,YEAR(G9)&amp;"-"&amp;INT((MONTH(G9)+2)/3),72:72)</f>
        <v>98.799999999999983</v>
      </c>
      <c r="I9" s="493">
        <f>土地案例!AA17</f>
        <v>44152.000497685185</v>
      </c>
      <c r="J9" s="490">
        <f>SUMIF(71:71,YEAR(I9)&amp;"-"&amp;INT((MONTH(I9)+2)/3),72:72)</f>
        <v>97.999999999999972</v>
      </c>
      <c r="K9" s="494"/>
      <c r="L9" s="1858"/>
      <c r="M9" s="1855"/>
      <c r="N9" s="1855"/>
      <c r="O9" s="1859"/>
      <c r="P9" s="3855" t="s">
        <v>479</v>
      </c>
      <c r="Q9" s="3864"/>
      <c r="R9" s="1381" t="s">
        <v>5</v>
      </c>
      <c r="S9" s="1382">
        <f t="shared" ref="S9:S17" si="0">F9</f>
        <v>99.199999999999989</v>
      </c>
      <c r="T9" s="1381" t="s">
        <v>5</v>
      </c>
      <c r="U9" s="1382">
        <f t="shared" ref="U9:U17" si="1">H9</f>
        <v>98.799999999999983</v>
      </c>
      <c r="V9" s="1381" t="s">
        <v>5</v>
      </c>
      <c r="W9" s="1382">
        <f t="shared" ref="W9:W17" si="2">J9</f>
        <v>97.999999999999972</v>
      </c>
      <c r="X9" s="1383"/>
      <c r="Y9" s="3855" t="s">
        <v>479</v>
      </c>
      <c r="Z9" s="3856"/>
      <c r="AA9" s="1384">
        <f>D9/F9</f>
        <v>1.0080645161290325</v>
      </c>
      <c r="AB9" s="1384">
        <f>D9/H9</f>
        <v>1.0121457489878545</v>
      </c>
      <c r="AC9" s="1384">
        <f>D9/J9</f>
        <v>1.0204081632653064</v>
      </c>
    </row>
    <row r="10" spans="1:30" s="1118" customFormat="1" ht="21" thickBot="1">
      <c r="A10" s="2393"/>
      <c r="B10" s="2400" t="s">
        <v>480</v>
      </c>
      <c r="C10" s="821" t="s">
        <v>481</v>
      </c>
      <c r="D10" s="490">
        <v>100</v>
      </c>
      <c r="E10" s="495" t="s">
        <v>3686</v>
      </c>
      <c r="F10" s="492">
        <f>SUMIF(74:74,E10,75:75)-SUMIF(74:74,C10,75:75)+100</f>
        <v>100</v>
      </c>
      <c r="G10" s="495" t="s">
        <v>3686</v>
      </c>
      <c r="H10" s="490">
        <f>SUMIF(74:74,G10,75:75)-SUMIF(74:74,C10,75:75)+100</f>
        <v>100</v>
      </c>
      <c r="I10" s="495" t="s">
        <v>3686</v>
      </c>
      <c r="J10" s="490">
        <f>SUMIF(74:74,I10,75:75)-SUMIF(74:74,C10,75:75)+100</f>
        <v>100</v>
      </c>
      <c r="K10" s="494"/>
      <c r="L10" s="1858"/>
      <c r="M10" s="1855"/>
      <c r="N10" s="1855"/>
      <c r="O10" s="1859"/>
      <c r="P10" s="3855" t="s">
        <v>482</v>
      </c>
      <c r="Q10" s="3856"/>
      <c r="R10" s="1381" t="s">
        <v>5</v>
      </c>
      <c r="S10" s="1382">
        <f t="shared" si="0"/>
        <v>100</v>
      </c>
      <c r="T10" s="1381" t="s">
        <v>5</v>
      </c>
      <c r="U10" s="1382">
        <f t="shared" si="1"/>
        <v>100</v>
      </c>
      <c r="V10" s="1381" t="s">
        <v>5</v>
      </c>
      <c r="W10" s="1382">
        <f t="shared" si="2"/>
        <v>100</v>
      </c>
      <c r="X10" s="1383"/>
      <c r="Y10" s="3855" t="s">
        <v>482</v>
      </c>
      <c r="Z10" s="3856"/>
      <c r="AA10" s="1384">
        <f t="shared" ref="AA10:AA47" si="3">D10/F10</f>
        <v>1</v>
      </c>
      <c r="AB10" s="1384">
        <f t="shared" ref="AB10:AB47" si="4">D10/H10</f>
        <v>1</v>
      </c>
      <c r="AC10" s="1384">
        <f t="shared" ref="AC10:AC47" si="5">D10/J10</f>
        <v>1</v>
      </c>
    </row>
    <row r="11" spans="1:30" s="1118" customFormat="1" ht="20.25">
      <c r="A11" s="2394"/>
      <c r="B11" s="2401" t="s">
        <v>2038</v>
      </c>
      <c r="C11" s="2388" t="s">
        <v>3702</v>
      </c>
      <c r="D11" s="245">
        <v>100</v>
      </c>
      <c r="E11" s="2388" t="s">
        <v>3702</v>
      </c>
      <c r="F11" s="245">
        <f>SUMIF(76:76,E11,77:77)-SUMIF(76:76,C11,77:77)+100</f>
        <v>100</v>
      </c>
      <c r="G11" s="2388" t="s">
        <v>3702</v>
      </c>
      <c r="H11" s="245">
        <f>SUMIF(76:76,G11,77:77)-SUMIF(76:76,C11,77:77)+100</f>
        <v>100</v>
      </c>
      <c r="I11" s="2388" t="s">
        <v>3702</v>
      </c>
      <c r="J11" s="245">
        <f>SUMIF(76:76,I11,77:77)-SUMIF(76:76,C11,77:77)+100</f>
        <v>100</v>
      </c>
      <c r="K11" s="494"/>
      <c r="L11" s="1858"/>
      <c r="M11" s="1855"/>
      <c r="N11" s="1855"/>
      <c r="O11" s="1860"/>
      <c r="P11" s="3863" t="s">
        <v>484</v>
      </c>
      <c r="Q11" s="1050" t="str">
        <f t="shared" ref="Q11:Q17" si="6">B11</f>
        <v>用途</v>
      </c>
      <c r="R11" s="1381" t="s">
        <v>5</v>
      </c>
      <c r="S11" s="1382">
        <f t="shared" si="0"/>
        <v>100</v>
      </c>
      <c r="T11" s="1381" t="s">
        <v>5</v>
      </c>
      <c r="U11" s="1382">
        <f t="shared" si="1"/>
        <v>100</v>
      </c>
      <c r="V11" s="1381" t="s">
        <v>5</v>
      </c>
      <c r="W11" s="1382">
        <f t="shared" si="2"/>
        <v>100</v>
      </c>
      <c r="X11" s="1383"/>
      <c r="Y11" s="3811"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102</v>
      </c>
      <c r="G12" s="500"/>
      <c r="H12" s="246">
        <f>ROUND(100/'数据-取费表'!G16,0)</f>
        <v>102</v>
      </c>
      <c r="I12" s="500"/>
      <c r="J12" s="246">
        <f>ROUND(100/'数据-取费表'!G16,0)</f>
        <v>102</v>
      </c>
      <c r="K12" s="501"/>
      <c r="L12" s="1861"/>
      <c r="M12" s="1855"/>
      <c r="N12" s="1855"/>
      <c r="O12" s="1862"/>
      <c r="P12" s="3863"/>
      <c r="Q12" s="1050" t="str">
        <f t="shared" si="6"/>
        <v>土地使用年限（年）</v>
      </c>
      <c r="R12" s="1381" t="s">
        <v>5</v>
      </c>
      <c r="S12" s="1382">
        <f t="shared" si="0"/>
        <v>102</v>
      </c>
      <c r="T12" s="1381" t="s">
        <v>5</v>
      </c>
      <c r="U12" s="1382">
        <f t="shared" si="1"/>
        <v>102</v>
      </c>
      <c r="V12" s="1381" t="s">
        <v>5</v>
      </c>
      <c r="W12" s="1382">
        <f t="shared" si="2"/>
        <v>102</v>
      </c>
      <c r="X12" s="1383"/>
      <c r="Y12" s="3811"/>
      <c r="Z12" s="1049" t="str">
        <f t="shared" si="7"/>
        <v>土地使用年限（年）</v>
      </c>
      <c r="AA12" s="1384">
        <f t="shared" si="3"/>
        <v>0.98039215686274506</v>
      </c>
      <c r="AB12" s="1384">
        <f t="shared" si="4"/>
        <v>0.98039215686274506</v>
      </c>
      <c r="AC12" s="1384">
        <f t="shared" si="5"/>
        <v>0.98039215686274506</v>
      </c>
    </row>
    <row r="13" spans="1:30" ht="20.25">
      <c r="A13" s="2396"/>
      <c r="B13" s="2400" t="s">
        <v>2040</v>
      </c>
      <c r="C13" s="504">
        <v>2</v>
      </c>
      <c r="D13" s="246">
        <v>100</v>
      </c>
      <c r="E13" s="503">
        <v>2</v>
      </c>
      <c r="F13" s="246">
        <f>LOOKUP(E13,81:81,82:82)-LOOKUP(C13,81:81,82:82)+100</f>
        <v>100</v>
      </c>
      <c r="G13" s="504">
        <v>2</v>
      </c>
      <c r="H13" s="246">
        <f>LOOKUP(G13,81:81,82:82)-LOOKUP(C13,81:81,82:82)+100</f>
        <v>100</v>
      </c>
      <c r="I13" s="503">
        <v>2.25</v>
      </c>
      <c r="J13" s="246">
        <f>LOOKUP(I13,81:81,82:82)-LOOKUP(C13,81:81,82:82)+100</f>
        <v>100</v>
      </c>
      <c r="K13" s="505">
        <v>2</v>
      </c>
      <c r="L13" s="1863"/>
      <c r="M13" s="1855"/>
      <c r="N13" s="1855"/>
      <c r="O13" s="1864"/>
      <c r="P13" s="3863"/>
      <c r="Q13" s="1050" t="str">
        <f t="shared" si="6"/>
        <v>容积率</v>
      </c>
      <c r="R13" s="1381" t="s">
        <v>5</v>
      </c>
      <c r="S13" s="1382">
        <f t="shared" si="0"/>
        <v>100</v>
      </c>
      <c r="T13" s="1381" t="s">
        <v>5</v>
      </c>
      <c r="U13" s="1382">
        <f t="shared" si="1"/>
        <v>100</v>
      </c>
      <c r="V13" s="1381" t="s">
        <v>5</v>
      </c>
      <c r="W13" s="1382">
        <f t="shared" si="2"/>
        <v>100</v>
      </c>
      <c r="X13" s="1383"/>
      <c r="Y13" s="3811"/>
      <c r="Z13" s="1049" t="str">
        <f t="shared" si="7"/>
        <v>容积率</v>
      </c>
      <c r="AA13" s="1384">
        <f t="shared" si="3"/>
        <v>1</v>
      </c>
      <c r="AB13" s="1384">
        <f t="shared" si="4"/>
        <v>1</v>
      </c>
      <c r="AC13" s="1384">
        <f t="shared" si="5"/>
        <v>1</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63"/>
      <c r="Q14" s="1050" t="str">
        <f t="shared" si="6"/>
        <v>配建</v>
      </c>
      <c r="R14" s="1381" t="s">
        <v>5</v>
      </c>
      <c r="S14" s="1382">
        <f t="shared" si="0"/>
        <v>100</v>
      </c>
      <c r="T14" s="1381" t="s">
        <v>5</v>
      </c>
      <c r="U14" s="1382">
        <f t="shared" si="1"/>
        <v>100</v>
      </c>
      <c r="V14" s="1381" t="s">
        <v>5</v>
      </c>
      <c r="W14" s="1382">
        <f t="shared" si="2"/>
        <v>100</v>
      </c>
      <c r="X14" s="1383"/>
      <c r="Y14" s="3811"/>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63"/>
      <c r="Q15" s="1050">
        <f t="shared" si="6"/>
        <v>111</v>
      </c>
      <c r="R15" s="1381" t="s">
        <v>5</v>
      </c>
      <c r="S15" s="1382">
        <f t="shared" si="0"/>
        <v>100</v>
      </c>
      <c r="T15" s="1381" t="s">
        <v>5</v>
      </c>
      <c r="U15" s="1382">
        <f t="shared" si="1"/>
        <v>100</v>
      </c>
      <c r="V15" s="1381" t="s">
        <v>5</v>
      </c>
      <c r="W15" s="1382">
        <f t="shared" si="2"/>
        <v>100</v>
      </c>
      <c r="X15" s="1383"/>
      <c r="Y15" s="3811"/>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63"/>
      <c r="Q16" s="1050">
        <f t="shared" si="6"/>
        <v>111</v>
      </c>
      <c r="R16" s="1381" t="s">
        <v>5</v>
      </c>
      <c r="S16" s="1382">
        <f t="shared" si="0"/>
        <v>100</v>
      </c>
      <c r="T16" s="1381" t="s">
        <v>5</v>
      </c>
      <c r="U16" s="1382">
        <f t="shared" si="1"/>
        <v>100</v>
      </c>
      <c r="V16" s="1381" t="s">
        <v>5</v>
      </c>
      <c r="W16" s="1382">
        <f t="shared" si="2"/>
        <v>100</v>
      </c>
      <c r="X16" s="1383"/>
      <c r="Y16" s="3811"/>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v>5</v>
      </c>
      <c r="L17" s="1865"/>
      <c r="M17" s="1855"/>
      <c r="N17" s="1855"/>
      <c r="O17" s="1864"/>
      <c r="P17" s="3865" t="s">
        <v>489</v>
      </c>
      <c r="Q17" s="1385" t="str">
        <f t="shared" si="6"/>
        <v>居住社区成熟度</v>
      </c>
      <c r="R17" s="1386" t="s">
        <v>5</v>
      </c>
      <c r="S17" s="1387">
        <f t="shared" si="0"/>
        <v>100</v>
      </c>
      <c r="T17" s="1386" t="s">
        <v>5</v>
      </c>
      <c r="U17" s="1387">
        <f t="shared" si="1"/>
        <v>100</v>
      </c>
      <c r="V17" s="1386" t="s">
        <v>5</v>
      </c>
      <c r="W17" s="1387">
        <f t="shared" si="2"/>
        <v>100</v>
      </c>
      <c r="X17" s="1380"/>
      <c r="Y17" s="3865" t="s">
        <v>489</v>
      </c>
      <c r="Z17" s="1388" t="str">
        <f t="shared" si="7"/>
        <v>居住社区成熟度</v>
      </c>
      <c r="AA17" s="1389">
        <f t="shared" si="3"/>
        <v>1</v>
      </c>
      <c r="AB17" s="1389">
        <f t="shared" si="4"/>
        <v>1</v>
      </c>
      <c r="AC17" s="1389">
        <f t="shared" si="5"/>
        <v>1</v>
      </c>
    </row>
    <row r="18" spans="1:29" ht="20.25">
      <c r="A18" s="502"/>
      <c r="B18" s="523"/>
      <c r="C18" s="524" t="s">
        <v>3703</v>
      </c>
      <c r="D18" s="527"/>
      <c r="E18" s="524" t="s">
        <v>3703</v>
      </c>
      <c r="F18" s="525"/>
      <c r="G18" s="524" t="s">
        <v>3703</v>
      </c>
      <c r="H18" s="529"/>
      <c r="I18" s="524" t="s">
        <v>3703</v>
      </c>
      <c r="J18" s="525"/>
      <c r="K18" s="501"/>
      <c r="L18" s="1865"/>
      <c r="M18" s="1855"/>
      <c r="N18" s="1855"/>
      <c r="O18" s="1864"/>
      <c r="P18" s="3866"/>
      <c r="Q18" s="1385"/>
      <c r="R18" s="1386"/>
      <c r="S18" s="1387"/>
      <c r="T18" s="1386"/>
      <c r="U18" s="1387"/>
      <c r="V18" s="1386"/>
      <c r="W18" s="1387"/>
      <c r="X18" s="1380"/>
      <c r="Y18" s="3866"/>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v>5</v>
      </c>
      <c r="L19" s="1865"/>
      <c r="M19" s="1855"/>
      <c r="N19" s="1855"/>
      <c r="O19" s="1864"/>
      <c r="P19" s="3866"/>
      <c r="Q19" s="1385" t="str">
        <f>B19</f>
        <v>商业繁华度</v>
      </c>
      <c r="R19" s="1386" t="s">
        <v>5</v>
      </c>
      <c r="S19" s="1387">
        <f>F19</f>
        <v>100</v>
      </c>
      <c r="T19" s="1386" t="s">
        <v>5</v>
      </c>
      <c r="U19" s="1387">
        <f>H19</f>
        <v>100</v>
      </c>
      <c r="V19" s="1386" t="s">
        <v>5</v>
      </c>
      <c r="W19" s="1387">
        <f>J19</f>
        <v>100</v>
      </c>
      <c r="X19" s="1380"/>
      <c r="Y19" s="3866"/>
      <c r="Z19" s="1388" t="str">
        <f>Q19</f>
        <v>商业繁华度</v>
      </c>
      <c r="AA19" s="1389">
        <f t="shared" si="3"/>
        <v>1</v>
      </c>
      <c r="AB19" s="1389">
        <f t="shared" si="4"/>
        <v>1</v>
      </c>
      <c r="AC19" s="1389">
        <f t="shared" si="5"/>
        <v>1</v>
      </c>
    </row>
    <row r="20" spans="1:29" ht="20.25">
      <c r="A20" s="502"/>
      <c r="B20" s="536"/>
      <c r="C20" s="537" t="s">
        <v>3703</v>
      </c>
      <c r="D20" s="533"/>
      <c r="E20" s="524" t="s">
        <v>3703</v>
      </c>
      <c r="F20" s="529"/>
      <c r="G20" s="524" t="s">
        <v>3703</v>
      </c>
      <c r="H20" s="525"/>
      <c r="I20" s="524" t="s">
        <v>3703</v>
      </c>
      <c r="J20" s="525"/>
      <c r="K20" s="501"/>
      <c r="L20" s="1865"/>
      <c r="M20" s="1855"/>
      <c r="N20" s="1855"/>
      <c r="O20" s="1864"/>
      <c r="P20" s="3866"/>
      <c r="Q20" s="1385"/>
      <c r="R20" s="1386"/>
      <c r="S20" s="1387"/>
      <c r="T20" s="1386"/>
      <c r="U20" s="1387"/>
      <c r="V20" s="1386"/>
      <c r="W20" s="1387"/>
      <c r="X20" s="1380"/>
      <c r="Y20" s="3866"/>
      <c r="Z20" s="1388"/>
      <c r="AA20" s="1389">
        <v>1</v>
      </c>
      <c r="AB20" s="1389">
        <v>1</v>
      </c>
      <c r="AC20" s="1389">
        <v>1</v>
      </c>
    </row>
    <row r="21" spans="1:29" ht="71.25" hidden="1">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66"/>
      <c r="Q21" s="1385" t="str">
        <f>B21</f>
        <v>办公集聚程度</v>
      </c>
      <c r="R21" s="1386" t="s">
        <v>5</v>
      </c>
      <c r="S21" s="1387">
        <f>F21</f>
        <v>100</v>
      </c>
      <c r="T21" s="1386" t="s">
        <v>5</v>
      </c>
      <c r="U21" s="1387">
        <f>H21</f>
        <v>100</v>
      </c>
      <c r="V21" s="1386" t="s">
        <v>5</v>
      </c>
      <c r="W21" s="1387">
        <f>J21</f>
        <v>100</v>
      </c>
      <c r="X21" s="1380"/>
      <c r="Y21" s="3866"/>
      <c r="Z21" s="1388" t="str">
        <f>Q21</f>
        <v>办公集聚程度</v>
      </c>
      <c r="AA21" s="1389">
        <f t="shared" si="3"/>
        <v>1</v>
      </c>
      <c r="AB21" s="1389">
        <f t="shared" si="4"/>
        <v>1</v>
      </c>
      <c r="AC21" s="1389">
        <f t="shared" si="5"/>
        <v>1</v>
      </c>
    </row>
    <row r="22" spans="1:29" ht="20.25" hidden="1">
      <c r="A22" s="502"/>
      <c r="B22" s="536"/>
      <c r="C22" s="524"/>
      <c r="D22" s="527"/>
      <c r="E22" s="528"/>
      <c r="F22" s="525"/>
      <c r="G22" s="526"/>
      <c r="H22" s="525"/>
      <c r="I22" s="528"/>
      <c r="J22" s="525"/>
      <c r="K22" s="501"/>
      <c r="L22" s="1865"/>
      <c r="M22" s="1855"/>
      <c r="N22" s="1855"/>
      <c r="O22" s="1864"/>
      <c r="P22" s="3866"/>
      <c r="Q22" s="1385"/>
      <c r="R22" s="1386"/>
      <c r="S22" s="1387"/>
      <c r="T22" s="1386"/>
      <c r="U22" s="1387"/>
      <c r="V22" s="1386"/>
      <c r="W22" s="1387"/>
      <c r="X22" s="1380"/>
      <c r="Y22" s="3866"/>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v>2</v>
      </c>
      <c r="L23" s="1865"/>
      <c r="M23" s="1855"/>
      <c r="N23" s="1855"/>
      <c r="O23" s="1864"/>
      <c r="P23" s="3866"/>
      <c r="Q23" s="1385" t="str">
        <f>B23</f>
        <v>交通便捷度</v>
      </c>
      <c r="R23" s="1386" t="s">
        <v>5</v>
      </c>
      <c r="S23" s="1387">
        <f>F23</f>
        <v>100</v>
      </c>
      <c r="T23" s="1386" t="s">
        <v>5</v>
      </c>
      <c r="U23" s="1387">
        <f>H23</f>
        <v>100</v>
      </c>
      <c r="V23" s="1386" t="s">
        <v>5</v>
      </c>
      <c r="W23" s="1387">
        <f>J23</f>
        <v>100</v>
      </c>
      <c r="X23" s="1380"/>
      <c r="Y23" s="3866"/>
      <c r="Z23" s="1388" t="str">
        <f>Q23</f>
        <v>交通便捷度</v>
      </c>
      <c r="AA23" s="1389">
        <f t="shared" si="3"/>
        <v>1</v>
      </c>
      <c r="AB23" s="1389">
        <f t="shared" si="4"/>
        <v>1</v>
      </c>
      <c r="AC23" s="1389">
        <f t="shared" si="5"/>
        <v>1</v>
      </c>
    </row>
    <row r="24" spans="1:29" ht="20.25">
      <c r="A24" s="502"/>
      <c r="B24" s="548"/>
      <c r="C24" s="524" t="s">
        <v>3703</v>
      </c>
      <c r="D24" s="527"/>
      <c r="E24" s="528" t="s">
        <v>3703</v>
      </c>
      <c r="F24" s="525"/>
      <c r="G24" s="528" t="s">
        <v>3703</v>
      </c>
      <c r="H24" s="525"/>
      <c r="I24" s="528" t="s">
        <v>3703</v>
      </c>
      <c r="J24" s="525"/>
      <c r="K24" s="501"/>
      <c r="L24" s="1865"/>
      <c r="M24" s="1855"/>
      <c r="N24" s="1855"/>
      <c r="O24" s="1864"/>
      <c r="P24" s="3866"/>
      <c r="Q24" s="1385"/>
      <c r="R24" s="1386"/>
      <c r="S24" s="1387"/>
      <c r="T24" s="1386"/>
      <c r="U24" s="1387"/>
      <c r="V24" s="1386"/>
      <c r="W24" s="1387"/>
      <c r="X24" s="1380"/>
      <c r="Y24" s="3866"/>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5"/>
      <c r="M25" s="1855"/>
      <c r="N25" s="1855"/>
      <c r="O25" s="1864"/>
      <c r="P25" s="3866"/>
      <c r="Q25" s="1385" t="str">
        <f t="shared" ref="Q25:Q39" si="8">B25</f>
        <v>区域土地利用方向</v>
      </c>
      <c r="R25" s="1386" t="s">
        <v>5</v>
      </c>
      <c r="S25" s="1387">
        <f>F25</f>
        <v>100</v>
      </c>
      <c r="T25" s="1386" t="s">
        <v>5</v>
      </c>
      <c r="U25" s="1387">
        <f>H25</f>
        <v>100</v>
      </c>
      <c r="V25" s="1386" t="s">
        <v>5</v>
      </c>
      <c r="W25" s="1387">
        <f>J25</f>
        <v>100</v>
      </c>
      <c r="X25" s="1380"/>
      <c r="Y25" s="3866"/>
      <c r="Z25" s="1388" t="str">
        <f>Q25</f>
        <v>区域土地利用方向</v>
      </c>
      <c r="AA25" s="1389">
        <f t="shared" si="3"/>
        <v>1</v>
      </c>
      <c r="AB25" s="1389">
        <f t="shared" si="4"/>
        <v>1</v>
      </c>
      <c r="AC25" s="1389">
        <f t="shared" si="5"/>
        <v>1</v>
      </c>
    </row>
    <row r="26" spans="1:29" ht="20.25">
      <c r="A26" s="485"/>
      <c r="B26" s="968"/>
      <c r="C26" s="524" t="s">
        <v>3704</v>
      </c>
      <c r="D26" s="527"/>
      <c r="E26" s="524" t="s">
        <v>3704</v>
      </c>
      <c r="F26" s="525"/>
      <c r="G26" s="524" t="s">
        <v>3704</v>
      </c>
      <c r="H26" s="525"/>
      <c r="I26" s="524" t="s">
        <v>3704</v>
      </c>
      <c r="J26" s="525"/>
      <c r="K26" s="501"/>
      <c r="L26" s="1865"/>
      <c r="M26" s="1855"/>
      <c r="N26" s="1855"/>
      <c r="O26" s="1864"/>
      <c r="P26" s="3866"/>
      <c r="Q26" s="1385"/>
      <c r="R26" s="1386"/>
      <c r="S26" s="1387"/>
      <c r="T26" s="1386"/>
      <c r="U26" s="1387"/>
      <c r="V26" s="1386"/>
      <c r="W26" s="1387"/>
      <c r="X26" s="1380"/>
      <c r="Y26" s="3866"/>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v>5</v>
      </c>
      <c r="L27" s="1865"/>
      <c r="M27" s="1855"/>
      <c r="N27" s="1855"/>
      <c r="O27" s="1864"/>
      <c r="P27" s="3866"/>
      <c r="Q27" s="1385" t="str">
        <f t="shared" si="8"/>
        <v>自然及人文环境状况</v>
      </c>
      <c r="R27" s="1386" t="s">
        <v>5</v>
      </c>
      <c r="S27" s="1387">
        <f>F27</f>
        <v>100</v>
      </c>
      <c r="T27" s="1386" t="s">
        <v>5</v>
      </c>
      <c r="U27" s="1387">
        <f>H27</f>
        <v>100</v>
      </c>
      <c r="V27" s="1386" t="s">
        <v>5</v>
      </c>
      <c r="W27" s="1387">
        <f>J27</f>
        <v>100</v>
      </c>
      <c r="X27" s="1380"/>
      <c r="Y27" s="3866"/>
      <c r="Z27" s="1388" t="str">
        <f>Q27</f>
        <v>自然及人文环境状况</v>
      </c>
      <c r="AA27" s="1389">
        <f t="shared" si="3"/>
        <v>1</v>
      </c>
      <c r="AB27" s="1389">
        <f t="shared" si="4"/>
        <v>1</v>
      </c>
      <c r="AC27" s="1389">
        <f t="shared" si="5"/>
        <v>1</v>
      </c>
    </row>
    <row r="28" spans="1:29" ht="20.25">
      <c r="A28" s="485"/>
      <c r="B28" s="536"/>
      <c r="C28" s="524" t="s">
        <v>3703</v>
      </c>
      <c r="D28" s="527"/>
      <c r="E28" s="524" t="s">
        <v>3703</v>
      </c>
      <c r="F28" s="525"/>
      <c r="G28" s="524" t="s">
        <v>3703</v>
      </c>
      <c r="H28" s="525"/>
      <c r="I28" s="524" t="s">
        <v>3703</v>
      </c>
      <c r="J28" s="525"/>
      <c r="K28" s="501"/>
      <c r="L28" s="1865"/>
      <c r="M28" s="1855"/>
      <c r="N28" s="1855"/>
      <c r="O28" s="1864"/>
      <c r="P28" s="3866"/>
      <c r="Q28" s="1385"/>
      <c r="R28" s="1386"/>
      <c r="S28" s="1387"/>
      <c r="T28" s="1386"/>
      <c r="U28" s="1387"/>
      <c r="V28" s="1386"/>
      <c r="W28" s="1387"/>
      <c r="X28" s="1380"/>
      <c r="Y28" s="3866"/>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v>2</v>
      </c>
      <c r="L29" s="1858"/>
      <c r="M29" s="1855"/>
      <c r="N29" s="1855"/>
      <c r="O29" s="1860"/>
      <c r="P29" s="3866"/>
      <c r="Q29" s="1050" t="str">
        <f t="shared" si="8"/>
        <v>公共配套设施</v>
      </c>
      <c r="R29" s="1381" t="s">
        <v>5</v>
      </c>
      <c r="S29" s="1382">
        <f>F29</f>
        <v>100</v>
      </c>
      <c r="T29" s="1381" t="s">
        <v>5</v>
      </c>
      <c r="U29" s="1382">
        <f>H29</f>
        <v>100</v>
      </c>
      <c r="V29" s="1381" t="s">
        <v>5</v>
      </c>
      <c r="W29" s="1382">
        <f>J29</f>
        <v>100</v>
      </c>
      <c r="X29" s="1383"/>
      <c r="Y29" s="3866"/>
      <c r="Z29" s="1049" t="str">
        <f>Q29</f>
        <v>公共配套设施</v>
      </c>
      <c r="AA29" s="1389">
        <f>D29/F29</f>
        <v>1</v>
      </c>
      <c r="AB29" s="1389">
        <f>D29/H29</f>
        <v>1</v>
      </c>
      <c r="AC29" s="1389">
        <f>D29/J29</f>
        <v>1</v>
      </c>
    </row>
    <row r="30" spans="1:29" s="1118" customFormat="1" ht="20.25">
      <c r="A30" s="547"/>
      <c r="B30" s="536"/>
      <c r="C30" s="549" t="s">
        <v>3703</v>
      </c>
      <c r="D30" s="527"/>
      <c r="E30" s="524" t="s">
        <v>3703</v>
      </c>
      <c r="F30" s="525"/>
      <c r="G30" s="524" t="s">
        <v>3703</v>
      </c>
      <c r="H30" s="525"/>
      <c r="I30" s="524" t="s">
        <v>3703</v>
      </c>
      <c r="J30" s="525"/>
      <c r="K30" s="501"/>
      <c r="L30" s="1858"/>
      <c r="M30" s="1855"/>
      <c r="N30" s="1855"/>
      <c r="O30" s="1860"/>
      <c r="P30" s="3866"/>
      <c r="Q30" s="1050"/>
      <c r="R30" s="1381"/>
      <c r="S30" s="1382"/>
      <c r="T30" s="1381"/>
      <c r="U30" s="1382"/>
      <c r="V30" s="1381"/>
      <c r="W30" s="1382"/>
      <c r="X30" s="1383"/>
      <c r="Y30" s="3866"/>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8"/>
      <c r="M31" s="1855"/>
      <c r="N31" s="1855"/>
      <c r="O31" s="1860"/>
      <c r="P31" s="3866"/>
      <c r="Q31" s="2192" t="str">
        <f>B31</f>
        <v>基础设施水平</v>
      </c>
      <c r="R31" s="1381" t="s">
        <v>5</v>
      </c>
      <c r="S31" s="1382">
        <f>F31</f>
        <v>100</v>
      </c>
      <c r="T31" s="1381" t="s">
        <v>5</v>
      </c>
      <c r="U31" s="1382">
        <f>H31</f>
        <v>100</v>
      </c>
      <c r="V31" s="1381" t="s">
        <v>5</v>
      </c>
      <c r="W31" s="1382">
        <f>J31</f>
        <v>100</v>
      </c>
      <c r="X31" s="1383"/>
      <c r="Y31" s="3866"/>
      <c r="Z31" s="2191" t="str">
        <f>Q31</f>
        <v>基础设施水平</v>
      </c>
      <c r="AA31" s="1389">
        <f>D31/F31</f>
        <v>1</v>
      </c>
      <c r="AB31" s="1389">
        <f>D31/H31</f>
        <v>1</v>
      </c>
      <c r="AC31" s="1389">
        <f>D31/J31</f>
        <v>1</v>
      </c>
    </row>
    <row r="32" spans="1:29" s="1118" customFormat="1" ht="21" thickBot="1">
      <c r="A32" s="547"/>
      <c r="B32" s="536"/>
      <c r="C32" s="549" t="s">
        <v>3705</v>
      </c>
      <c r="D32" s="527"/>
      <c r="E32" s="549" t="s">
        <v>3705</v>
      </c>
      <c r="F32" s="525"/>
      <c r="G32" s="549" t="s">
        <v>3705</v>
      </c>
      <c r="H32" s="525"/>
      <c r="I32" s="549" t="s">
        <v>3705</v>
      </c>
      <c r="J32" s="525"/>
      <c r="K32" s="501"/>
      <c r="L32" s="1858"/>
      <c r="M32" s="1855"/>
      <c r="N32" s="1855"/>
      <c r="O32" s="1860"/>
      <c r="P32" s="3866"/>
      <c r="Q32" s="2192"/>
      <c r="R32" s="1381"/>
      <c r="S32" s="1382"/>
      <c r="T32" s="1381"/>
      <c r="U32" s="1382"/>
      <c r="V32" s="1381"/>
      <c r="W32" s="1382"/>
      <c r="X32" s="1383"/>
      <c r="Y32" s="3866"/>
      <c r="Z32" s="2191"/>
      <c r="AA32" s="1389">
        <v>1</v>
      </c>
      <c r="AB32" s="1389">
        <v>1</v>
      </c>
      <c r="AC32" s="1389">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66"/>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66"/>
      <c r="Z33" s="1388" t="str">
        <f t="shared" ref="Z33:Z47" si="12">Q33</f>
        <v>临街状况</v>
      </c>
      <c r="AA33" s="1389">
        <f t="shared" si="3"/>
        <v>1</v>
      </c>
      <c r="AB33" s="1389">
        <f t="shared" si="4"/>
        <v>1</v>
      </c>
      <c r="AC33" s="1389">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66"/>
      <c r="Q34" s="1385" t="str">
        <f t="shared" si="8"/>
        <v>毗邻道路的类型与等级</v>
      </c>
      <c r="R34" s="1386" t="s">
        <v>5</v>
      </c>
      <c r="S34" s="1387">
        <f t="shared" si="9"/>
        <v>100</v>
      </c>
      <c r="T34" s="1386" t="s">
        <v>5</v>
      </c>
      <c r="U34" s="1387">
        <f t="shared" si="10"/>
        <v>100</v>
      </c>
      <c r="V34" s="1386" t="s">
        <v>5</v>
      </c>
      <c r="W34" s="1387">
        <f t="shared" si="11"/>
        <v>100</v>
      </c>
      <c r="X34" s="1380"/>
      <c r="Y34" s="3866"/>
      <c r="Z34" s="1388" t="str">
        <f t="shared" si="12"/>
        <v>毗邻道路的类型与等级</v>
      </c>
      <c r="AA34" s="1389">
        <f t="shared" si="3"/>
        <v>1</v>
      </c>
      <c r="AB34" s="1389">
        <f t="shared" si="4"/>
        <v>1</v>
      </c>
      <c r="AC34" s="1389">
        <f t="shared" si="5"/>
        <v>1</v>
      </c>
    </row>
    <row r="35" spans="1:29" ht="20.25" hidden="1">
      <c r="A35" s="502"/>
      <c r="B35" s="536"/>
      <c r="C35" s="524"/>
      <c r="D35" s="527"/>
      <c r="E35" s="546"/>
      <c r="F35" s="525"/>
      <c r="G35" s="524"/>
      <c r="H35" s="525"/>
      <c r="I35" s="546"/>
      <c r="J35" s="525"/>
      <c r="K35" s="551"/>
      <c r="L35" s="1865"/>
      <c r="M35" s="1855"/>
      <c r="N35" s="1855"/>
      <c r="O35" s="1864"/>
      <c r="P35" s="3866"/>
      <c r="Q35" s="1385"/>
      <c r="R35" s="1386"/>
      <c r="S35" s="1387"/>
      <c r="T35" s="1386"/>
      <c r="U35" s="1387"/>
      <c r="V35" s="1386"/>
      <c r="W35" s="1387"/>
      <c r="X35" s="1380"/>
      <c r="Y35" s="3866"/>
      <c r="Z35" s="1388"/>
      <c r="AA35" s="1389">
        <v>1</v>
      </c>
      <c r="AB35" s="1389">
        <v>1</v>
      </c>
      <c r="AC35" s="1389">
        <v>1</v>
      </c>
    </row>
    <row r="36" spans="1:29" ht="20.25" hidden="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66"/>
      <c r="Q36" s="1385" t="str">
        <f t="shared" si="8"/>
        <v>土地级别</v>
      </c>
      <c r="R36" s="1386" t="s">
        <v>5</v>
      </c>
      <c r="S36" s="1387">
        <f t="shared" si="9"/>
        <v>100</v>
      </c>
      <c r="T36" s="1386" t="s">
        <v>5</v>
      </c>
      <c r="U36" s="1387">
        <f t="shared" si="10"/>
        <v>100</v>
      </c>
      <c r="V36" s="1386" t="s">
        <v>5</v>
      </c>
      <c r="W36" s="1387">
        <f t="shared" si="11"/>
        <v>100</v>
      </c>
      <c r="X36" s="1380"/>
      <c r="Y36" s="3866"/>
      <c r="Z36" s="1388" t="str">
        <f t="shared" si="12"/>
        <v>土地级别</v>
      </c>
      <c r="AA36" s="1389">
        <f t="shared" si="3"/>
        <v>1</v>
      </c>
      <c r="AB36" s="1389">
        <f t="shared" si="4"/>
        <v>1</v>
      </c>
      <c r="AC36" s="1389">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66"/>
      <c r="Q37" s="1385">
        <f t="shared" si="8"/>
        <v>111</v>
      </c>
      <c r="R37" s="1386" t="s">
        <v>5</v>
      </c>
      <c r="S37" s="1387">
        <f t="shared" si="9"/>
        <v>100</v>
      </c>
      <c r="T37" s="1386" t="s">
        <v>5</v>
      </c>
      <c r="U37" s="1387">
        <f t="shared" si="10"/>
        <v>100</v>
      </c>
      <c r="V37" s="1386" t="s">
        <v>5</v>
      </c>
      <c r="W37" s="1387">
        <f t="shared" si="11"/>
        <v>100</v>
      </c>
      <c r="X37" s="1380"/>
      <c r="Y37" s="3866"/>
      <c r="Z37" s="1388">
        <f t="shared" si="12"/>
        <v>111</v>
      </c>
      <c r="AA37" s="1389">
        <f t="shared" si="3"/>
        <v>1</v>
      </c>
      <c r="AB37" s="1389">
        <f t="shared" si="4"/>
        <v>1</v>
      </c>
      <c r="AC37" s="1389">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67" t="s">
        <v>499</v>
      </c>
      <c r="Q38" s="1385">
        <f t="shared" si="8"/>
        <v>111</v>
      </c>
      <c r="R38" s="1386" t="s">
        <v>5</v>
      </c>
      <c r="S38" s="1387">
        <f t="shared" si="9"/>
        <v>100</v>
      </c>
      <c r="T38" s="1386" t="s">
        <v>5</v>
      </c>
      <c r="U38" s="1387">
        <f t="shared" si="10"/>
        <v>100</v>
      </c>
      <c r="V38" s="1386" t="s">
        <v>5</v>
      </c>
      <c r="W38" s="1387">
        <f t="shared" si="11"/>
        <v>100</v>
      </c>
      <c r="X38" s="1380"/>
      <c r="Y38" s="3868" t="s">
        <v>499</v>
      </c>
      <c r="Z38" s="1388">
        <f t="shared" si="12"/>
        <v>111</v>
      </c>
      <c r="AA38" s="1389">
        <f t="shared" si="3"/>
        <v>1</v>
      </c>
      <c r="AB38" s="1389">
        <f t="shared" si="4"/>
        <v>1</v>
      </c>
      <c r="AC38" s="1389">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68"/>
      <c r="Q39" s="1385">
        <f t="shared" si="8"/>
        <v>111</v>
      </c>
      <c r="R39" s="1390" t="s">
        <v>5</v>
      </c>
      <c r="S39" s="1391">
        <f t="shared" si="9"/>
        <v>100</v>
      </c>
      <c r="T39" s="1390" t="s">
        <v>5</v>
      </c>
      <c r="U39" s="1391">
        <f t="shared" si="10"/>
        <v>100</v>
      </c>
      <c r="V39" s="1390" t="s">
        <v>5</v>
      </c>
      <c r="W39" s="1391">
        <f t="shared" si="11"/>
        <v>100</v>
      </c>
      <c r="X39" s="1392"/>
      <c r="Y39" s="3868"/>
      <c r="Z39" s="1393">
        <f t="shared" si="12"/>
        <v>111</v>
      </c>
      <c r="AA39" s="1389">
        <f t="shared" si="3"/>
        <v>1</v>
      </c>
      <c r="AB39" s="1389">
        <f t="shared" si="4"/>
        <v>1</v>
      </c>
      <c r="AC39" s="1389">
        <f t="shared" si="5"/>
        <v>1</v>
      </c>
    </row>
    <row r="40" spans="1:29" ht="20.25">
      <c r="A40" s="2387" t="s">
        <v>2037</v>
      </c>
      <c r="B40" s="565" t="s">
        <v>501</v>
      </c>
      <c r="C40" s="566">
        <f>'数据-汇总表'!D3</f>
        <v>28084.68</v>
      </c>
      <c r="D40" s="567">
        <v>100</v>
      </c>
      <c r="E40" s="566">
        <f>土地案例!G4</f>
        <v>45702.16</v>
      </c>
      <c r="F40" s="567">
        <f>LOOKUP(E40,118:118,119:119)-LOOKUP(C40,118:118,119:119)+100</f>
        <v>102</v>
      </c>
      <c r="G40" s="566">
        <f>土地案例!G9</f>
        <v>59744.57</v>
      </c>
      <c r="H40" s="567">
        <f>LOOKUP(G40,118:118,119:119)-LOOKUP(C40,118:118,119:119)+100</f>
        <v>102</v>
      </c>
      <c r="I40" s="568">
        <f>土地案例!G17</f>
        <v>47301.79</v>
      </c>
      <c r="J40" s="567">
        <f>LOOKUP(I40,118:118,119:119)-LOOKUP(C40,118:118,119:119)+100</f>
        <v>102</v>
      </c>
      <c r="K40" s="551"/>
      <c r="L40" s="1865"/>
      <c r="M40" s="1855"/>
      <c r="N40" s="1855"/>
      <c r="O40" s="1864"/>
      <c r="P40" s="3868"/>
      <c r="Q40" s="1385" t="str">
        <f>B40</f>
        <v>宗地面积</v>
      </c>
      <c r="R40" s="1386" t="s">
        <v>5</v>
      </c>
      <c r="S40" s="1387">
        <f t="shared" si="9"/>
        <v>102</v>
      </c>
      <c r="T40" s="1386" t="s">
        <v>5</v>
      </c>
      <c r="U40" s="1387">
        <f t="shared" si="10"/>
        <v>102</v>
      </c>
      <c r="V40" s="1386" t="s">
        <v>5</v>
      </c>
      <c r="W40" s="1387">
        <f t="shared" si="11"/>
        <v>102</v>
      </c>
      <c r="X40" s="1380"/>
      <c r="Y40" s="3868"/>
      <c r="Z40" s="1388" t="str">
        <f t="shared" si="12"/>
        <v>宗地面积</v>
      </c>
      <c r="AA40" s="1389">
        <f t="shared" si="3"/>
        <v>0.98039215686274506</v>
      </c>
      <c r="AB40" s="1389">
        <f t="shared" si="4"/>
        <v>0.98039215686274506</v>
      </c>
      <c r="AC40" s="1389">
        <f t="shared" si="5"/>
        <v>0.98039215686274506</v>
      </c>
    </row>
    <row r="41" spans="1:29" ht="20.25">
      <c r="A41" s="564"/>
      <c r="B41" s="497" t="s">
        <v>502</v>
      </c>
      <c r="C41" s="569" t="s">
        <v>3706</v>
      </c>
      <c r="D41" s="510">
        <v>100</v>
      </c>
      <c r="E41" s="569" t="s">
        <v>3706</v>
      </c>
      <c r="F41" s="510">
        <f>SUMIF(120:120,E41,121:121)-SUMIF(120:120,C41,121:121)+100</f>
        <v>100</v>
      </c>
      <c r="G41" s="569" t="s">
        <v>3706</v>
      </c>
      <c r="H41" s="510">
        <f>SUMIF(120:120,G41,121:121)-SUMIF(120:120,C41,121:121)+100</f>
        <v>100</v>
      </c>
      <c r="I41" s="569" t="s">
        <v>3706</v>
      </c>
      <c r="J41" s="510">
        <f>SUMIF(120:120,I41,121:121)-SUMIF(120:120,C41,121:121)+100</f>
        <v>100</v>
      </c>
      <c r="K41" s="554">
        <v>1</v>
      </c>
      <c r="L41" s="1865"/>
      <c r="M41" s="1855"/>
      <c r="N41" s="1855"/>
      <c r="O41" s="1864"/>
      <c r="P41" s="3868"/>
      <c r="Q41" s="1385" t="str">
        <f t="shared" ref="Q41:Q47" si="13">B41</f>
        <v>宗地形状</v>
      </c>
      <c r="R41" s="1386" t="s">
        <v>5</v>
      </c>
      <c r="S41" s="1387">
        <f t="shared" si="9"/>
        <v>100</v>
      </c>
      <c r="T41" s="1386" t="s">
        <v>5</v>
      </c>
      <c r="U41" s="1387">
        <f t="shared" si="10"/>
        <v>100</v>
      </c>
      <c r="V41" s="1386" t="s">
        <v>5</v>
      </c>
      <c r="W41" s="1387">
        <f t="shared" si="11"/>
        <v>100</v>
      </c>
      <c r="X41" s="1380"/>
      <c r="Y41" s="3868"/>
      <c r="Z41" s="1388" t="str">
        <f t="shared" si="12"/>
        <v>宗地形状</v>
      </c>
      <c r="AA41" s="1389">
        <f t="shared" si="3"/>
        <v>1</v>
      </c>
      <c r="AB41" s="1389">
        <f t="shared" si="4"/>
        <v>1</v>
      </c>
      <c r="AC41" s="1389">
        <f t="shared" si="5"/>
        <v>1</v>
      </c>
    </row>
    <row r="42" spans="1:29" ht="20.25">
      <c r="A42" s="564"/>
      <c r="B42" s="497" t="s">
        <v>503</v>
      </c>
      <c r="C42" s="569" t="s">
        <v>3707</v>
      </c>
      <c r="D42" s="510">
        <v>100</v>
      </c>
      <c r="E42" s="569" t="s">
        <v>3707</v>
      </c>
      <c r="F42" s="510">
        <f>SUMIF(122:122,E42,123:123)-SUMIF(122:122,C42,123:123)+100</f>
        <v>100</v>
      </c>
      <c r="G42" s="569" t="s">
        <v>3707</v>
      </c>
      <c r="H42" s="510">
        <f>SUMIF(122:122,G42,123:123)-SUMIF(122:122,C42,123:123)+100</f>
        <v>100</v>
      </c>
      <c r="I42" s="569" t="s">
        <v>3707</v>
      </c>
      <c r="J42" s="510">
        <f>SUMIF(122:122,I42,123:123)-SUMIF(122:122,C42,123:123)+100</f>
        <v>100</v>
      </c>
      <c r="K42" s="554">
        <v>1</v>
      </c>
      <c r="L42" s="1865"/>
      <c r="M42" s="1855"/>
      <c r="N42" s="1855"/>
      <c r="O42" s="1864"/>
      <c r="P42" s="3868"/>
      <c r="Q42" s="1385" t="str">
        <f t="shared" si="13"/>
        <v>临街宽度及深度</v>
      </c>
      <c r="R42" s="1386" t="s">
        <v>5</v>
      </c>
      <c r="S42" s="1387">
        <f t="shared" si="9"/>
        <v>100</v>
      </c>
      <c r="T42" s="1386" t="s">
        <v>5</v>
      </c>
      <c r="U42" s="1387">
        <f t="shared" si="10"/>
        <v>100</v>
      </c>
      <c r="V42" s="1386" t="s">
        <v>5</v>
      </c>
      <c r="W42" s="1387">
        <f t="shared" si="11"/>
        <v>100</v>
      </c>
      <c r="X42" s="1380"/>
      <c r="Y42" s="3868"/>
      <c r="Z42" s="1388" t="str">
        <f t="shared" si="12"/>
        <v>临街宽度及深度</v>
      </c>
      <c r="AA42" s="1389">
        <f t="shared" si="3"/>
        <v>1</v>
      </c>
      <c r="AB42" s="1389">
        <f t="shared" si="4"/>
        <v>1</v>
      </c>
      <c r="AC42" s="1389">
        <f t="shared" si="5"/>
        <v>1</v>
      </c>
    </row>
    <row r="43" spans="1:29" s="1118" customFormat="1" ht="20.25">
      <c r="A43" s="570"/>
      <c r="B43" s="1651" t="s">
        <v>1776</v>
      </c>
      <c r="C43" s="571" t="s">
        <v>3705</v>
      </c>
      <c r="D43" s="246">
        <v>100</v>
      </c>
      <c r="E43" s="571" t="s">
        <v>3705</v>
      </c>
      <c r="F43" s="510">
        <f>SUMIF(124:124,E43,125:125)-SUMIF(124:124,C43,125:125)+100</f>
        <v>100</v>
      </c>
      <c r="G43" s="571" t="s">
        <v>3705</v>
      </c>
      <c r="H43" s="510">
        <f>SUMIF(124:124,G43,125:125)-SUMIF(124:124,C43,125:125)+100</f>
        <v>100</v>
      </c>
      <c r="I43" s="571" t="s">
        <v>3705</v>
      </c>
      <c r="J43" s="510">
        <f>SUMIF(124:124,I43,125:125)-SUMIF(124:124,C43,125:125)+100</f>
        <v>100</v>
      </c>
      <c r="K43" s="554">
        <v>1</v>
      </c>
      <c r="L43" s="1858"/>
      <c r="M43" s="1855"/>
      <c r="N43" s="1855"/>
      <c r="O43" s="1860"/>
      <c r="P43" s="3868"/>
      <c r="Q43" s="1385" t="str">
        <f t="shared" si="13"/>
        <v>宗地开发程度</v>
      </c>
      <c r="R43" s="1381" t="s">
        <v>5</v>
      </c>
      <c r="S43" s="1382">
        <f t="shared" si="9"/>
        <v>100</v>
      </c>
      <c r="T43" s="1381" t="s">
        <v>5</v>
      </c>
      <c r="U43" s="1382">
        <f t="shared" si="10"/>
        <v>100</v>
      </c>
      <c r="V43" s="1381" t="s">
        <v>5</v>
      </c>
      <c r="W43" s="1382">
        <f t="shared" si="11"/>
        <v>100</v>
      </c>
      <c r="X43" s="1383"/>
      <c r="Y43" s="3868"/>
      <c r="Z43" s="1049" t="str">
        <f t="shared" si="12"/>
        <v>宗地开发程度</v>
      </c>
      <c r="AA43" s="1384">
        <f t="shared" si="3"/>
        <v>1</v>
      </c>
      <c r="AB43" s="1384">
        <f t="shared" si="4"/>
        <v>1</v>
      </c>
      <c r="AC43" s="1384">
        <f t="shared" si="5"/>
        <v>1</v>
      </c>
    </row>
    <row r="44" spans="1:29" ht="21" thickBot="1">
      <c r="A44" s="564"/>
      <c r="B44" s="497" t="s">
        <v>504</v>
      </c>
      <c r="C44" s="569" t="s">
        <v>3704</v>
      </c>
      <c r="D44" s="510">
        <v>100</v>
      </c>
      <c r="E44" s="569" t="s">
        <v>3704</v>
      </c>
      <c r="F44" s="510">
        <f>SUMIF(126:126,E44,127:127)-SUMIF(126:126,C44,127:127)+100</f>
        <v>100</v>
      </c>
      <c r="G44" s="569" t="s">
        <v>3704</v>
      </c>
      <c r="H44" s="510">
        <f>SUMIF(126:126,G44,127:127)-SUMIF(126:126,C44,127:127)+100</f>
        <v>100</v>
      </c>
      <c r="I44" s="569" t="s">
        <v>3704</v>
      </c>
      <c r="J44" s="510">
        <f>SUMIF(126:126,I44,127:127)-SUMIF(126:126,C44,127:127)+100</f>
        <v>100</v>
      </c>
      <c r="K44" s="554">
        <v>1</v>
      </c>
      <c r="L44" s="1865"/>
      <c r="M44" s="1855"/>
      <c r="N44" s="1855"/>
      <c r="O44" s="1864"/>
      <c r="P44" s="3868" t="s">
        <v>499</v>
      </c>
      <c r="Q44" s="1385" t="str">
        <f t="shared" si="13"/>
        <v>工程地质条件</v>
      </c>
      <c r="R44" s="1386" t="s">
        <v>5</v>
      </c>
      <c r="S44" s="1387">
        <f t="shared" si="9"/>
        <v>100</v>
      </c>
      <c r="T44" s="1386" t="s">
        <v>5</v>
      </c>
      <c r="U44" s="1387">
        <f t="shared" si="10"/>
        <v>100</v>
      </c>
      <c r="V44" s="1386" t="s">
        <v>5</v>
      </c>
      <c r="W44" s="1387">
        <f t="shared" si="11"/>
        <v>100</v>
      </c>
      <c r="X44" s="1380"/>
      <c r="Y44" s="3868" t="s">
        <v>499</v>
      </c>
      <c r="Z44" s="1388" t="str">
        <f t="shared" si="12"/>
        <v>工程地质条件</v>
      </c>
      <c r="AA44" s="1389">
        <f t="shared" si="3"/>
        <v>1</v>
      </c>
      <c r="AB44" s="1389">
        <f t="shared" si="4"/>
        <v>1</v>
      </c>
      <c r="AC44" s="1389">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68"/>
      <c r="Q45" s="1385">
        <f t="shared" si="13"/>
        <v>111</v>
      </c>
      <c r="R45" s="1386" t="s">
        <v>5</v>
      </c>
      <c r="S45" s="1387">
        <f t="shared" si="9"/>
        <v>100</v>
      </c>
      <c r="T45" s="1386" t="s">
        <v>5</v>
      </c>
      <c r="U45" s="1387">
        <f t="shared" si="10"/>
        <v>100</v>
      </c>
      <c r="V45" s="1386" t="s">
        <v>5</v>
      </c>
      <c r="W45" s="1387">
        <f t="shared" si="11"/>
        <v>100</v>
      </c>
      <c r="X45" s="1380"/>
      <c r="Y45" s="3868"/>
      <c r="Z45" s="1388">
        <f t="shared" si="12"/>
        <v>111</v>
      </c>
      <c r="AA45" s="1389">
        <f t="shared" si="3"/>
        <v>1</v>
      </c>
      <c r="AB45" s="1389">
        <f t="shared" si="4"/>
        <v>1</v>
      </c>
      <c r="AC45" s="1389">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68"/>
      <c r="Q46" s="1385">
        <f t="shared" si="13"/>
        <v>111</v>
      </c>
      <c r="R46" s="1386" t="s">
        <v>5</v>
      </c>
      <c r="S46" s="1387">
        <f t="shared" si="9"/>
        <v>100</v>
      </c>
      <c r="T46" s="1386" t="s">
        <v>5</v>
      </c>
      <c r="U46" s="1387">
        <f t="shared" si="10"/>
        <v>100</v>
      </c>
      <c r="V46" s="1386" t="s">
        <v>5</v>
      </c>
      <c r="W46" s="1387">
        <f t="shared" si="11"/>
        <v>100</v>
      </c>
      <c r="X46" s="1380"/>
      <c r="Y46" s="3868"/>
      <c r="Z46" s="1388">
        <f t="shared" si="12"/>
        <v>111</v>
      </c>
      <c r="AA46" s="1389">
        <f t="shared" si="3"/>
        <v>1</v>
      </c>
      <c r="AB46" s="1389">
        <f t="shared" si="4"/>
        <v>1</v>
      </c>
      <c r="AC46" s="1389">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68"/>
      <c r="Q47" s="1385">
        <f t="shared" si="13"/>
        <v>111</v>
      </c>
      <c r="R47" s="1390" t="s">
        <v>5</v>
      </c>
      <c r="S47" s="1391">
        <f t="shared" si="9"/>
        <v>100</v>
      </c>
      <c r="T47" s="1390" t="s">
        <v>5</v>
      </c>
      <c r="U47" s="1391">
        <f t="shared" si="10"/>
        <v>100</v>
      </c>
      <c r="V47" s="1390" t="s">
        <v>5</v>
      </c>
      <c r="W47" s="1391">
        <f t="shared" si="11"/>
        <v>100</v>
      </c>
      <c r="X47" s="1392"/>
      <c r="Y47" s="3868"/>
      <c r="Z47" s="1393">
        <f t="shared" si="12"/>
        <v>111</v>
      </c>
      <c r="AA47" s="1389">
        <f t="shared" si="3"/>
        <v>1</v>
      </c>
      <c r="AB47" s="1389">
        <f t="shared" si="4"/>
        <v>1</v>
      </c>
      <c r="AC47" s="1389">
        <f t="shared" si="5"/>
        <v>1</v>
      </c>
    </row>
    <row r="48" spans="1:29" ht="20.25">
      <c r="A48" s="577" t="s">
        <v>505</v>
      </c>
      <c r="B48" s="578" t="s">
        <v>3701</v>
      </c>
      <c r="C48" s="579" t="s">
        <v>0</v>
      </c>
      <c r="D48" s="580"/>
      <c r="E48" s="581">
        <f>土地案例!AN4</f>
        <v>2800</v>
      </c>
      <c r="F48" s="582"/>
      <c r="G48" s="583">
        <f>土地案例!AN9</f>
        <v>2800</v>
      </c>
      <c r="H48" s="584"/>
      <c r="I48" s="581">
        <f>土地案例!AN17</f>
        <v>3000</v>
      </c>
      <c r="J48" s="584"/>
      <c r="K48" s="1201"/>
      <c r="L48" s="1867"/>
      <c r="M48" s="1855"/>
      <c r="N48" s="1855"/>
      <c r="O48" s="1868"/>
      <c r="P48" s="3863" t="str">
        <f>A48</f>
        <v>成交单价</v>
      </c>
      <c r="Q48" s="3863"/>
      <c r="R48" s="3879">
        <f>E48</f>
        <v>2800</v>
      </c>
      <c r="S48" s="3879"/>
      <c r="T48" s="3879">
        <f>G48</f>
        <v>2800</v>
      </c>
      <c r="U48" s="3879"/>
      <c r="V48" s="3879">
        <f>I48</f>
        <v>3000</v>
      </c>
      <c r="W48" s="3879"/>
      <c r="X48" s="1375"/>
      <c r="Y48" s="1394"/>
      <c r="Z48" s="1375"/>
      <c r="AA48" s="1375"/>
      <c r="AB48" s="1375"/>
      <c r="AC48" s="1375"/>
    </row>
    <row r="49" spans="1:29" ht="21" thickBot="1">
      <c r="A49" s="585" t="s">
        <v>1975</v>
      </c>
      <c r="B49" s="586"/>
      <c r="C49" s="587">
        <f>R50</f>
        <v>2793</v>
      </c>
      <c r="D49" s="2757" t="s">
        <v>2261</v>
      </c>
      <c r="E49" s="587">
        <f>R49</f>
        <v>2713</v>
      </c>
      <c r="F49" s="2758"/>
      <c r="G49" s="588">
        <f>T49</f>
        <v>2724</v>
      </c>
      <c r="H49" s="2758"/>
      <c r="I49" s="587">
        <f>V49</f>
        <v>2942</v>
      </c>
      <c r="J49" s="2758"/>
      <c r="K49" s="2759">
        <f>F49+H49+J49</f>
        <v>0</v>
      </c>
      <c r="L49" s="1867"/>
      <c r="M49" s="1855"/>
      <c r="N49" s="1855"/>
      <c r="O49" s="1868"/>
      <c r="P49" s="3863" t="str">
        <f>A49</f>
        <v>比较价格（元/平方米）</v>
      </c>
      <c r="Q49" s="3863"/>
      <c r="R49" s="3887">
        <f>ROUND(PRODUCT(R48,AA9:AA47),0)</f>
        <v>2713</v>
      </c>
      <c r="S49" s="3887"/>
      <c r="T49" s="3887">
        <f>ROUND(PRODUCT(T48,AB9:AB47),0)</f>
        <v>2724</v>
      </c>
      <c r="U49" s="3887"/>
      <c r="V49" s="3887">
        <f>ROUND(PRODUCT(V48,AC9:AC47),0)</f>
        <v>2942</v>
      </c>
      <c r="W49" s="3887"/>
      <c r="X49" s="1375"/>
      <c r="Y49" s="1375"/>
      <c r="Z49" s="1375"/>
      <c r="AA49" s="1375"/>
      <c r="AB49" s="1375"/>
      <c r="AC49" s="1375"/>
    </row>
    <row r="50" spans="1:29" ht="21" thickBot="1">
      <c r="A50" s="589" t="s">
        <v>2198</v>
      </c>
      <c r="B50" s="590"/>
      <c r="C50" s="591">
        <f>R50</f>
        <v>2793</v>
      </c>
      <c r="D50" s="591"/>
      <c r="E50" s="591"/>
      <c r="F50" s="591"/>
      <c r="G50" s="591"/>
      <c r="H50" s="591"/>
      <c r="I50" s="591"/>
      <c r="J50" s="591"/>
      <c r="K50" s="1202"/>
      <c r="L50" s="1867"/>
      <c r="M50" s="1855"/>
      <c r="N50" s="1855"/>
      <c r="O50" s="1868"/>
      <c r="P50" s="3869" t="str">
        <f>A50</f>
        <v>估价对象XX用房的比较价格（楼面单价，元/平方米）</v>
      </c>
      <c r="Q50" s="3870"/>
      <c r="R50" s="3886">
        <f>ROUND(IF(D49="简单平均",AVERAGE(R49:W49),R49*F49+T49*H49+V49*J49),0)</f>
        <v>2793</v>
      </c>
      <c r="S50" s="3886"/>
      <c r="T50" s="3886"/>
      <c r="U50" s="3886"/>
      <c r="V50" s="3886"/>
      <c r="W50" s="3886"/>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f>IF(E48&lt;E49,E49/E48-1,E48/E49-1)</f>
        <v>3.2067821599705226E-2</v>
      </c>
      <c r="F53" s="595" t="str">
        <f>IF(OR(E53&gt;=0.3,E53&lt;=-0.3),"超过30%","")</f>
        <v/>
      </c>
      <c r="G53" s="594">
        <f>IF(G48&lt;G49,G49/G48-1,G48/G49-1)</f>
        <v>2.7900146842878115E-2</v>
      </c>
      <c r="H53" s="595" t="str">
        <f>IF(OR(G53&gt;=0.3,G53&lt;=-0.3),"超过30%","")</f>
        <v/>
      </c>
      <c r="I53" s="594">
        <f>IF(I48&lt;I49,I49/I48-1,I48/I49-1)</f>
        <v>1.971447994561526E-2</v>
      </c>
      <c r="J53" s="595" t="str">
        <f>IF(OR(I53&gt;=0.3,I53&lt;=-0.3),"超过30%","")</f>
        <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f>IF(E49&lt;G49,G49/E49-1,E49/G49-1)</f>
        <v>4.0545521562844744E-3</v>
      </c>
      <c r="F54" s="595" t="str">
        <f>IF(OR(E54&gt;=0.2,E54&lt;=-0.2),"超过20%","")</f>
        <v/>
      </c>
      <c r="G54" s="594">
        <f>IF(G49&lt;I49,I49/G49-1,G49/I49-1)</f>
        <v>8.0029368575624149E-2</v>
      </c>
      <c r="H54" s="595" t="str">
        <f>IF(OR(G54&gt;=0.2,G54&lt;=-0.2),"超过20%","")</f>
        <v/>
      </c>
      <c r="I54" s="594">
        <f>IF(I49&lt;E49,E49/I49-1,I49/E49-1)</f>
        <v>8.4408403980833047E-2</v>
      </c>
      <c r="J54" s="595" t="str">
        <f>IF(OR(I54&gt;=0.2,I54&lt;=-0.2),"超过20%","")</f>
        <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f>IF(E48&lt;G48,G48/E48-1,E48/G48-1)</f>
        <v>0</v>
      </c>
      <c r="F55" s="595" t="str">
        <f>IF(OR(E55&gt;=0.3,E55&lt;=-0.3),"超过30%","")</f>
        <v/>
      </c>
      <c r="G55" s="594">
        <f>IF(G48&lt;I48,I48/G48-1,G48/I48-1)</f>
        <v>7.1428571428571397E-2</v>
      </c>
      <c r="H55" s="595" t="str">
        <f>IF(OR(G55&gt;=0.3,G55&lt;=-0.3),"超过30%","")</f>
        <v/>
      </c>
      <c r="I55" s="594">
        <f>IF(I48&lt;E48,E48/I48-1,I48/E48-1)</f>
        <v>7.1428571428571397E-2</v>
      </c>
      <c r="J55" s="595" t="str">
        <f>IF(OR(I55&gt;=0.3,I55&lt;=-0.3),"超过30%","")</f>
        <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48" t="s">
        <v>1639</v>
      </c>
      <c r="H57" s="3849"/>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2793</v>
      </c>
      <c r="C58" s="603">
        <v>1</v>
      </c>
      <c r="D58" s="1947">
        <v>1</v>
      </c>
      <c r="E58" s="603">
        <f>'数据-汇总表'!E8+'数据-汇总表'!E9</f>
        <v>56169.36</v>
      </c>
      <c r="F58" s="604">
        <f t="shared" ref="F58:F66" si="14">ROUND(B58*E58/10000,0)</f>
        <v>15688</v>
      </c>
      <c r="G58" s="3850"/>
      <c r="H58" s="3851"/>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0</v>
      </c>
      <c r="C59" s="365">
        <f t="shared" ref="C59:C66" si="15">IF($C$57="北京市系数",I59,J59)</f>
        <v>0</v>
      </c>
      <c r="D59" s="1948">
        <v>0.25</v>
      </c>
      <c r="E59" s="607">
        <v>0</v>
      </c>
      <c r="F59" s="604">
        <f t="shared" si="14"/>
        <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0</v>
      </c>
      <c r="C60" s="365">
        <f t="shared" si="15"/>
        <v>0</v>
      </c>
      <c r="D60" s="1948">
        <v>0.25</v>
      </c>
      <c r="E60" s="607">
        <v>0</v>
      </c>
      <c r="F60" s="604">
        <f t="shared" si="14"/>
        <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0</v>
      </c>
      <c r="C61" s="365">
        <f t="shared" si="15"/>
        <v>0</v>
      </c>
      <c r="D61" s="1948">
        <v>0.25</v>
      </c>
      <c r="E61" s="607">
        <v>0</v>
      </c>
      <c r="F61" s="604">
        <f t="shared" si="14"/>
        <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f t="shared" si="16"/>
        <v>0</v>
      </c>
      <c r="C62" s="365">
        <f t="shared" si="15"/>
        <v>0</v>
      </c>
      <c r="D62" s="1948">
        <v>0.25</v>
      </c>
      <c r="E62" s="609">
        <f>'数据-汇总表'!E11</f>
        <v>0</v>
      </c>
      <c r="F62" s="604">
        <f t="shared" si="14"/>
        <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0</v>
      </c>
      <c r="C63" s="365">
        <f t="shared" si="15"/>
        <v>0</v>
      </c>
      <c r="D63" s="1948">
        <v>0.25</v>
      </c>
      <c r="E63" s="609">
        <f>'数据-汇总表'!E12</f>
        <v>0</v>
      </c>
      <c r="F63" s="604">
        <f t="shared" si="14"/>
        <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0</v>
      </c>
      <c r="C64" s="365">
        <f t="shared" si="15"/>
        <v>0</v>
      </c>
      <c r="D64" s="1948">
        <v>0.25</v>
      </c>
      <c r="E64" s="609">
        <f>'数据-汇总表'!E13</f>
        <v>0</v>
      </c>
      <c r="F64" s="604">
        <f t="shared" si="14"/>
        <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0</v>
      </c>
      <c r="C65" s="365">
        <f t="shared" si="15"/>
        <v>0</v>
      </c>
      <c r="D65" s="1948">
        <v>0.25</v>
      </c>
      <c r="E65" s="609">
        <f>'数据-汇总表'!E14</f>
        <v>0</v>
      </c>
      <c r="F65" s="604">
        <f t="shared" si="14"/>
        <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0</v>
      </c>
      <c r="C66" s="365">
        <f t="shared" si="15"/>
        <v>0</v>
      </c>
      <c r="D66" s="1948">
        <v>0.25</v>
      </c>
      <c r="E66" s="609">
        <f>'数据-汇总表'!E15</f>
        <v>0</v>
      </c>
      <c r="F66" s="604">
        <f t="shared" si="14"/>
        <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56169.36</v>
      </c>
      <c r="F67" s="612">
        <f>IF(B48="楼面地价",SUM(F58:F66),ROUND(C50*E67/10000,0))</f>
        <v>15688</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2023-4-1</v>
      </c>
      <c r="D69" s="2279">
        <f>EDATE(C69,-3)</f>
        <v>44927</v>
      </c>
      <c r="E69" s="2279">
        <f t="shared" ref="E69:N69" si="17">EDATE(D69,-3)</f>
        <v>44835</v>
      </c>
      <c r="F69" s="2279">
        <f t="shared" si="17"/>
        <v>44743</v>
      </c>
      <c r="G69" s="2279">
        <f t="shared" si="17"/>
        <v>44652</v>
      </c>
      <c r="H69" s="2279">
        <f t="shared" si="17"/>
        <v>44562</v>
      </c>
      <c r="I69" s="2279">
        <f t="shared" si="17"/>
        <v>44470</v>
      </c>
      <c r="J69" s="2279">
        <f t="shared" si="17"/>
        <v>44378</v>
      </c>
      <c r="K69" s="2279">
        <f t="shared" si="17"/>
        <v>44287</v>
      </c>
      <c r="L69" s="2279">
        <f t="shared" si="17"/>
        <v>44197</v>
      </c>
      <c r="M69" s="2279">
        <f t="shared" si="17"/>
        <v>44105</v>
      </c>
      <c r="N69" s="2279">
        <f t="shared" si="17"/>
        <v>44013</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2023-2</v>
      </c>
      <c r="D71" s="2281" t="str">
        <f>YEAR(D69)&amp;"-"&amp;ROUNDUP(MONTH(D69)/3,0)</f>
        <v>2023-1</v>
      </c>
      <c r="E71" s="2281" t="str">
        <f t="shared" ref="E71:N71" si="18">YEAR(E69)&amp;"-"&amp;ROUNDUP(MONTH(E69)/3,0)</f>
        <v>2022-4</v>
      </c>
      <c r="F71" s="2281" t="str">
        <f t="shared" si="18"/>
        <v>2022-3</v>
      </c>
      <c r="G71" s="2281" t="str">
        <f t="shared" si="18"/>
        <v>2022-2</v>
      </c>
      <c r="H71" s="2281" t="str">
        <f t="shared" si="18"/>
        <v>2022-1</v>
      </c>
      <c r="I71" s="2281" t="str">
        <f t="shared" si="18"/>
        <v>2021-4</v>
      </c>
      <c r="J71" s="2281" t="str">
        <f t="shared" si="18"/>
        <v>2021-3</v>
      </c>
      <c r="K71" s="2281" t="str">
        <f t="shared" si="18"/>
        <v>2021-2</v>
      </c>
      <c r="L71" s="2281" t="str">
        <f t="shared" si="18"/>
        <v>2021-1</v>
      </c>
      <c r="M71" s="2281" t="str">
        <f t="shared" si="18"/>
        <v>2020-4</v>
      </c>
      <c r="N71" s="2281" t="str">
        <f t="shared" si="18"/>
        <v>2020-3</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f>C72-0.2</f>
        <v>99.8</v>
      </c>
      <c r="E72" s="698">
        <f t="shared" ref="E72:N72" si="19">D72-0.2</f>
        <v>99.6</v>
      </c>
      <c r="F72" s="698">
        <f t="shared" si="19"/>
        <v>99.399999999999991</v>
      </c>
      <c r="G72" s="698">
        <f t="shared" si="19"/>
        <v>99.199999999999989</v>
      </c>
      <c r="H72" s="698">
        <f t="shared" si="19"/>
        <v>98.999999999999986</v>
      </c>
      <c r="I72" s="698">
        <f t="shared" si="19"/>
        <v>98.799999999999983</v>
      </c>
      <c r="J72" s="698">
        <f t="shared" si="19"/>
        <v>98.59999999999998</v>
      </c>
      <c r="K72" s="698">
        <f t="shared" si="19"/>
        <v>98.399999999999977</v>
      </c>
      <c r="L72" s="698">
        <f t="shared" si="19"/>
        <v>98.199999999999974</v>
      </c>
      <c r="M72" s="698">
        <f t="shared" si="19"/>
        <v>97.999999999999972</v>
      </c>
      <c r="N72" s="698">
        <f t="shared" si="19"/>
        <v>97.799999999999969</v>
      </c>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3668" t="s">
        <v>3687</v>
      </c>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v>100</v>
      </c>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0（含）-1</v>
      </c>
      <c r="D80" s="650" t="str">
        <f t="shared" ref="D80:L80" si="20">D81&amp;"（含）"&amp;"-"&amp;E81</f>
        <v>1（含）-2</v>
      </c>
      <c r="E80" s="650" t="str">
        <f t="shared" si="20"/>
        <v>2（含）-3</v>
      </c>
      <c r="F80" s="650" t="str">
        <f t="shared" si="20"/>
        <v>3（含）-</v>
      </c>
      <c r="G80" s="650" t="str">
        <f t="shared" si="20"/>
        <v>（含）-</v>
      </c>
      <c r="H80" s="650" t="str">
        <f t="shared" si="20"/>
        <v>（含）-</v>
      </c>
      <c r="I80" s="650" t="str">
        <f t="shared" si="20"/>
        <v>（含）-</v>
      </c>
      <c r="J80" s="650" t="str">
        <f t="shared" si="20"/>
        <v>（含）-</v>
      </c>
      <c r="K80" s="650" t="str">
        <f t="shared" si="20"/>
        <v>（含）-</v>
      </c>
      <c r="L80" s="650" t="str">
        <f t="shared" si="20"/>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v>1</v>
      </c>
      <c r="E81" s="511">
        <v>2</v>
      </c>
      <c r="F81" s="511">
        <v>3</v>
      </c>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95</v>
      </c>
      <c r="E90" s="647">
        <f>D90-$K17</f>
        <v>90</v>
      </c>
      <c r="F90" s="647">
        <f>E90-$K17</f>
        <v>85</v>
      </c>
      <c r="G90" s="647">
        <f>F90-$K17</f>
        <v>80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95</v>
      </c>
      <c r="E92" s="647">
        <f>D92-$K19</f>
        <v>90</v>
      </c>
      <c r="F92" s="647">
        <f>E92-$K19</f>
        <v>85</v>
      </c>
      <c r="G92" s="647">
        <f>F92-$K19</f>
        <v>80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98</v>
      </c>
      <c r="E96" s="647">
        <f>D96-$K23</f>
        <v>96</v>
      </c>
      <c r="F96" s="647">
        <f>E96-$K23</f>
        <v>94</v>
      </c>
      <c r="G96" s="647">
        <f>F96-$K23</f>
        <v>92</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95</v>
      </c>
      <c r="E100" s="647">
        <f>D100-$K27</f>
        <v>90</v>
      </c>
      <c r="F100" s="647">
        <f>E100-$K27</f>
        <v>85</v>
      </c>
      <c r="G100" s="647">
        <f>F100-$K27</f>
        <v>80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5">C118&amp;"(含)"&amp;"-"&amp;D118</f>
        <v>0(含)-30000</v>
      </c>
      <c r="D117" s="672" t="str">
        <f t="shared" si="25"/>
        <v>30000(含)-60000</v>
      </c>
      <c r="E117" s="672" t="str">
        <f t="shared" si="25"/>
        <v>60000(含)-90000</v>
      </c>
      <c r="F117" s="672" t="str">
        <f t="shared" si="25"/>
        <v>90000(含)-120000</v>
      </c>
      <c r="G117" s="672" t="str">
        <f t="shared" si="25"/>
        <v>120000(含)-150000</v>
      </c>
      <c r="H117" s="672" t="str">
        <f t="shared" si="25"/>
        <v>150000(含)-200000</v>
      </c>
      <c r="I117" s="672" t="str">
        <f t="shared" si="25"/>
        <v>200000(含)-</v>
      </c>
      <c r="J117" s="2537" t="str">
        <f t="shared" si="25"/>
        <v>(含)-</v>
      </c>
      <c r="K117" s="2537" t="str">
        <f t="shared" si="25"/>
        <v>(含)-</v>
      </c>
      <c r="L117" s="2538" t="str">
        <f t="shared" si="25"/>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30000</v>
      </c>
      <c r="E118" s="698">
        <v>60000</v>
      </c>
      <c r="F118" s="698">
        <v>90000</v>
      </c>
      <c r="G118" s="698">
        <v>120000</v>
      </c>
      <c r="H118" s="698">
        <v>150000</v>
      </c>
      <c r="I118" s="698">
        <v>200000</v>
      </c>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f>C119+2</f>
        <v>102</v>
      </c>
      <c r="E119" s="694">
        <f t="shared" ref="E119:I119" si="26">D119+2</f>
        <v>104</v>
      </c>
      <c r="F119" s="694">
        <f t="shared" si="26"/>
        <v>106</v>
      </c>
      <c r="G119" s="694">
        <f t="shared" si="26"/>
        <v>108</v>
      </c>
      <c r="H119" s="694">
        <f t="shared" si="26"/>
        <v>110</v>
      </c>
      <c r="I119" s="694">
        <f t="shared" si="26"/>
        <v>112</v>
      </c>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3669" t="s">
        <v>3688</v>
      </c>
      <c r="D120" s="3669" t="s">
        <v>3689</v>
      </c>
      <c r="E120" s="3669" t="s">
        <v>3690</v>
      </c>
      <c r="F120" s="3669" t="s">
        <v>3691</v>
      </c>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7">C121-$K41</f>
        <v>99</v>
      </c>
      <c r="E121" s="647">
        <f t="shared" si="27"/>
        <v>98</v>
      </c>
      <c r="F121" s="647">
        <f t="shared" si="27"/>
        <v>97</v>
      </c>
      <c r="G121" s="647">
        <f t="shared" si="27"/>
        <v>96</v>
      </c>
      <c r="H121" s="647">
        <f t="shared" si="27"/>
        <v>95</v>
      </c>
      <c r="I121" s="647">
        <f t="shared" si="27"/>
        <v>94</v>
      </c>
      <c r="J121" s="647">
        <f t="shared" si="27"/>
        <v>93</v>
      </c>
      <c r="K121" s="647">
        <f t="shared" si="27"/>
        <v>92</v>
      </c>
      <c r="L121" s="647">
        <f t="shared" si="27"/>
        <v>91</v>
      </c>
      <c r="M121" s="648">
        <f t="shared" si="27"/>
        <v>90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3670" t="s">
        <v>3692</v>
      </c>
      <c r="D122" s="3670" t="s">
        <v>3693</v>
      </c>
      <c r="E122" s="3670" t="s">
        <v>3694</v>
      </c>
      <c r="F122" s="3669" t="s">
        <v>3695</v>
      </c>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8">C123-$K42</f>
        <v>99</v>
      </c>
      <c r="E123" s="647">
        <f t="shared" si="28"/>
        <v>98</v>
      </c>
      <c r="F123" s="647">
        <f t="shared" si="28"/>
        <v>97</v>
      </c>
      <c r="G123" s="647">
        <f t="shared" si="28"/>
        <v>96</v>
      </c>
      <c r="H123" s="647">
        <f t="shared" si="28"/>
        <v>95</v>
      </c>
      <c r="I123" s="647">
        <f t="shared" si="28"/>
        <v>94</v>
      </c>
      <c r="J123" s="647">
        <f t="shared" si="28"/>
        <v>93</v>
      </c>
      <c r="K123" s="647">
        <f t="shared" si="28"/>
        <v>92</v>
      </c>
      <c r="L123" s="647">
        <f t="shared" si="28"/>
        <v>91</v>
      </c>
      <c r="M123" s="648">
        <f t="shared" si="28"/>
        <v>90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t="s">
        <v>3696</v>
      </c>
      <c r="D124" s="1233" t="s">
        <v>3697</v>
      </c>
      <c r="E124" s="1233" t="s">
        <v>3698</v>
      </c>
      <c r="F124" s="1233" t="s">
        <v>3699</v>
      </c>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9">C125-$K43</f>
        <v>99</v>
      </c>
      <c r="E125" s="647">
        <f t="shared" si="29"/>
        <v>98</v>
      </c>
      <c r="F125" s="647">
        <f t="shared" si="29"/>
        <v>97</v>
      </c>
      <c r="G125" s="647">
        <f t="shared" si="29"/>
        <v>96</v>
      </c>
      <c r="H125" s="647">
        <f t="shared" si="29"/>
        <v>95</v>
      </c>
      <c r="I125" s="647">
        <f t="shared" si="29"/>
        <v>94</v>
      </c>
      <c r="J125" s="647">
        <f t="shared" si="29"/>
        <v>93</v>
      </c>
      <c r="K125" s="647">
        <f t="shared" si="29"/>
        <v>92</v>
      </c>
      <c r="L125" s="647">
        <f t="shared" si="29"/>
        <v>91</v>
      </c>
      <c r="M125" s="648">
        <f t="shared" si="29"/>
        <v>90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3670" t="s">
        <v>3700</v>
      </c>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30">C127-$K44</f>
        <v>99</v>
      </c>
      <c r="E127" s="647">
        <f t="shared" si="30"/>
        <v>98</v>
      </c>
      <c r="F127" s="647">
        <f t="shared" si="30"/>
        <v>97</v>
      </c>
      <c r="G127" s="647">
        <f t="shared" si="30"/>
        <v>96</v>
      </c>
      <c r="H127" s="647">
        <f t="shared" si="30"/>
        <v>95</v>
      </c>
      <c r="I127" s="647">
        <f t="shared" si="30"/>
        <v>94</v>
      </c>
      <c r="J127" s="647">
        <f t="shared" si="30"/>
        <v>93</v>
      </c>
      <c r="K127" s="647">
        <f t="shared" si="30"/>
        <v>92</v>
      </c>
      <c r="L127" s="647">
        <f t="shared" si="30"/>
        <v>91</v>
      </c>
      <c r="M127" s="648">
        <f t="shared" si="30"/>
        <v>90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J42" sqref="J42"/>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71" t="s">
        <v>471</v>
      </c>
      <c r="D6" s="3872"/>
      <c r="E6" s="3893" t="s">
        <v>472</v>
      </c>
      <c r="F6" s="3894"/>
      <c r="G6" s="3871" t="s">
        <v>473</v>
      </c>
      <c r="H6" s="3872"/>
      <c r="I6" s="3871" t="s">
        <v>474</v>
      </c>
      <c r="J6" s="3872"/>
      <c r="K6" s="484" t="s">
        <v>475</v>
      </c>
      <c r="L6" s="1856"/>
      <c r="M6" s="1857"/>
      <c r="N6" s="1857"/>
      <c r="O6" s="1857"/>
      <c r="P6" s="3873" t="s">
        <v>476</v>
      </c>
      <c r="Q6" s="3874"/>
      <c r="R6" s="3857" t="s">
        <v>472</v>
      </c>
      <c r="S6" s="3858"/>
      <c r="T6" s="3857" t="s">
        <v>473</v>
      </c>
      <c r="U6" s="3858"/>
      <c r="V6" s="3879" t="s">
        <v>474</v>
      </c>
      <c r="W6" s="3879"/>
      <c r="X6" s="1380"/>
      <c r="Y6" s="3857" t="s">
        <v>476</v>
      </c>
      <c r="Z6" s="3858"/>
      <c r="AA6" s="3852" t="s">
        <v>472</v>
      </c>
      <c r="AB6" s="3853" t="s">
        <v>473</v>
      </c>
      <c r="AC6" s="3852" t="s">
        <v>474</v>
      </c>
    </row>
    <row r="7" spans="1:29" ht="15">
      <c r="A7" s="485"/>
      <c r="B7" s="486"/>
      <c r="C7" s="3882" t="s">
        <v>2192</v>
      </c>
      <c r="D7" s="3883"/>
      <c r="E7" s="3895" t="s">
        <v>2193</v>
      </c>
      <c r="F7" s="3896"/>
      <c r="G7" s="3882" t="s">
        <v>2194</v>
      </c>
      <c r="H7" s="3883"/>
      <c r="I7" s="3882" t="s">
        <v>2195</v>
      </c>
      <c r="J7" s="3883"/>
      <c r="K7" s="484"/>
      <c r="L7" s="1856"/>
      <c r="M7" s="1857"/>
      <c r="N7" s="1857"/>
      <c r="O7" s="1857"/>
      <c r="P7" s="3875"/>
      <c r="Q7" s="3876"/>
      <c r="R7" s="3859"/>
      <c r="S7" s="3860"/>
      <c r="T7" s="3859"/>
      <c r="U7" s="3860"/>
      <c r="V7" s="3879"/>
      <c r="W7" s="3879"/>
      <c r="X7" s="1380"/>
      <c r="Y7" s="3859"/>
      <c r="Z7" s="3860"/>
      <c r="AA7" s="3853"/>
      <c r="AB7" s="3853"/>
      <c r="AC7" s="3853"/>
    </row>
    <row r="8" spans="1:29" ht="15.75" thickBot="1">
      <c r="A8" s="487"/>
      <c r="B8" s="488"/>
      <c r="C8" s="3880" t="s">
        <v>2196</v>
      </c>
      <c r="D8" s="3881"/>
      <c r="E8" s="3897" t="s">
        <v>2196</v>
      </c>
      <c r="F8" s="3898"/>
      <c r="G8" s="3880" t="s">
        <v>2196</v>
      </c>
      <c r="H8" s="3881"/>
      <c r="I8" s="3880" t="s">
        <v>2196</v>
      </c>
      <c r="J8" s="3881"/>
      <c r="K8" s="484" t="s">
        <v>477</v>
      </c>
      <c r="L8" s="1856"/>
      <c r="M8" s="1857"/>
      <c r="N8" s="1857"/>
      <c r="O8" s="1857"/>
      <c r="P8" s="3877"/>
      <c r="Q8" s="3878"/>
      <c r="R8" s="3859"/>
      <c r="S8" s="3860"/>
      <c r="T8" s="3861"/>
      <c r="U8" s="3862"/>
      <c r="V8" s="3879"/>
      <c r="W8" s="3879"/>
      <c r="X8" s="1380"/>
      <c r="Y8" s="3861"/>
      <c r="Z8" s="3862"/>
      <c r="AA8" s="3854"/>
      <c r="AB8" s="3854"/>
      <c r="AC8" s="3854"/>
    </row>
    <row r="9" spans="1:29" s="1118" customFormat="1" ht="15.75" thickBot="1">
      <c r="A9" s="2392"/>
      <c r="B9" s="2399" t="s">
        <v>478</v>
      </c>
      <c r="C9" s="489">
        <f>'数据-取费表'!B2</f>
        <v>45028</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55" t="s">
        <v>479</v>
      </c>
      <c r="Q9" s="3864"/>
      <c r="R9" s="1381" t="s">
        <v>5</v>
      </c>
      <c r="S9" s="1382">
        <f t="shared" ref="S9:S17" si="0">F9</f>
        <v>0</v>
      </c>
      <c r="T9" s="1381" t="s">
        <v>5</v>
      </c>
      <c r="U9" s="1382">
        <f t="shared" ref="U9:U17" si="1">H9</f>
        <v>0</v>
      </c>
      <c r="V9" s="1381" t="s">
        <v>5</v>
      </c>
      <c r="W9" s="1382">
        <f t="shared" ref="W9:W17" si="2">J9</f>
        <v>0</v>
      </c>
      <c r="X9" s="1383"/>
      <c r="Y9" s="3855" t="s">
        <v>479</v>
      </c>
      <c r="Z9" s="3856"/>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55" t="s">
        <v>482</v>
      </c>
      <c r="Q10" s="3856"/>
      <c r="R10" s="1381" t="s">
        <v>5</v>
      </c>
      <c r="S10" s="1382">
        <f t="shared" si="0"/>
        <v>0</v>
      </c>
      <c r="T10" s="1381" t="s">
        <v>5</v>
      </c>
      <c r="U10" s="1382">
        <f t="shared" si="1"/>
        <v>0</v>
      </c>
      <c r="V10" s="1381" t="s">
        <v>5</v>
      </c>
      <c r="W10" s="1382">
        <f t="shared" si="2"/>
        <v>0</v>
      </c>
      <c r="X10" s="1383"/>
      <c r="Y10" s="3855" t="s">
        <v>482</v>
      </c>
      <c r="Z10" s="3856"/>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63" t="s">
        <v>484</v>
      </c>
      <c r="Q11" s="1050" t="str">
        <f t="shared" ref="Q11:Q17" si="6">B11</f>
        <v>用途</v>
      </c>
      <c r="R11" s="1381" t="s">
        <v>5</v>
      </c>
      <c r="S11" s="1382">
        <f t="shared" si="0"/>
        <v>100</v>
      </c>
      <c r="T11" s="1381" t="s">
        <v>5</v>
      </c>
      <c r="U11" s="1382">
        <f t="shared" si="1"/>
        <v>100</v>
      </c>
      <c r="V11" s="1381" t="s">
        <v>5</v>
      </c>
      <c r="W11" s="1382">
        <f t="shared" si="2"/>
        <v>100</v>
      </c>
      <c r="X11" s="1383"/>
      <c r="Y11" s="3811"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102</v>
      </c>
      <c r="G12" s="498"/>
      <c r="H12" s="246">
        <f>ROUND(100/'数据-取费表'!G16,0)</f>
        <v>102</v>
      </c>
      <c r="I12" s="498"/>
      <c r="J12" s="246">
        <f>ROUND(100/'数据-取费表'!G16,0)</f>
        <v>102</v>
      </c>
      <c r="K12" s="501"/>
      <c r="L12" s="1861"/>
      <c r="M12" s="1900"/>
      <c r="N12" s="1900"/>
      <c r="O12" s="1862"/>
      <c r="P12" s="3863"/>
      <c r="Q12" s="1050" t="str">
        <f t="shared" si="6"/>
        <v>土地使用年限（年）</v>
      </c>
      <c r="R12" s="1381" t="s">
        <v>5</v>
      </c>
      <c r="S12" s="1382">
        <f t="shared" si="0"/>
        <v>102</v>
      </c>
      <c r="T12" s="1381" t="s">
        <v>5</v>
      </c>
      <c r="U12" s="1382">
        <f t="shared" si="1"/>
        <v>102</v>
      </c>
      <c r="V12" s="1381" t="s">
        <v>5</v>
      </c>
      <c r="W12" s="1382">
        <f t="shared" si="2"/>
        <v>102</v>
      </c>
      <c r="X12" s="1383"/>
      <c r="Y12" s="3811"/>
      <c r="Z12" s="1049" t="str">
        <f t="shared" si="7"/>
        <v>土地使用年限（年）</v>
      </c>
      <c r="AA12" s="1384">
        <f t="shared" si="3"/>
        <v>0.98039215686274506</v>
      </c>
      <c r="AB12" s="1384">
        <f t="shared" si="4"/>
        <v>0.98039215686274506</v>
      </c>
      <c r="AC12" s="1384">
        <f t="shared" si="5"/>
        <v>0.98039215686274506</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63"/>
      <c r="Q13" s="1050" t="str">
        <f t="shared" si="6"/>
        <v>容积率</v>
      </c>
      <c r="R13" s="1381" t="s">
        <v>5</v>
      </c>
      <c r="S13" s="1382" t="e">
        <f t="shared" si="0"/>
        <v>#N/A</v>
      </c>
      <c r="T13" s="1381" t="s">
        <v>5</v>
      </c>
      <c r="U13" s="1382" t="e">
        <f t="shared" si="1"/>
        <v>#N/A</v>
      </c>
      <c r="V13" s="1381" t="s">
        <v>5</v>
      </c>
      <c r="W13" s="1382" t="e">
        <f t="shared" si="2"/>
        <v>#N/A</v>
      </c>
      <c r="X13" s="1383"/>
      <c r="Y13" s="3811"/>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63"/>
      <c r="Q14" s="1050">
        <f t="shared" si="6"/>
        <v>111</v>
      </c>
      <c r="R14" s="1381" t="s">
        <v>5</v>
      </c>
      <c r="S14" s="1382">
        <f t="shared" si="0"/>
        <v>100</v>
      </c>
      <c r="T14" s="1381" t="s">
        <v>5</v>
      </c>
      <c r="U14" s="1382">
        <f t="shared" si="1"/>
        <v>100</v>
      </c>
      <c r="V14" s="1381" t="s">
        <v>5</v>
      </c>
      <c r="W14" s="1382">
        <f t="shared" si="2"/>
        <v>100</v>
      </c>
      <c r="X14" s="1383"/>
      <c r="Y14" s="3811"/>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63"/>
      <c r="Q15" s="1050">
        <f t="shared" si="6"/>
        <v>111</v>
      </c>
      <c r="R15" s="1381" t="s">
        <v>5</v>
      </c>
      <c r="S15" s="1382">
        <f t="shared" si="0"/>
        <v>100</v>
      </c>
      <c r="T15" s="1381" t="s">
        <v>5</v>
      </c>
      <c r="U15" s="1382">
        <f t="shared" si="1"/>
        <v>100</v>
      </c>
      <c r="V15" s="1381" t="s">
        <v>5</v>
      </c>
      <c r="W15" s="1382">
        <f t="shared" si="2"/>
        <v>100</v>
      </c>
      <c r="X15" s="1383"/>
      <c r="Y15" s="3811"/>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63"/>
      <c r="Q16" s="1050">
        <f t="shared" si="6"/>
        <v>111</v>
      </c>
      <c r="R16" s="1381" t="s">
        <v>5</v>
      </c>
      <c r="S16" s="1382">
        <f t="shared" si="0"/>
        <v>100</v>
      </c>
      <c r="T16" s="1381" t="s">
        <v>5</v>
      </c>
      <c r="U16" s="1382">
        <f t="shared" si="1"/>
        <v>100</v>
      </c>
      <c r="V16" s="1381" t="s">
        <v>5</v>
      </c>
      <c r="W16" s="1382">
        <f t="shared" si="2"/>
        <v>100</v>
      </c>
      <c r="X16" s="1383"/>
      <c r="Y16" s="3811"/>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65" t="s">
        <v>489</v>
      </c>
      <c r="Q17" s="1385" t="str">
        <f t="shared" si="6"/>
        <v>产业集聚程度</v>
      </c>
      <c r="R17" s="1386" t="s">
        <v>5</v>
      </c>
      <c r="S17" s="1387">
        <f t="shared" si="0"/>
        <v>100</v>
      </c>
      <c r="T17" s="1386" t="s">
        <v>5</v>
      </c>
      <c r="U17" s="1387">
        <f t="shared" si="1"/>
        <v>100</v>
      </c>
      <c r="V17" s="1386" t="s">
        <v>5</v>
      </c>
      <c r="W17" s="1387">
        <f t="shared" si="2"/>
        <v>100</v>
      </c>
      <c r="X17" s="1380"/>
      <c r="Y17" s="3865"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66"/>
      <c r="Q18" s="1385"/>
      <c r="R18" s="1386"/>
      <c r="S18" s="1387"/>
      <c r="T18" s="1386"/>
      <c r="U18" s="1387"/>
      <c r="V18" s="1386"/>
      <c r="W18" s="1387"/>
      <c r="X18" s="1380"/>
      <c r="Y18" s="3866"/>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66"/>
      <c r="Q19" s="1385" t="str">
        <f>B19</f>
        <v>交通便捷度</v>
      </c>
      <c r="R19" s="1386" t="s">
        <v>5</v>
      </c>
      <c r="S19" s="1387">
        <f>F19</f>
        <v>100</v>
      </c>
      <c r="T19" s="1386" t="s">
        <v>5</v>
      </c>
      <c r="U19" s="1387">
        <f>H19</f>
        <v>100</v>
      </c>
      <c r="V19" s="1386" t="s">
        <v>5</v>
      </c>
      <c r="W19" s="1387">
        <f>J19</f>
        <v>100</v>
      </c>
      <c r="X19" s="1380"/>
      <c r="Y19" s="3866"/>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66"/>
      <c r="Q20" s="1385"/>
      <c r="R20" s="1386"/>
      <c r="S20" s="1387"/>
      <c r="T20" s="1386"/>
      <c r="U20" s="1387"/>
      <c r="V20" s="1386"/>
      <c r="W20" s="1387"/>
      <c r="X20" s="1380"/>
      <c r="Y20" s="3866"/>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66"/>
      <c r="Q21" s="1385" t="str">
        <f t="shared" ref="Q21:Q35" si="8">B21</f>
        <v>区域土地利用方向</v>
      </c>
      <c r="R21" s="1386" t="s">
        <v>5</v>
      </c>
      <c r="S21" s="1387">
        <f>F21</f>
        <v>100</v>
      </c>
      <c r="T21" s="1386" t="s">
        <v>5</v>
      </c>
      <c r="U21" s="1387">
        <f>H21</f>
        <v>100</v>
      </c>
      <c r="V21" s="1386" t="s">
        <v>5</v>
      </c>
      <c r="W21" s="1387">
        <f>J21</f>
        <v>100</v>
      </c>
      <c r="X21" s="1380"/>
      <c r="Y21" s="3866"/>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66"/>
      <c r="Q22" s="1385"/>
      <c r="R22" s="1386"/>
      <c r="S22" s="1387"/>
      <c r="T22" s="1386"/>
      <c r="U22" s="1387"/>
      <c r="V22" s="1386"/>
      <c r="W22" s="1387"/>
      <c r="X22" s="1380"/>
      <c r="Y22" s="3866"/>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66"/>
      <c r="Q23" s="1385" t="str">
        <f t="shared" si="8"/>
        <v>环境状况</v>
      </c>
      <c r="R23" s="1386" t="s">
        <v>5</v>
      </c>
      <c r="S23" s="1387">
        <f>F23</f>
        <v>100</v>
      </c>
      <c r="T23" s="1386" t="s">
        <v>5</v>
      </c>
      <c r="U23" s="1387">
        <f>H23</f>
        <v>100</v>
      </c>
      <c r="V23" s="1386" t="s">
        <v>5</v>
      </c>
      <c r="W23" s="1387">
        <f>J23</f>
        <v>100</v>
      </c>
      <c r="X23" s="1380"/>
      <c r="Y23" s="3866"/>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66"/>
      <c r="Q24" s="1385"/>
      <c r="R24" s="1386"/>
      <c r="S24" s="1387"/>
      <c r="T24" s="1386"/>
      <c r="U24" s="1387"/>
      <c r="V24" s="1386"/>
      <c r="W24" s="1387"/>
      <c r="X24" s="1380"/>
      <c r="Y24" s="3866"/>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66"/>
      <c r="Q25" s="1050" t="str">
        <f t="shared" si="8"/>
        <v>公共配套设施</v>
      </c>
      <c r="R25" s="1381" t="s">
        <v>5</v>
      </c>
      <c r="S25" s="1382">
        <f>F25</f>
        <v>100</v>
      </c>
      <c r="T25" s="1381" t="s">
        <v>5</v>
      </c>
      <c r="U25" s="1382">
        <f>H25</f>
        <v>100</v>
      </c>
      <c r="V25" s="1381" t="s">
        <v>5</v>
      </c>
      <c r="W25" s="1382">
        <f>J25</f>
        <v>100</v>
      </c>
      <c r="X25" s="1383"/>
      <c r="Y25" s="3866"/>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66"/>
      <c r="Q26" s="1050"/>
      <c r="R26" s="1381"/>
      <c r="S26" s="1382"/>
      <c r="T26" s="1381"/>
      <c r="U26" s="1382"/>
      <c r="V26" s="1381"/>
      <c r="W26" s="1382"/>
      <c r="X26" s="1383"/>
      <c r="Y26" s="3866"/>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66"/>
      <c r="Q27" s="2192" t="str">
        <f>B27</f>
        <v>基础设施水平</v>
      </c>
      <c r="R27" s="1381" t="s">
        <v>5</v>
      </c>
      <c r="S27" s="1382">
        <f>F27</f>
        <v>100</v>
      </c>
      <c r="T27" s="1381" t="s">
        <v>5</v>
      </c>
      <c r="U27" s="1382">
        <f>H27</f>
        <v>100</v>
      </c>
      <c r="V27" s="1381" t="s">
        <v>5</v>
      </c>
      <c r="W27" s="1382">
        <f>J27</f>
        <v>100</v>
      </c>
      <c r="X27" s="1383"/>
      <c r="Y27" s="3866"/>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66"/>
      <c r="Q28" s="2192"/>
      <c r="R28" s="1381"/>
      <c r="S28" s="1382"/>
      <c r="T28" s="1381"/>
      <c r="U28" s="1382"/>
      <c r="V28" s="1381"/>
      <c r="W28" s="1382"/>
      <c r="X28" s="1383"/>
      <c r="Y28" s="3866"/>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66"/>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66"/>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66"/>
      <c r="Q30" s="1385" t="str">
        <f t="shared" si="8"/>
        <v>毗邻道路的类型与等级</v>
      </c>
      <c r="R30" s="1386" t="s">
        <v>5</v>
      </c>
      <c r="S30" s="1387">
        <f t="shared" si="9"/>
        <v>100</v>
      </c>
      <c r="T30" s="1386" t="s">
        <v>5</v>
      </c>
      <c r="U30" s="1387">
        <f t="shared" si="10"/>
        <v>100</v>
      </c>
      <c r="V30" s="1386" t="s">
        <v>5</v>
      </c>
      <c r="W30" s="1387">
        <f t="shared" si="11"/>
        <v>100</v>
      </c>
      <c r="X30" s="1380"/>
      <c r="Y30" s="3866"/>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66"/>
      <c r="Q31" s="1385"/>
      <c r="R31" s="1386"/>
      <c r="S31" s="1387"/>
      <c r="T31" s="1386"/>
      <c r="U31" s="1387"/>
      <c r="V31" s="1386"/>
      <c r="W31" s="1387"/>
      <c r="X31" s="1380"/>
      <c r="Y31" s="3866"/>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66"/>
      <c r="Q32" s="1385" t="str">
        <f t="shared" si="8"/>
        <v>土地级别</v>
      </c>
      <c r="R32" s="1386" t="s">
        <v>5</v>
      </c>
      <c r="S32" s="1387">
        <f t="shared" si="9"/>
        <v>100</v>
      </c>
      <c r="T32" s="1386" t="s">
        <v>5</v>
      </c>
      <c r="U32" s="1387">
        <f t="shared" si="10"/>
        <v>100</v>
      </c>
      <c r="V32" s="1386" t="s">
        <v>5</v>
      </c>
      <c r="W32" s="1387">
        <f t="shared" si="11"/>
        <v>100</v>
      </c>
      <c r="X32" s="1380"/>
      <c r="Y32" s="3866"/>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66"/>
      <c r="Q33" s="1385">
        <f t="shared" si="8"/>
        <v>111</v>
      </c>
      <c r="R33" s="1386" t="s">
        <v>5</v>
      </c>
      <c r="S33" s="1387">
        <f t="shared" si="9"/>
        <v>100</v>
      </c>
      <c r="T33" s="1386" t="s">
        <v>5</v>
      </c>
      <c r="U33" s="1387">
        <f t="shared" si="10"/>
        <v>100</v>
      </c>
      <c r="V33" s="1386" t="s">
        <v>5</v>
      </c>
      <c r="W33" s="1387">
        <f t="shared" si="11"/>
        <v>100</v>
      </c>
      <c r="X33" s="1380"/>
      <c r="Y33" s="3866"/>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67" t="s">
        <v>499</v>
      </c>
      <c r="Q34" s="1385">
        <f t="shared" si="8"/>
        <v>111</v>
      </c>
      <c r="R34" s="1386" t="s">
        <v>5</v>
      </c>
      <c r="S34" s="1387">
        <f t="shared" si="9"/>
        <v>100</v>
      </c>
      <c r="T34" s="1386" t="s">
        <v>5</v>
      </c>
      <c r="U34" s="1387">
        <f t="shared" si="10"/>
        <v>100</v>
      </c>
      <c r="V34" s="1386" t="s">
        <v>5</v>
      </c>
      <c r="W34" s="1387">
        <f t="shared" si="11"/>
        <v>100</v>
      </c>
      <c r="X34" s="1380"/>
      <c r="Y34" s="3868"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68"/>
      <c r="Q35" s="1385">
        <f t="shared" si="8"/>
        <v>111</v>
      </c>
      <c r="R35" s="1390" t="s">
        <v>5</v>
      </c>
      <c r="S35" s="1391">
        <f t="shared" si="9"/>
        <v>100</v>
      </c>
      <c r="T35" s="1390" t="s">
        <v>5</v>
      </c>
      <c r="U35" s="1391">
        <f t="shared" si="10"/>
        <v>100</v>
      </c>
      <c r="V35" s="1390" t="s">
        <v>5</v>
      </c>
      <c r="W35" s="1391">
        <f t="shared" si="11"/>
        <v>100</v>
      </c>
      <c r="X35" s="1392"/>
      <c r="Y35" s="3868"/>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68"/>
      <c r="Q36" s="1385" t="str">
        <f>B36</f>
        <v>宗地面积</v>
      </c>
      <c r="R36" s="1386" t="s">
        <v>5</v>
      </c>
      <c r="S36" s="1387" t="e">
        <f t="shared" si="9"/>
        <v>#N/A</v>
      </c>
      <c r="T36" s="1386" t="s">
        <v>5</v>
      </c>
      <c r="U36" s="1387" t="e">
        <f t="shared" si="10"/>
        <v>#N/A</v>
      </c>
      <c r="V36" s="1386" t="s">
        <v>5</v>
      </c>
      <c r="W36" s="1387" t="e">
        <f t="shared" si="11"/>
        <v>#N/A</v>
      </c>
      <c r="X36" s="1380"/>
      <c r="Y36" s="3868"/>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68"/>
      <c r="Q37" s="1385" t="str">
        <f t="shared" ref="Q37:Q42" si="13">B37</f>
        <v>宗地形状</v>
      </c>
      <c r="R37" s="1386" t="s">
        <v>5</v>
      </c>
      <c r="S37" s="1387">
        <f t="shared" si="9"/>
        <v>100</v>
      </c>
      <c r="T37" s="1386" t="s">
        <v>5</v>
      </c>
      <c r="U37" s="1387">
        <f t="shared" si="10"/>
        <v>100</v>
      </c>
      <c r="V37" s="1386" t="s">
        <v>5</v>
      </c>
      <c r="W37" s="1387">
        <f t="shared" si="11"/>
        <v>100</v>
      </c>
      <c r="X37" s="1380"/>
      <c r="Y37" s="3868"/>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68"/>
      <c r="Q38" s="1385" t="str">
        <f t="shared" si="13"/>
        <v>宗地开发程度</v>
      </c>
      <c r="R38" s="1381" t="s">
        <v>5</v>
      </c>
      <c r="S38" s="1382">
        <f t="shared" si="9"/>
        <v>100</v>
      </c>
      <c r="T38" s="1381" t="s">
        <v>5</v>
      </c>
      <c r="U38" s="1382">
        <f t="shared" si="10"/>
        <v>100</v>
      </c>
      <c r="V38" s="1381" t="s">
        <v>5</v>
      </c>
      <c r="W38" s="1382">
        <f t="shared" si="11"/>
        <v>100</v>
      </c>
      <c r="X38" s="1383"/>
      <c r="Y38" s="3868"/>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68" t="s">
        <v>549</v>
      </c>
      <c r="Q39" s="1385" t="str">
        <f t="shared" si="13"/>
        <v>工程地质条件</v>
      </c>
      <c r="R39" s="1386" t="s">
        <v>5</v>
      </c>
      <c r="S39" s="1387">
        <f t="shared" si="9"/>
        <v>100</v>
      </c>
      <c r="T39" s="1386" t="s">
        <v>5</v>
      </c>
      <c r="U39" s="1387">
        <f t="shared" si="10"/>
        <v>100</v>
      </c>
      <c r="V39" s="1386" t="s">
        <v>5</v>
      </c>
      <c r="W39" s="1387">
        <f t="shared" si="11"/>
        <v>100</v>
      </c>
      <c r="X39" s="1380"/>
      <c r="Y39" s="3868"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68"/>
      <c r="Q40" s="1385">
        <f t="shared" si="13"/>
        <v>111</v>
      </c>
      <c r="R40" s="1386" t="s">
        <v>5</v>
      </c>
      <c r="S40" s="1387">
        <f t="shared" si="9"/>
        <v>100</v>
      </c>
      <c r="T40" s="1386" t="s">
        <v>5</v>
      </c>
      <c r="U40" s="1387">
        <f t="shared" si="10"/>
        <v>100</v>
      </c>
      <c r="V40" s="1386" t="s">
        <v>5</v>
      </c>
      <c r="W40" s="1387">
        <f t="shared" si="11"/>
        <v>100</v>
      </c>
      <c r="X40" s="1380"/>
      <c r="Y40" s="3868"/>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68"/>
      <c r="Q41" s="1385">
        <f t="shared" si="13"/>
        <v>111</v>
      </c>
      <c r="R41" s="1386" t="s">
        <v>5</v>
      </c>
      <c r="S41" s="1387">
        <f t="shared" si="9"/>
        <v>100</v>
      </c>
      <c r="T41" s="1386" t="s">
        <v>5</v>
      </c>
      <c r="U41" s="1387">
        <f t="shared" si="10"/>
        <v>100</v>
      </c>
      <c r="V41" s="1386" t="s">
        <v>5</v>
      </c>
      <c r="W41" s="1387">
        <f t="shared" si="11"/>
        <v>100</v>
      </c>
      <c r="X41" s="1380"/>
      <c r="Y41" s="3868"/>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68"/>
      <c r="Q42" s="1385">
        <f t="shared" si="13"/>
        <v>111</v>
      </c>
      <c r="R42" s="1390" t="s">
        <v>5</v>
      </c>
      <c r="S42" s="1391">
        <f t="shared" si="9"/>
        <v>100</v>
      </c>
      <c r="T42" s="1390" t="s">
        <v>5</v>
      </c>
      <c r="U42" s="1391">
        <f t="shared" si="10"/>
        <v>100</v>
      </c>
      <c r="V42" s="1390" t="s">
        <v>5</v>
      </c>
      <c r="W42" s="1391">
        <f t="shared" si="11"/>
        <v>100</v>
      </c>
      <c r="X42" s="1392"/>
      <c r="Y42" s="3868"/>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63" t="str">
        <f>A43</f>
        <v>成交单价</v>
      </c>
      <c r="Q43" s="3863"/>
      <c r="R43" s="3879">
        <f>E43</f>
        <v>0</v>
      </c>
      <c r="S43" s="3879"/>
      <c r="T43" s="3879">
        <f>G43</f>
        <v>0</v>
      </c>
      <c r="U43" s="3879"/>
      <c r="V43" s="3879">
        <f>I43</f>
        <v>0</v>
      </c>
      <c r="W43" s="3879"/>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63" t="str">
        <f>A44</f>
        <v>比较价格（元/平方米）</v>
      </c>
      <c r="Q44" s="3863"/>
      <c r="R44" s="3887" t="e">
        <f>ROUND(PRODUCT(R43,AA9:AA42),0)</f>
        <v>#DIV/0!</v>
      </c>
      <c r="S44" s="3887"/>
      <c r="T44" s="3887" t="e">
        <f>ROUND(PRODUCT(T43,AB9:AB42),0)</f>
        <v>#DIV/0!</v>
      </c>
      <c r="U44" s="3887"/>
      <c r="V44" s="3887" t="e">
        <f>ROUND(PRODUCT(V43,AC9:AC42),0)</f>
        <v>#DIV/0!</v>
      </c>
      <c r="W44" s="3887"/>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69" t="str">
        <f>A45</f>
        <v>估价对象XX用房的比较价格（楼面单价，元/平方米）</v>
      </c>
      <c r="Q45" s="3870"/>
      <c r="R45" s="3892" t="e">
        <f>ROUND(IF(D44="简单平均",AVERAGE(R44:W44),R44*F44+T44*H44+V44*J44),0)</f>
        <v>#DIV/0!</v>
      </c>
      <c r="S45" s="3892"/>
      <c r="T45" s="3892"/>
      <c r="U45" s="3892"/>
      <c r="V45" s="3892"/>
      <c r="W45" s="3892"/>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88" t="s">
        <v>1642</v>
      </c>
      <c r="H52" s="3889"/>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56169.36</v>
      </c>
      <c r="F53" s="1706" t="e">
        <f t="shared" ref="F53:F61" si="14">ROUND(B53*E53/10000,0)</f>
        <v>#DIV/0!</v>
      </c>
      <c r="G53" s="3890"/>
      <c r="H53" s="3891"/>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28084.68</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2023-4-1</v>
      </c>
      <c r="D64" s="2279">
        <f>EDATE(C64,-3)</f>
        <v>44927</v>
      </c>
      <c r="E64" s="2279">
        <f t="shared" ref="E64:N64" si="17">EDATE(D64,-3)</f>
        <v>44835</v>
      </c>
      <c r="F64" s="2279">
        <f t="shared" si="17"/>
        <v>44743</v>
      </c>
      <c r="G64" s="2279">
        <f t="shared" si="17"/>
        <v>44652</v>
      </c>
      <c r="H64" s="2279">
        <f t="shared" si="17"/>
        <v>44562</v>
      </c>
      <c r="I64" s="2279">
        <f t="shared" si="17"/>
        <v>44470</v>
      </c>
      <c r="J64" s="2279">
        <f t="shared" si="17"/>
        <v>44378</v>
      </c>
      <c r="K64" s="2279">
        <f t="shared" si="17"/>
        <v>44287</v>
      </c>
      <c r="L64" s="2279">
        <f t="shared" si="17"/>
        <v>44197</v>
      </c>
      <c r="M64" s="2279">
        <f t="shared" si="17"/>
        <v>44105</v>
      </c>
      <c r="N64" s="2279">
        <f t="shared" si="17"/>
        <v>44013</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2023-2</v>
      </c>
      <c r="D66" s="2281" t="str">
        <f t="shared" ref="D66:N66" si="18">YEAR(D64)&amp;"-"&amp;ROUNDUP(MONTH(D64)/3,0)</f>
        <v>2023-1</v>
      </c>
      <c r="E66" s="2281" t="str">
        <f t="shared" si="18"/>
        <v>2022-4</v>
      </c>
      <c r="F66" s="2281" t="str">
        <f t="shared" si="18"/>
        <v>2022-3</v>
      </c>
      <c r="G66" s="2281" t="str">
        <f t="shared" si="18"/>
        <v>2022-2</v>
      </c>
      <c r="H66" s="2281" t="str">
        <f t="shared" si="18"/>
        <v>2022-1</v>
      </c>
      <c r="I66" s="2281" t="str">
        <f t="shared" si="18"/>
        <v>2021-4</v>
      </c>
      <c r="J66" s="2281" t="str">
        <f t="shared" si="18"/>
        <v>2021-3</v>
      </c>
      <c r="K66" s="2281" t="str">
        <f t="shared" si="18"/>
        <v>2021-2</v>
      </c>
      <c r="L66" s="2281" t="str">
        <f t="shared" si="18"/>
        <v>2021-1</v>
      </c>
      <c r="M66" s="2281" t="str">
        <f t="shared" si="18"/>
        <v>2020-4</v>
      </c>
      <c r="N66" s="2281" t="str">
        <f t="shared" si="18"/>
        <v>2020-3</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J42" sqref="J42"/>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07" t="s">
        <v>2060</v>
      </c>
      <c r="X8" s="3908"/>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06"/>
      <c r="X9" s="2411" t="s">
        <v>3221</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0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3198</v>
      </c>
      <c r="B12" s="3507" t="s">
        <v>3199</v>
      </c>
      <c r="C12" s="3513">
        <v>1.02</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3202</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t="e">
        <f>ROUND(G18/I18,2)</f>
        <v>#DIV/0!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00" t="s">
        <v>1370</v>
      </c>
      <c r="B20" s="1278" t="s">
        <v>875</v>
      </c>
      <c r="C20" s="998" t="e">
        <f>ROUND(IF(F21="与级别开发程度一致",0,(G21-E21)/C21),0)</f>
        <v>#DIV/0!</v>
      </c>
      <c r="D20" s="3912" t="s">
        <v>879</v>
      </c>
      <c r="E20" s="3913"/>
      <c r="F20" s="3912" t="s">
        <v>876</v>
      </c>
      <c r="G20" s="3913"/>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01"/>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45028</v>
      </c>
      <c r="H23" s="1298" t="s">
        <v>2247</v>
      </c>
      <c r="I23" s="2266" t="str">
        <f>IF(H23="季度增幅（自定义）",SUMIF(N25:N28,E2,O25:O28),"")</f>
        <v/>
      </c>
      <c r="J23" s="3567"/>
      <c r="K23" s="2977"/>
      <c r="L23" s="2511" t="s">
        <v>2116</v>
      </c>
      <c r="M23" s="2512">
        <f>ROUND(SUMIF(地价!B2:F2,E2,地价!B41:F41),0)</f>
        <v>0</v>
      </c>
      <c r="N23" s="2268" t="s">
        <v>1211</v>
      </c>
      <c r="O23" s="2267">
        <f>ROUNDDOWN(DATEDIF(E23,G23,"M")/3,0)</f>
        <v>9</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t="e">
        <f>ROUND(POWER(1+G24,J24-I24)*(POWER(1+G24,I24)-1)/(POWER(1+G24,J24)-1),4)</f>
        <v>#DIV/0!</v>
      </c>
      <c r="D24" s="2263" t="s">
        <v>897</v>
      </c>
      <c r="E24" s="2540">
        <f>存贷款利率!E22/100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3216</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3243</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3218</v>
      </c>
      <c r="G33" s="1327"/>
      <c r="H33" s="1327"/>
      <c r="I33" s="1327"/>
      <c r="J33" s="1328"/>
      <c r="K33" s="2985"/>
      <c r="L33" s="3639" t="s">
        <v>3244</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3219</v>
      </c>
      <c r="G34" s="1332"/>
      <c r="H34" s="1332"/>
      <c r="I34" s="1332"/>
      <c r="J34" s="1333"/>
      <c r="K34" s="2978"/>
      <c r="L34" s="3639" t="s">
        <v>3245</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3246</v>
      </c>
      <c r="L36" s="3643">
        <f ca="1">'数据-取费表'!B40</f>
        <v>4.1499999999999995E-2</v>
      </c>
      <c r="M36" s="3644">
        <f ca="1">ROUND($L$36*(1+M31),3)</f>
        <v>5.1999999999999998E-2</v>
      </c>
      <c r="N36" s="3644">
        <f ca="1">ROUND($L$36*(1+N31),3)</f>
        <v>0.05</v>
      </c>
      <c r="O36" s="3644">
        <f ca="1">ROUND($L$36*(1+O31),3)</f>
        <v>4.8000000000000001E-2</v>
      </c>
      <c r="P36" s="3644">
        <f ca="1">ROUND($L$36*(1+P31),3)</f>
        <v>4.5999999999999999E-2</v>
      </c>
      <c r="Q36" s="3644">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04"/>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04"/>
      <c r="K37" s="3642" t="s">
        <v>3247</v>
      </c>
      <c r="L37" s="3643">
        <f ca="1">L36+K38</f>
        <v>4.6499999999999993E-2</v>
      </c>
      <c r="M37" s="3644">
        <f ca="1">ROUND($L$37*(1+M31),3)</f>
        <v>5.8000000000000003E-2</v>
      </c>
      <c r="N37" s="3644">
        <f t="shared" ref="N37:Q37" ca="1" si="3">ROUND($L$37*(1+N31),3)</f>
        <v>5.6000000000000001E-2</v>
      </c>
      <c r="O37" s="3644">
        <f t="shared" ca="1" si="3"/>
        <v>5.2999999999999999E-2</v>
      </c>
      <c r="P37" s="3644">
        <f t="shared" ca="1" si="3"/>
        <v>5.0999999999999997E-2</v>
      </c>
      <c r="Q37" s="3644">
        <f t="shared" ca="1" si="3"/>
        <v>5.2999999999999999E-2</v>
      </c>
      <c r="R37" s="1912"/>
      <c r="S37" s="1912"/>
      <c r="T37" s="1912"/>
      <c r="U37" s="1912"/>
      <c r="V37" s="1912"/>
      <c r="W37" s="1911"/>
      <c r="X37" s="1911"/>
      <c r="Y37" s="1911"/>
      <c r="Z37" s="1911"/>
      <c r="AA37" s="1911"/>
      <c r="AB37" s="1911"/>
      <c r="AC37" s="1912"/>
    </row>
    <row r="38" spans="1:44" ht="12.75">
      <c r="A38" s="3905"/>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05"/>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05"/>
      <c r="B39" s="3571" t="s">
        <v>3220</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05"/>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3248</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3222</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3222</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3222</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3231</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3232</v>
      </c>
      <c r="B92" s="3574"/>
      <c r="C92" s="3574" t="s">
        <v>3237</v>
      </c>
      <c r="D92" s="3574" t="s">
        <v>3224</v>
      </c>
      <c r="E92" s="3631" t="s">
        <v>3225</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3233</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3234</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3222</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3226</v>
      </c>
      <c r="B96" s="3578" t="s">
        <v>3227</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3228</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3235</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3236</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3229</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3230</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02" t="s">
        <v>1172</v>
      </c>
      <c r="B104" s="3902"/>
      <c r="C104" s="3902"/>
      <c r="D104" s="3902"/>
      <c r="E104" s="3902"/>
      <c r="F104" s="3902"/>
      <c r="G104" s="3902"/>
      <c r="H104" s="3902"/>
      <c r="I104" s="3902"/>
      <c r="J104" s="3902"/>
      <c r="K104" s="2103"/>
      <c r="L104" s="2103"/>
      <c r="M104" s="2103"/>
      <c r="N104" s="2103"/>
    </row>
    <row r="105" spans="1:36">
      <c r="A105" s="3903" t="s">
        <v>1161</v>
      </c>
      <c r="B105" s="3903" t="s">
        <v>1173</v>
      </c>
      <c r="C105" s="1041" t="s">
        <v>1174</v>
      </c>
      <c r="D105" s="1042"/>
      <c r="E105" s="1042"/>
      <c r="F105" s="1042"/>
      <c r="G105" s="1042"/>
      <c r="H105" s="1042"/>
      <c r="I105" s="1042"/>
      <c r="J105" s="1043"/>
      <c r="K105" s="1035"/>
      <c r="L105" s="1035"/>
      <c r="M105" s="1035"/>
      <c r="N105" s="1035"/>
    </row>
    <row r="106" spans="1:36">
      <c r="A106" s="3903"/>
      <c r="B106" s="3903"/>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09"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0"/>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0"/>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0"/>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0"/>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0"/>
      <c r="B112" s="1044" t="s">
        <v>3238</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11"/>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99" t="s">
        <v>1175</v>
      </c>
      <c r="B114" s="3899"/>
      <c r="C114" s="3899"/>
      <c r="D114" s="3899"/>
      <c r="E114" s="3899"/>
      <c r="F114" s="3899"/>
      <c r="G114" s="3899"/>
      <c r="H114" s="3899"/>
      <c r="I114" s="3899"/>
      <c r="J114" s="3899"/>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3239</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2.75">
      <c r="A120" s="3633" t="s">
        <v>3240</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2.75">
      <c r="A121" s="3633" t="s">
        <v>3241</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5" thickBot="1">
      <c r="A122" s="3634" t="s">
        <v>3242</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2.75">
      <c r="A123" s="3635" t="s">
        <v>3223</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4" t="s">
        <v>2741</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2767</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2739</v>
      </c>
      <c r="B7" s="3248">
        <v>2.5</v>
      </c>
      <c r="C7" s="3248">
        <v>2.5</v>
      </c>
      <c r="D7" s="3248">
        <v>2</v>
      </c>
      <c r="E7" s="3248">
        <v>2</v>
      </c>
      <c r="F7" s="3248">
        <v>2</v>
      </c>
      <c r="G7" s="3248">
        <v>2</v>
      </c>
      <c r="H7" s="3248">
        <v>2</v>
      </c>
      <c r="I7" s="3249">
        <v>1.5</v>
      </c>
      <c r="J7" s="3249">
        <v>1.5</v>
      </c>
      <c r="K7" s="3249">
        <v>1.5</v>
      </c>
      <c r="L7" s="3249">
        <v>1.5</v>
      </c>
      <c r="M7" s="3250">
        <v>1.5</v>
      </c>
    </row>
    <row r="8" spans="1:13">
      <c r="A8" s="1027" t="s">
        <v>2768</v>
      </c>
      <c r="B8" s="3251">
        <v>80</v>
      </c>
      <c r="C8" s="3251">
        <v>80</v>
      </c>
      <c r="D8" s="3251">
        <v>70</v>
      </c>
      <c r="E8" s="3251">
        <v>70</v>
      </c>
      <c r="F8" s="3251">
        <v>70</v>
      </c>
      <c r="G8" s="3251">
        <v>70</v>
      </c>
      <c r="H8" s="3251">
        <v>70</v>
      </c>
      <c r="I8" s="3251">
        <v>60</v>
      </c>
      <c r="J8" s="3251">
        <v>60</v>
      </c>
      <c r="K8" s="3251">
        <v>60</v>
      </c>
      <c r="L8" s="3251">
        <v>60</v>
      </c>
      <c r="M8" s="3252">
        <v>60</v>
      </c>
    </row>
    <row r="9" spans="1:13">
      <c r="A9" s="1009" t="s">
        <v>2769</v>
      </c>
      <c r="B9" s="3253">
        <v>70</v>
      </c>
      <c r="C9" s="3253">
        <v>70</v>
      </c>
      <c r="D9" s="3253">
        <v>60</v>
      </c>
      <c r="E9" s="3253">
        <v>60</v>
      </c>
      <c r="F9" s="3253">
        <v>60</v>
      </c>
      <c r="G9" s="3253">
        <v>60</v>
      </c>
      <c r="H9" s="3253">
        <v>60</v>
      </c>
      <c r="I9" s="3253">
        <v>50</v>
      </c>
      <c r="J9" s="3253">
        <v>50</v>
      </c>
      <c r="K9" s="3253">
        <v>50</v>
      </c>
      <c r="L9" s="3253">
        <v>50</v>
      </c>
      <c r="M9" s="3254">
        <v>50</v>
      </c>
    </row>
    <row r="10" spans="1:13">
      <c r="A10" s="1009" t="s">
        <v>2770</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2771</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2772</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2773</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2774</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2775</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2458</v>
      </c>
      <c r="B19" s="3257" t="s">
        <v>2459</v>
      </c>
      <c r="C19" s="3258" t="s">
        <v>2460</v>
      </c>
      <c r="D19" s="3259"/>
      <c r="E19" s="3253" t="s">
        <v>2461</v>
      </c>
      <c r="F19" s="1033"/>
      <c r="G19" s="1033"/>
    </row>
    <row r="20" spans="1:13" s="1408" customFormat="1">
      <c r="A20" s="3918" t="s">
        <v>2452</v>
      </c>
      <c r="B20" s="3921" t="s">
        <v>2462</v>
      </c>
      <c r="C20" s="3260" t="s">
        <v>2463</v>
      </c>
      <c r="D20" s="3261"/>
      <c r="E20" s="3262">
        <v>1</v>
      </c>
      <c r="F20" s="3263" t="s">
        <v>2464</v>
      </c>
      <c r="G20" s="1035"/>
      <c r="H20" s="1025"/>
      <c r="I20" s="1025"/>
    </row>
    <row r="21" spans="1:13" s="1408" customFormat="1">
      <c r="A21" s="3919"/>
      <c r="B21" s="3917"/>
      <c r="C21" s="3264" t="s">
        <v>2465</v>
      </c>
      <c r="D21" s="3265"/>
      <c r="E21" s="3266">
        <v>1</v>
      </c>
      <c r="F21" s="3263" t="s">
        <v>2466</v>
      </c>
      <c r="G21" s="1035"/>
      <c r="H21" s="1025"/>
      <c r="I21" s="1025"/>
    </row>
    <row r="22" spans="1:13" s="1408" customFormat="1">
      <c r="A22" s="3919"/>
      <c r="B22" s="3917"/>
      <c r="C22" s="3264" t="s">
        <v>2467</v>
      </c>
      <c r="D22" s="3265"/>
      <c r="E22" s="3266">
        <v>0.9</v>
      </c>
      <c r="F22" s="3263" t="s">
        <v>2468</v>
      </c>
      <c r="G22" s="1035"/>
      <c r="H22" s="1025"/>
      <c r="I22" s="1025"/>
    </row>
    <row r="23" spans="1:13" s="1408" customFormat="1">
      <c r="A23" s="3919"/>
      <c r="B23" s="3917"/>
      <c r="C23" s="3264" t="s">
        <v>2469</v>
      </c>
      <c r="D23" s="3265"/>
      <c r="E23" s="3266">
        <v>0.9</v>
      </c>
      <c r="F23" s="3263" t="s">
        <v>2470</v>
      </c>
      <c r="G23" s="1035"/>
      <c r="H23" s="1025"/>
      <c r="I23" s="1025"/>
    </row>
    <row r="24" spans="1:13" s="1408" customFormat="1">
      <c r="A24" s="3919"/>
      <c r="B24" s="3917"/>
      <c r="C24" s="3264" t="s">
        <v>2471</v>
      </c>
      <c r="D24" s="3265"/>
      <c r="E24" s="3266">
        <v>0.8</v>
      </c>
      <c r="F24" s="3263" t="s">
        <v>2472</v>
      </c>
      <c r="G24" s="1035"/>
      <c r="H24" s="1025"/>
      <c r="I24" s="1025"/>
    </row>
    <row r="25" spans="1:13" s="1408" customFormat="1" ht="14.25" thickBot="1">
      <c r="A25" s="3920"/>
      <c r="B25" s="3922"/>
      <c r="C25" s="3267" t="s">
        <v>2473</v>
      </c>
      <c r="D25" s="3268"/>
      <c r="E25" s="3269">
        <v>0.8</v>
      </c>
      <c r="F25" s="3263" t="s">
        <v>2474</v>
      </c>
      <c r="G25" s="1035"/>
      <c r="H25" s="1025"/>
      <c r="I25" s="1025"/>
    </row>
    <row r="26" spans="1:13" s="1408" customFormat="1" ht="14.25" thickBot="1">
      <c r="A26" s="3270" t="s">
        <v>2453</v>
      </c>
      <c r="B26" s="3271" t="s">
        <v>2462</v>
      </c>
      <c r="C26" s="3272" t="s">
        <v>2475</v>
      </c>
      <c r="D26" s="3273"/>
      <c r="E26" s="3274">
        <v>1</v>
      </c>
      <c r="F26" s="3263" t="s">
        <v>2476</v>
      </c>
      <c r="G26" s="1035"/>
      <c r="H26" s="1025"/>
      <c r="I26" s="1025"/>
    </row>
    <row r="27" spans="1:13" s="1408" customFormat="1">
      <c r="A27" s="3923" t="s">
        <v>2457</v>
      </c>
      <c r="B27" s="3921" t="s">
        <v>2457</v>
      </c>
      <c r="C27" s="3260" t="s">
        <v>2477</v>
      </c>
      <c r="D27" s="3261"/>
      <c r="E27" s="3262">
        <v>1</v>
      </c>
      <c r="F27" s="3263" t="s">
        <v>2478</v>
      </c>
      <c r="G27" s="1035"/>
      <c r="H27" s="1025"/>
      <c r="I27" s="1025"/>
    </row>
    <row r="28" spans="1:13" s="1408" customFormat="1">
      <c r="A28" s="3924"/>
      <c r="B28" s="3917"/>
      <c r="C28" s="3264" t="s">
        <v>2479</v>
      </c>
      <c r="D28" s="3265"/>
      <c r="E28" s="3266">
        <v>1</v>
      </c>
      <c r="F28" s="3263" t="s">
        <v>2480</v>
      </c>
      <c r="G28" s="1035"/>
      <c r="H28" s="1025"/>
      <c r="I28" s="1025"/>
    </row>
    <row r="29" spans="1:13" s="1408" customFormat="1">
      <c r="A29" s="3924"/>
      <c r="B29" s="3917"/>
      <c r="C29" s="3264" t="s">
        <v>2481</v>
      </c>
      <c r="D29" s="3265"/>
      <c r="E29" s="3266">
        <v>0.8</v>
      </c>
      <c r="F29" s="3263" t="s">
        <v>2482</v>
      </c>
      <c r="G29" s="1035"/>
      <c r="H29" s="1025"/>
      <c r="I29" s="1025"/>
    </row>
    <row r="30" spans="1:13" s="1408" customFormat="1">
      <c r="A30" s="3924"/>
      <c r="B30" s="3917"/>
      <c r="C30" s="3264" t="s">
        <v>2483</v>
      </c>
      <c r="D30" s="3265"/>
      <c r="E30" s="3266">
        <v>0.8</v>
      </c>
      <c r="F30" s="3263" t="s">
        <v>2484</v>
      </c>
      <c r="G30" s="1035"/>
      <c r="H30" s="1025"/>
      <c r="I30" s="1025"/>
    </row>
    <row r="31" spans="1:13" s="1408" customFormat="1">
      <c r="A31" s="3924"/>
      <c r="B31" s="3917"/>
      <c r="C31" s="3264" t="s">
        <v>2485</v>
      </c>
      <c r="D31" s="3265"/>
      <c r="E31" s="3266">
        <v>0.8</v>
      </c>
      <c r="F31" s="3263" t="s">
        <v>2486</v>
      </c>
      <c r="G31" s="1035"/>
      <c r="H31" s="1025"/>
      <c r="I31" s="1025"/>
    </row>
    <row r="32" spans="1:13" s="1408" customFormat="1">
      <c r="A32" s="3924"/>
      <c r="B32" s="3917"/>
      <c r="C32" s="3264" t="s">
        <v>2487</v>
      </c>
      <c r="D32" s="3265"/>
      <c r="E32" s="3266">
        <v>0.7</v>
      </c>
      <c r="F32" s="3263" t="s">
        <v>2488</v>
      </c>
      <c r="G32" s="1035"/>
      <c r="H32" s="1025"/>
      <c r="I32" s="1025"/>
    </row>
    <row r="33" spans="1:9" s="1408" customFormat="1">
      <c r="A33" s="3924"/>
      <c r="B33" s="3917"/>
      <c r="C33" s="3264" t="s">
        <v>2489</v>
      </c>
      <c r="D33" s="3265"/>
      <c r="E33" s="3266">
        <v>0.8</v>
      </c>
      <c r="F33" s="3263" t="s">
        <v>2490</v>
      </c>
      <c r="G33" s="1035"/>
      <c r="H33" s="1025"/>
      <c r="I33" s="1025"/>
    </row>
    <row r="34" spans="1:9" s="1408" customFormat="1">
      <c r="A34" s="3924"/>
      <c r="B34" s="3917"/>
      <c r="C34" s="3264" t="s">
        <v>2491</v>
      </c>
      <c r="D34" s="3265"/>
      <c r="E34" s="3266">
        <v>0.6</v>
      </c>
      <c r="F34" s="3263" t="s">
        <v>2492</v>
      </c>
      <c r="G34" s="1035"/>
      <c r="H34" s="1025"/>
      <c r="I34" s="1025"/>
    </row>
    <row r="35" spans="1:9" s="1408" customFormat="1">
      <c r="A35" s="3924"/>
      <c r="B35" s="3917"/>
      <c r="C35" s="3264" t="s">
        <v>2493</v>
      </c>
      <c r="D35" s="3265"/>
      <c r="E35" s="3266">
        <v>0.2</v>
      </c>
      <c r="F35" s="3263" t="s">
        <v>2494</v>
      </c>
      <c r="G35" s="1035"/>
      <c r="H35" s="1025"/>
      <c r="I35" s="1025"/>
    </row>
    <row r="36" spans="1:9" s="1408" customFormat="1">
      <c r="A36" s="3924"/>
      <c r="B36" s="3917"/>
      <c r="C36" s="3264" t="s">
        <v>2495</v>
      </c>
      <c r="D36" s="3265"/>
      <c r="E36" s="3266">
        <v>0.2</v>
      </c>
      <c r="F36" s="3263" t="s">
        <v>2496</v>
      </c>
      <c r="G36" s="1035"/>
      <c r="H36" s="1025"/>
      <c r="I36" s="1025"/>
    </row>
    <row r="37" spans="1:9" s="1408" customFormat="1">
      <c r="A37" s="3924"/>
      <c r="B37" s="3915" t="s">
        <v>2497</v>
      </c>
      <c r="C37" s="3264" t="s">
        <v>2498</v>
      </c>
      <c r="D37" s="3265"/>
      <c r="E37" s="3266">
        <v>0.6</v>
      </c>
      <c r="F37" s="3263" t="s">
        <v>2499</v>
      </c>
      <c r="G37" s="1035"/>
      <c r="H37" s="1025"/>
      <c r="I37" s="1025"/>
    </row>
    <row r="38" spans="1:9" s="1408" customFormat="1">
      <c r="A38" s="3924"/>
      <c r="B38" s="3917"/>
      <c r="C38" s="3264" t="s">
        <v>2500</v>
      </c>
      <c r="D38" s="3265"/>
      <c r="E38" s="3266">
        <v>0.6</v>
      </c>
      <c r="F38" s="3263" t="s">
        <v>2501</v>
      </c>
      <c r="G38" s="1035"/>
      <c r="H38" s="1025"/>
      <c r="I38" s="1025"/>
    </row>
    <row r="39" spans="1:9" s="1408" customFormat="1" ht="14.25" thickBot="1">
      <c r="A39" s="3925"/>
      <c r="B39" s="3922"/>
      <c r="C39" s="3267" t="s">
        <v>2502</v>
      </c>
      <c r="D39" s="3268"/>
      <c r="E39" s="3269">
        <v>0.6</v>
      </c>
      <c r="F39" s="3263" t="s">
        <v>2503</v>
      </c>
      <c r="G39" s="1035"/>
      <c r="H39" s="1025"/>
      <c r="I39" s="1025"/>
    </row>
    <row r="40" spans="1:9" s="1408" customFormat="1" ht="14.25" thickBot="1">
      <c r="A40" s="3270" t="s">
        <v>2454</v>
      </c>
      <c r="B40" s="3271" t="s">
        <v>2454</v>
      </c>
      <c r="C40" s="3272" t="s">
        <v>2504</v>
      </c>
      <c r="D40" s="3273"/>
      <c r="E40" s="3274">
        <v>1</v>
      </c>
      <c r="F40" s="3263" t="s">
        <v>2505</v>
      </c>
      <c r="G40" s="1035"/>
      <c r="H40" s="1025"/>
      <c r="I40" s="1025"/>
    </row>
    <row r="41" spans="1:9" s="1408" customFormat="1">
      <c r="A41" s="3918" t="s">
        <v>2455</v>
      </c>
      <c r="B41" s="3921" t="s">
        <v>2506</v>
      </c>
      <c r="C41" s="3260" t="s">
        <v>2507</v>
      </c>
      <c r="D41" s="3261"/>
      <c r="E41" s="3262">
        <v>1</v>
      </c>
      <c r="F41" s="3263" t="s">
        <v>2508</v>
      </c>
      <c r="G41" s="1035"/>
      <c r="H41" s="1025"/>
      <c r="I41" s="1025"/>
    </row>
    <row r="42" spans="1:9" s="1408" customFormat="1">
      <c r="A42" s="3919"/>
      <c r="B42" s="3917"/>
      <c r="C42" s="3264" t="s">
        <v>2509</v>
      </c>
      <c r="D42" s="3265"/>
      <c r="E42" s="3266">
        <v>1</v>
      </c>
      <c r="F42" s="3263" t="s">
        <v>2510</v>
      </c>
      <c r="G42" s="1035"/>
      <c r="H42" s="1025"/>
      <c r="I42" s="1025"/>
    </row>
    <row r="43" spans="1:9" s="1408" customFormat="1">
      <c r="A43" s="3919"/>
      <c r="B43" s="3916"/>
      <c r="C43" s="3264" t="s">
        <v>2511</v>
      </c>
      <c r="D43" s="3265"/>
      <c r="E43" s="3266">
        <v>1.5</v>
      </c>
      <c r="F43" s="3263" t="s">
        <v>2512</v>
      </c>
      <c r="G43" s="1035"/>
      <c r="H43" s="1025"/>
      <c r="I43" s="1025"/>
    </row>
    <row r="44" spans="1:9" s="1408" customFormat="1">
      <c r="A44" s="3919"/>
      <c r="B44" s="3275" t="s">
        <v>2457</v>
      </c>
      <c r="C44" s="3264" t="s">
        <v>2456</v>
      </c>
      <c r="D44" s="3265"/>
      <c r="E44" s="3266">
        <v>2</v>
      </c>
      <c r="F44" s="3263" t="s">
        <v>2513</v>
      </c>
      <c r="G44" s="1035"/>
      <c r="H44" s="1025"/>
      <c r="I44" s="1025"/>
    </row>
    <row r="45" spans="1:9" s="1408" customFormat="1">
      <c r="A45" s="3919"/>
      <c r="B45" s="3915" t="s">
        <v>2514</v>
      </c>
      <c r="C45" s="3264" t="s">
        <v>2515</v>
      </c>
      <c r="D45" s="3265"/>
      <c r="E45" s="3266">
        <v>1</v>
      </c>
      <c r="F45" s="3263" t="s">
        <v>2516</v>
      </c>
      <c r="G45" s="1035"/>
      <c r="H45" s="1025"/>
      <c r="I45" s="1025"/>
    </row>
    <row r="46" spans="1:9" s="1408" customFormat="1">
      <c r="A46" s="3919"/>
      <c r="B46" s="3917"/>
      <c r="C46" s="3264" t="s">
        <v>2517</v>
      </c>
      <c r="D46" s="3265"/>
      <c r="E46" s="3266">
        <v>1</v>
      </c>
      <c r="F46" s="3263" t="s">
        <v>2518</v>
      </c>
      <c r="G46" s="1035"/>
      <c r="H46" s="1025"/>
      <c r="I46" s="1025"/>
    </row>
    <row r="47" spans="1:9" s="1408" customFormat="1">
      <c r="A47" s="3919"/>
      <c r="B47" s="3917"/>
      <c r="C47" s="3264" t="s">
        <v>2519</v>
      </c>
      <c r="D47" s="3265"/>
      <c r="E47" s="3266">
        <v>1</v>
      </c>
      <c r="F47" s="3263" t="s">
        <v>2520</v>
      </c>
      <c r="G47" s="1035"/>
      <c r="H47" s="1025"/>
      <c r="I47" s="1025"/>
    </row>
    <row r="48" spans="1:9" s="1408" customFormat="1">
      <c r="A48" s="3919"/>
      <c r="B48" s="3917"/>
      <c r="C48" s="3264" t="s">
        <v>2521</v>
      </c>
      <c r="D48" s="3265"/>
      <c r="E48" s="3266">
        <v>1</v>
      </c>
      <c r="F48" s="3263" t="s">
        <v>2522</v>
      </c>
      <c r="G48" s="1035"/>
      <c r="H48" s="1025"/>
      <c r="I48" s="1025"/>
    </row>
    <row r="49" spans="1:9" s="1408" customFormat="1">
      <c r="A49" s="3919"/>
      <c r="B49" s="3917"/>
      <c r="C49" s="3264" t="s">
        <v>2523</v>
      </c>
      <c r="D49" s="3265"/>
      <c r="E49" s="3266">
        <v>1</v>
      </c>
      <c r="F49" s="3263" t="s">
        <v>2524</v>
      </c>
      <c r="G49" s="1035"/>
      <c r="H49" s="1025"/>
      <c r="I49" s="1025"/>
    </row>
    <row r="50" spans="1:9" s="1408" customFormat="1">
      <c r="A50" s="3919"/>
      <c r="B50" s="3917"/>
      <c r="C50" s="3264" t="s">
        <v>2525</v>
      </c>
      <c r="D50" s="3265"/>
      <c r="E50" s="3266">
        <v>1</v>
      </c>
      <c r="F50" s="3263" t="s">
        <v>2526</v>
      </c>
      <c r="G50" s="1035"/>
      <c r="H50" s="1025"/>
      <c r="I50" s="1025"/>
    </row>
    <row r="51" spans="1:9" s="1408" customFormat="1" ht="14.25" thickBot="1">
      <c r="A51" s="3920"/>
      <c r="B51" s="3922"/>
      <c r="C51" s="3267" t="s">
        <v>2527</v>
      </c>
      <c r="D51" s="3268"/>
      <c r="E51" s="3269">
        <v>1</v>
      </c>
      <c r="F51" s="3263"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5">
        <v>1</v>
      </c>
      <c r="B73" s="3915" t="s">
        <v>2530</v>
      </c>
      <c r="C73" s="3253" t="s">
        <v>2531</v>
      </c>
      <c r="D73" s="3253" t="s">
        <v>2532</v>
      </c>
      <c r="E73" s="3276">
        <v>0.2</v>
      </c>
      <c r="F73" s="3275">
        <v>25</v>
      </c>
      <c r="H73" s="1025">
        <f>SUMIF(C71:C139,基准地价!C8,E71:E139)</f>
        <v>0</v>
      </c>
    </row>
    <row r="74" spans="1:8" s="1025" customFormat="1" ht="24">
      <c r="A74" s="3275">
        <v>2</v>
      </c>
      <c r="B74" s="3917"/>
      <c r="C74" s="3253" t="s">
        <v>2533</v>
      </c>
      <c r="D74" s="3253" t="s">
        <v>2534</v>
      </c>
      <c r="E74" s="3276">
        <v>0.2</v>
      </c>
      <c r="F74" s="3275">
        <v>25</v>
      </c>
    </row>
    <row r="75" spans="1:8" s="1025" customFormat="1" ht="24">
      <c r="A75" s="3275">
        <v>3</v>
      </c>
      <c r="B75" s="3917"/>
      <c r="C75" s="3253" t="s">
        <v>2535</v>
      </c>
      <c r="D75" s="3253" t="s">
        <v>2536</v>
      </c>
      <c r="E75" s="3276">
        <v>0.2</v>
      </c>
      <c r="F75" s="3275">
        <v>25</v>
      </c>
    </row>
    <row r="76" spans="1:8" s="1025" customFormat="1">
      <c r="A76" s="3275">
        <v>4</v>
      </c>
      <c r="B76" s="3917"/>
      <c r="C76" s="3253" t="s">
        <v>2537</v>
      </c>
      <c r="D76" s="3253" t="s">
        <v>2538</v>
      </c>
      <c r="E76" s="3276">
        <v>0.15</v>
      </c>
      <c r="F76" s="3275">
        <v>20</v>
      </c>
    </row>
    <row r="77" spans="1:8" s="1025" customFormat="1" ht="24">
      <c r="A77" s="3275">
        <v>5</v>
      </c>
      <c r="B77" s="3917"/>
      <c r="C77" s="3253" t="s">
        <v>2539</v>
      </c>
      <c r="D77" s="3253" t="s">
        <v>2540</v>
      </c>
      <c r="E77" s="3276">
        <v>0.15</v>
      </c>
      <c r="F77" s="3275">
        <v>20</v>
      </c>
    </row>
    <row r="78" spans="1:8" s="1025" customFormat="1" ht="24">
      <c r="A78" s="3275">
        <v>6</v>
      </c>
      <c r="B78" s="3917"/>
      <c r="C78" s="3253" t="s">
        <v>2541</v>
      </c>
      <c r="D78" s="3253" t="s">
        <v>2542</v>
      </c>
      <c r="E78" s="3276">
        <v>0.15</v>
      </c>
      <c r="F78" s="3275">
        <v>20</v>
      </c>
    </row>
    <row r="79" spans="1:8" s="1025" customFormat="1" ht="24">
      <c r="A79" s="3275">
        <v>7</v>
      </c>
      <c r="B79" s="3917"/>
      <c r="C79" s="3253" t="s">
        <v>2543</v>
      </c>
      <c r="D79" s="3253" t="s">
        <v>2544</v>
      </c>
      <c r="E79" s="3276">
        <v>0.15</v>
      </c>
      <c r="F79" s="3275">
        <v>20</v>
      </c>
    </row>
    <row r="80" spans="1:8" s="1025" customFormat="1" ht="24">
      <c r="A80" s="3275">
        <v>8</v>
      </c>
      <c r="B80" s="3917"/>
      <c r="C80" s="3253" t="s">
        <v>2545</v>
      </c>
      <c r="D80" s="3253" t="s">
        <v>2546</v>
      </c>
      <c r="E80" s="3276">
        <v>0.1</v>
      </c>
      <c r="F80" s="3275">
        <v>15</v>
      </c>
    </row>
    <row r="81" spans="1:6" s="1025" customFormat="1" ht="24">
      <c r="A81" s="3275">
        <v>9</v>
      </c>
      <c r="B81" s="3917"/>
      <c r="C81" s="3253" t="s">
        <v>2547</v>
      </c>
      <c r="D81" s="3253" t="s">
        <v>2548</v>
      </c>
      <c r="E81" s="3276">
        <v>0.1</v>
      </c>
      <c r="F81" s="3275">
        <v>15</v>
      </c>
    </row>
    <row r="82" spans="1:6" s="1025" customFormat="1" ht="24">
      <c r="A82" s="3275">
        <v>10</v>
      </c>
      <c r="B82" s="3917"/>
      <c r="C82" s="3253" t="s">
        <v>2549</v>
      </c>
      <c r="D82" s="3253" t="s">
        <v>2550</v>
      </c>
      <c r="E82" s="3276">
        <v>0.1</v>
      </c>
      <c r="F82" s="3275">
        <v>15</v>
      </c>
    </row>
    <row r="83" spans="1:6" s="1025" customFormat="1" ht="24">
      <c r="A83" s="3275">
        <v>11</v>
      </c>
      <c r="B83" s="3917"/>
      <c r="C83" s="3253" t="s">
        <v>2551</v>
      </c>
      <c r="D83" s="3253" t="s">
        <v>2552</v>
      </c>
      <c r="E83" s="3276">
        <v>0.1</v>
      </c>
      <c r="F83" s="3275">
        <v>15</v>
      </c>
    </row>
    <row r="84" spans="1:6" s="1025" customFormat="1" ht="24">
      <c r="A84" s="3275">
        <v>12</v>
      </c>
      <c r="B84" s="3917"/>
      <c r="C84" s="3253" t="s">
        <v>2553</v>
      </c>
      <c r="D84" s="3253" t="s">
        <v>2554</v>
      </c>
      <c r="E84" s="3276">
        <v>0.1</v>
      </c>
      <c r="F84" s="3275">
        <v>15</v>
      </c>
    </row>
    <row r="85" spans="1:6" s="1025" customFormat="1">
      <c r="A85" s="3275">
        <v>13</v>
      </c>
      <c r="B85" s="3917"/>
      <c r="C85" s="3253" t="s">
        <v>2555</v>
      </c>
      <c r="D85" s="3253" t="s">
        <v>2556</v>
      </c>
      <c r="E85" s="3276">
        <v>0.1</v>
      </c>
      <c r="F85" s="3275">
        <v>15</v>
      </c>
    </row>
    <row r="86" spans="1:6" s="1025" customFormat="1">
      <c r="A86" s="3275">
        <v>14</v>
      </c>
      <c r="B86" s="3917"/>
      <c r="C86" s="3253" t="s">
        <v>2557</v>
      </c>
      <c r="D86" s="3253" t="s">
        <v>2558</v>
      </c>
      <c r="E86" s="3276">
        <v>0.1</v>
      </c>
      <c r="F86" s="3275">
        <v>15</v>
      </c>
    </row>
    <row r="87" spans="1:6" s="1025" customFormat="1">
      <c r="A87" s="3275">
        <v>15</v>
      </c>
      <c r="B87" s="3917"/>
      <c r="C87" s="3253" t="s">
        <v>2559</v>
      </c>
      <c r="D87" s="3253" t="s">
        <v>2560</v>
      </c>
      <c r="E87" s="3276">
        <v>0.1</v>
      </c>
      <c r="F87" s="3275">
        <v>15</v>
      </c>
    </row>
    <row r="88" spans="1:6" s="1025" customFormat="1" ht="24">
      <c r="A88" s="3275">
        <v>16</v>
      </c>
      <c r="B88" s="3917"/>
      <c r="C88" s="3253" t="s">
        <v>2561</v>
      </c>
      <c r="D88" s="3253" t="s">
        <v>2562</v>
      </c>
      <c r="E88" s="3276">
        <v>0.1</v>
      </c>
      <c r="F88" s="3275">
        <v>15</v>
      </c>
    </row>
    <row r="89" spans="1:6" s="1025" customFormat="1" ht="24">
      <c r="A89" s="3275">
        <v>17</v>
      </c>
      <c r="B89" s="3916"/>
      <c r="C89" s="3253" t="s">
        <v>2563</v>
      </c>
      <c r="D89" s="3253" t="s">
        <v>2564</v>
      </c>
      <c r="E89" s="3276">
        <v>0.1</v>
      </c>
      <c r="F89" s="3275">
        <v>15</v>
      </c>
    </row>
    <row r="90" spans="1:6" s="1025" customFormat="1">
      <c r="A90" s="3275">
        <v>18</v>
      </c>
      <c r="B90" s="3915" t="s">
        <v>2565</v>
      </c>
      <c r="C90" s="3253" t="s">
        <v>2566</v>
      </c>
      <c r="D90" s="3253" t="s">
        <v>2567</v>
      </c>
      <c r="E90" s="3276">
        <v>0.2</v>
      </c>
      <c r="F90" s="3275">
        <v>25</v>
      </c>
    </row>
    <row r="91" spans="1:6" s="1025" customFormat="1" ht="24">
      <c r="A91" s="3275">
        <v>19</v>
      </c>
      <c r="B91" s="3917"/>
      <c r="C91" s="3253" t="s">
        <v>2568</v>
      </c>
      <c r="D91" s="3253" t="s">
        <v>2569</v>
      </c>
      <c r="E91" s="3276">
        <v>0.2</v>
      </c>
      <c r="F91" s="3275">
        <v>25</v>
      </c>
    </row>
    <row r="92" spans="1:6" s="1025" customFormat="1">
      <c r="A92" s="3275">
        <v>20</v>
      </c>
      <c r="B92" s="3917"/>
      <c r="C92" s="3253" t="s">
        <v>2570</v>
      </c>
      <c r="D92" s="3253" t="s">
        <v>2571</v>
      </c>
      <c r="E92" s="3276">
        <v>0.15</v>
      </c>
      <c r="F92" s="3275">
        <v>20</v>
      </c>
    </row>
    <row r="93" spans="1:6" s="1025" customFormat="1" ht="24">
      <c r="A93" s="3275">
        <v>21</v>
      </c>
      <c r="B93" s="3917"/>
      <c r="C93" s="3253" t="s">
        <v>2572</v>
      </c>
      <c r="D93" s="3253" t="s">
        <v>2573</v>
      </c>
      <c r="E93" s="3276">
        <v>0.15</v>
      </c>
      <c r="F93" s="3275">
        <v>20</v>
      </c>
    </row>
    <row r="94" spans="1:6" s="1025" customFormat="1" ht="24">
      <c r="A94" s="3275">
        <v>22</v>
      </c>
      <c r="B94" s="3917"/>
      <c r="C94" s="3253" t="s">
        <v>2574</v>
      </c>
      <c r="D94" s="3253" t="s">
        <v>2575</v>
      </c>
      <c r="E94" s="3276">
        <v>0.15</v>
      </c>
      <c r="F94" s="3275">
        <v>20</v>
      </c>
    </row>
    <row r="95" spans="1:6" s="1025" customFormat="1" ht="36">
      <c r="A95" s="3275">
        <v>23</v>
      </c>
      <c r="B95" s="3917"/>
      <c r="C95" s="3253" t="s">
        <v>2576</v>
      </c>
      <c r="D95" s="3253" t="s">
        <v>2577</v>
      </c>
      <c r="E95" s="3276">
        <v>0.15</v>
      </c>
      <c r="F95" s="3275">
        <v>20</v>
      </c>
    </row>
    <row r="96" spans="1:6" s="1025" customFormat="1">
      <c r="A96" s="3275">
        <v>24</v>
      </c>
      <c r="B96" s="3917"/>
      <c r="C96" s="3253" t="s">
        <v>2578</v>
      </c>
      <c r="D96" s="3253" t="s">
        <v>2579</v>
      </c>
      <c r="E96" s="3276">
        <v>0.1</v>
      </c>
      <c r="F96" s="3275">
        <v>15</v>
      </c>
    </row>
    <row r="97" spans="1:6" s="1025" customFormat="1" ht="24">
      <c r="A97" s="3275">
        <v>25</v>
      </c>
      <c r="B97" s="3917"/>
      <c r="C97" s="3253" t="s">
        <v>2580</v>
      </c>
      <c r="D97" s="3253" t="s">
        <v>2581</v>
      </c>
      <c r="E97" s="3276">
        <v>0.1</v>
      </c>
      <c r="F97" s="3275">
        <v>15</v>
      </c>
    </row>
    <row r="98" spans="1:6" s="1025" customFormat="1" ht="24">
      <c r="A98" s="3275">
        <v>26</v>
      </c>
      <c r="B98" s="3917"/>
      <c r="C98" s="3253" t="s">
        <v>2582</v>
      </c>
      <c r="D98" s="3253" t="s">
        <v>2583</v>
      </c>
      <c r="E98" s="3276">
        <v>0.1</v>
      </c>
      <c r="F98" s="3275">
        <v>15</v>
      </c>
    </row>
    <row r="99" spans="1:6" s="1025" customFormat="1" ht="24">
      <c r="A99" s="3275">
        <v>27</v>
      </c>
      <c r="B99" s="3917"/>
      <c r="C99" s="3253" t="s">
        <v>2584</v>
      </c>
      <c r="D99" s="3253" t="s">
        <v>2585</v>
      </c>
      <c r="E99" s="3276">
        <v>0.1</v>
      </c>
      <c r="F99" s="3275">
        <v>15</v>
      </c>
    </row>
    <row r="100" spans="1:6" s="1025" customFormat="1" ht="24">
      <c r="A100" s="3275">
        <v>28</v>
      </c>
      <c r="B100" s="3917"/>
      <c r="C100" s="3253" t="s">
        <v>2586</v>
      </c>
      <c r="D100" s="3253" t="s">
        <v>2587</v>
      </c>
      <c r="E100" s="3276">
        <v>0.1</v>
      </c>
      <c r="F100" s="3275">
        <v>15</v>
      </c>
    </row>
    <row r="101" spans="1:6" s="1025" customFormat="1" ht="24">
      <c r="A101" s="3275">
        <v>29</v>
      </c>
      <c r="B101" s="3917"/>
      <c r="C101" s="3253" t="s">
        <v>2588</v>
      </c>
      <c r="D101" s="3253" t="s">
        <v>2589</v>
      </c>
      <c r="E101" s="3276">
        <v>0.1</v>
      </c>
      <c r="F101" s="3275">
        <v>15</v>
      </c>
    </row>
    <row r="102" spans="1:6" s="1025" customFormat="1" ht="24">
      <c r="A102" s="3275">
        <v>30</v>
      </c>
      <c r="B102" s="3917"/>
      <c r="C102" s="3253" t="s">
        <v>2590</v>
      </c>
      <c r="D102" s="3253" t="s">
        <v>2591</v>
      </c>
      <c r="E102" s="3276">
        <v>0.1</v>
      </c>
      <c r="F102" s="3275">
        <v>15</v>
      </c>
    </row>
    <row r="103" spans="1:6" s="1025" customFormat="1" ht="24">
      <c r="A103" s="3275">
        <v>31</v>
      </c>
      <c r="B103" s="3917"/>
      <c r="C103" s="3253" t="s">
        <v>2592</v>
      </c>
      <c r="D103" s="3253" t="s">
        <v>2593</v>
      </c>
      <c r="E103" s="3276">
        <v>0.1</v>
      </c>
      <c r="F103" s="3275">
        <v>15</v>
      </c>
    </row>
    <row r="104" spans="1:6" s="1025" customFormat="1" ht="24">
      <c r="A104" s="3275">
        <v>32</v>
      </c>
      <c r="B104" s="3917"/>
      <c r="C104" s="3253" t="s">
        <v>2594</v>
      </c>
      <c r="D104" s="3253" t="s">
        <v>2595</v>
      </c>
      <c r="E104" s="3276">
        <v>0.1</v>
      </c>
      <c r="F104" s="3275">
        <v>15</v>
      </c>
    </row>
    <row r="105" spans="1:6" s="1025" customFormat="1" ht="24">
      <c r="A105" s="3275">
        <v>33</v>
      </c>
      <c r="B105" s="3917"/>
      <c r="C105" s="3253" t="s">
        <v>2596</v>
      </c>
      <c r="D105" s="3253" t="s">
        <v>2597</v>
      </c>
      <c r="E105" s="3276">
        <v>0.1</v>
      </c>
      <c r="F105" s="3275">
        <v>15</v>
      </c>
    </row>
    <row r="106" spans="1:6" s="1025" customFormat="1" ht="24">
      <c r="A106" s="3275">
        <v>34</v>
      </c>
      <c r="B106" s="3916"/>
      <c r="C106" s="3253" t="s">
        <v>2598</v>
      </c>
      <c r="D106" s="3253" t="s">
        <v>2599</v>
      </c>
      <c r="E106" s="3276">
        <v>0.1</v>
      </c>
      <c r="F106" s="3275">
        <v>15</v>
      </c>
    </row>
    <row r="107" spans="1:6" s="1025" customFormat="1" ht="24">
      <c r="A107" s="3275">
        <v>35</v>
      </c>
      <c r="B107" s="3915" t="s">
        <v>2600</v>
      </c>
      <c r="C107" s="3275" t="s">
        <v>2601</v>
      </c>
      <c r="D107" s="3253" t="s">
        <v>2602</v>
      </c>
      <c r="E107" s="3276">
        <v>0.15</v>
      </c>
      <c r="F107" s="3275">
        <v>20</v>
      </c>
    </row>
    <row r="108" spans="1:6" s="1025" customFormat="1" ht="24">
      <c r="A108" s="3275">
        <v>36</v>
      </c>
      <c r="B108" s="3917"/>
      <c r="C108" s="3275" t="s">
        <v>2603</v>
      </c>
      <c r="D108" s="3253" t="s">
        <v>2604</v>
      </c>
      <c r="E108" s="3276">
        <v>0.15</v>
      </c>
      <c r="F108" s="3275">
        <v>20</v>
      </c>
    </row>
    <row r="109" spans="1:6" s="1025" customFormat="1" ht="24">
      <c r="A109" s="3275">
        <v>37</v>
      </c>
      <c r="B109" s="3917"/>
      <c r="C109" s="3275" t="s">
        <v>2605</v>
      </c>
      <c r="D109" s="3253" t="s">
        <v>2606</v>
      </c>
      <c r="E109" s="3276">
        <v>0.15</v>
      </c>
      <c r="F109" s="3275">
        <v>20</v>
      </c>
    </row>
    <row r="110" spans="1:6" s="1025" customFormat="1">
      <c r="A110" s="3275">
        <v>38</v>
      </c>
      <c r="B110" s="3917"/>
      <c r="C110" s="3275" t="s">
        <v>2607</v>
      </c>
      <c r="D110" s="3253" t="s">
        <v>2608</v>
      </c>
      <c r="E110" s="3276">
        <v>0.1</v>
      </c>
      <c r="F110" s="3275">
        <v>15</v>
      </c>
    </row>
    <row r="111" spans="1:6" s="1025" customFormat="1" ht="24">
      <c r="A111" s="3275">
        <v>39</v>
      </c>
      <c r="B111" s="3917"/>
      <c r="C111" s="3275" t="s">
        <v>2609</v>
      </c>
      <c r="D111" s="3253" t="s">
        <v>2610</v>
      </c>
      <c r="E111" s="3276">
        <v>0.1</v>
      </c>
      <c r="F111" s="3275">
        <v>15</v>
      </c>
    </row>
    <row r="112" spans="1:6" s="1025" customFormat="1" ht="24">
      <c r="A112" s="3275">
        <v>40</v>
      </c>
      <c r="B112" s="3916"/>
      <c r="C112" s="3275" t="s">
        <v>2611</v>
      </c>
      <c r="D112" s="3253" t="s">
        <v>2612</v>
      </c>
      <c r="E112" s="3276">
        <v>0.1</v>
      </c>
      <c r="F112" s="3275">
        <v>15</v>
      </c>
    </row>
    <row r="113" spans="1:6" s="1025" customFormat="1" ht="24">
      <c r="A113" s="3275">
        <v>41</v>
      </c>
      <c r="B113" s="3914" t="s">
        <v>2613</v>
      </c>
      <c r="C113" s="3275" t="s">
        <v>2614</v>
      </c>
      <c r="D113" s="3253" t="s">
        <v>2615</v>
      </c>
      <c r="E113" s="3276">
        <v>0.1</v>
      </c>
      <c r="F113" s="3275">
        <v>15</v>
      </c>
    </row>
    <row r="114" spans="1:6" s="1025" customFormat="1">
      <c r="A114" s="3275">
        <v>42</v>
      </c>
      <c r="B114" s="3914"/>
      <c r="C114" s="3275" t="s">
        <v>2616</v>
      </c>
      <c r="D114" s="3253" t="s">
        <v>2617</v>
      </c>
      <c r="E114" s="3276">
        <v>0.1</v>
      </c>
      <c r="F114" s="3275">
        <v>15</v>
      </c>
    </row>
    <row r="115" spans="1:6" s="1025" customFormat="1" ht="24">
      <c r="A115" s="3275">
        <v>43</v>
      </c>
      <c r="B115" s="3914"/>
      <c r="C115" s="3275" t="s">
        <v>2618</v>
      </c>
      <c r="D115" s="3253" t="s">
        <v>2619</v>
      </c>
      <c r="E115" s="3276">
        <v>0.1</v>
      </c>
      <c r="F115" s="3275">
        <v>15</v>
      </c>
    </row>
    <row r="116" spans="1:6" s="1025" customFormat="1" ht="24">
      <c r="A116" s="3275">
        <v>44</v>
      </c>
      <c r="B116" s="3915" t="s">
        <v>2620</v>
      </c>
      <c r="C116" s="3275" t="s">
        <v>2621</v>
      </c>
      <c r="D116" s="3253" t="s">
        <v>2622</v>
      </c>
      <c r="E116" s="3276">
        <v>0.1</v>
      </c>
      <c r="F116" s="3275">
        <v>15</v>
      </c>
    </row>
    <row r="117" spans="1:6" s="1025" customFormat="1" ht="24">
      <c r="A117" s="3275">
        <v>45</v>
      </c>
      <c r="B117" s="3916"/>
      <c r="C117" s="3253" t="s">
        <v>2623</v>
      </c>
      <c r="D117" s="3253" t="s">
        <v>2624</v>
      </c>
      <c r="E117" s="3276">
        <v>0.1</v>
      </c>
      <c r="F117" s="3275">
        <v>15</v>
      </c>
    </row>
    <row r="118" spans="1:6" s="1025" customFormat="1" ht="24">
      <c r="A118" s="3275">
        <v>46</v>
      </c>
      <c r="B118" s="3915" t="s">
        <v>2625</v>
      </c>
      <c r="C118" s="3275" t="s">
        <v>2626</v>
      </c>
      <c r="D118" s="3253" t="s">
        <v>2627</v>
      </c>
      <c r="E118" s="3276">
        <v>0.1</v>
      </c>
      <c r="F118" s="3275">
        <v>15</v>
      </c>
    </row>
    <row r="119" spans="1:6" s="1025" customFormat="1" ht="24">
      <c r="A119" s="3275">
        <v>47</v>
      </c>
      <c r="B119" s="3916"/>
      <c r="C119" s="3275" t="s">
        <v>2628</v>
      </c>
      <c r="D119" s="3253" t="s">
        <v>2629</v>
      </c>
      <c r="E119" s="3276">
        <v>0.1</v>
      </c>
      <c r="F119" s="3275">
        <v>15</v>
      </c>
    </row>
    <row r="120" spans="1:6" s="1025" customFormat="1" ht="24">
      <c r="A120" s="3275">
        <v>48</v>
      </c>
      <c r="B120" s="3915" t="s">
        <v>2630</v>
      </c>
      <c r="C120" s="3275" t="s">
        <v>2631</v>
      </c>
      <c r="D120" s="3253" t="s">
        <v>2632</v>
      </c>
      <c r="E120" s="3276">
        <v>0.1</v>
      </c>
      <c r="F120" s="3275">
        <v>15</v>
      </c>
    </row>
    <row r="121" spans="1:6" s="1025" customFormat="1">
      <c r="A121" s="3275">
        <v>49</v>
      </c>
      <c r="B121" s="3916"/>
      <c r="C121" s="3275" t="s">
        <v>2633</v>
      </c>
      <c r="D121" s="3253" t="s">
        <v>2634</v>
      </c>
      <c r="E121" s="3276">
        <v>0.1</v>
      </c>
      <c r="F121" s="3275">
        <v>15</v>
      </c>
    </row>
    <row r="122" spans="1:6" s="1025" customFormat="1" ht="24">
      <c r="A122" s="3275">
        <v>50</v>
      </c>
      <c r="B122" s="3914" t="s">
        <v>2635</v>
      </c>
      <c r="C122" s="3275" t="s">
        <v>2636</v>
      </c>
      <c r="D122" s="3253" t="s">
        <v>2637</v>
      </c>
      <c r="E122" s="3276">
        <v>0.1</v>
      </c>
      <c r="F122" s="3275">
        <v>15</v>
      </c>
    </row>
    <row r="123" spans="1:6" s="1025" customFormat="1" ht="24">
      <c r="A123" s="3275">
        <v>51</v>
      </c>
      <c r="B123" s="3914"/>
      <c r="C123" s="3275" t="s">
        <v>2638</v>
      </c>
      <c r="D123" s="3253" t="s">
        <v>2639</v>
      </c>
      <c r="E123" s="3276">
        <v>0.1</v>
      </c>
      <c r="F123" s="3275">
        <v>15</v>
      </c>
    </row>
    <row r="124" spans="1:6" s="1025" customFormat="1" ht="24">
      <c r="A124" s="3275">
        <v>52</v>
      </c>
      <c r="B124" s="3914" t="s">
        <v>2640</v>
      </c>
      <c r="C124" s="3275" t="s">
        <v>2641</v>
      </c>
      <c r="D124" s="3253" t="s">
        <v>2642</v>
      </c>
      <c r="E124" s="3276">
        <v>0.1</v>
      </c>
      <c r="F124" s="3275">
        <v>15</v>
      </c>
    </row>
    <row r="125" spans="1:6" s="1025" customFormat="1" ht="24">
      <c r="A125" s="3275">
        <v>53</v>
      </c>
      <c r="B125" s="3914"/>
      <c r="C125" s="3275" t="s">
        <v>2643</v>
      </c>
      <c r="D125" s="3253" t="s">
        <v>2644</v>
      </c>
      <c r="E125" s="3276">
        <v>0.1</v>
      </c>
      <c r="F125" s="3275">
        <v>15</v>
      </c>
    </row>
    <row r="126" spans="1:6" ht="24">
      <c r="A126" s="3275">
        <v>54</v>
      </c>
      <c r="B126" s="3275" t="s">
        <v>2645</v>
      </c>
      <c r="C126" s="3275" t="s">
        <v>2646</v>
      </c>
      <c r="D126" s="3253" t="s">
        <v>2647</v>
      </c>
      <c r="E126" s="3276">
        <v>0.1</v>
      </c>
      <c r="F126" s="3275">
        <v>15</v>
      </c>
    </row>
    <row r="127" spans="1:6">
      <c r="A127" s="3275">
        <v>55</v>
      </c>
      <c r="B127" s="3914" t="s">
        <v>2648</v>
      </c>
      <c r="C127" s="3275" t="s">
        <v>2649</v>
      </c>
      <c r="D127" s="3253" t="s">
        <v>2650</v>
      </c>
      <c r="E127" s="3276">
        <v>0.1</v>
      </c>
      <c r="F127" s="3275">
        <v>15</v>
      </c>
    </row>
    <row r="128" spans="1:6">
      <c r="A128" s="3275">
        <v>56</v>
      </c>
      <c r="B128" s="3914"/>
      <c r="C128" s="3275" t="s">
        <v>2651</v>
      </c>
      <c r="D128" s="3253" t="s">
        <v>2652</v>
      </c>
      <c r="E128" s="3276">
        <v>0.1</v>
      </c>
      <c r="F128" s="3275">
        <v>15</v>
      </c>
    </row>
    <row r="129" spans="1:14" ht="24">
      <c r="A129" s="3275">
        <v>57</v>
      </c>
      <c r="B129" s="3914"/>
      <c r="C129" s="3275" t="s">
        <v>2653</v>
      </c>
      <c r="D129" s="3253" t="s">
        <v>2654</v>
      </c>
      <c r="E129" s="3276">
        <v>0.1</v>
      </c>
      <c r="F129" s="3275">
        <v>15</v>
      </c>
    </row>
    <row r="130" spans="1:14" ht="24">
      <c r="A130" s="3275">
        <v>58</v>
      </c>
      <c r="B130" s="3914" t="s">
        <v>2655</v>
      </c>
      <c r="C130" s="3275" t="s">
        <v>2656</v>
      </c>
      <c r="D130" s="3253" t="s">
        <v>2657</v>
      </c>
      <c r="E130" s="3276">
        <v>0.1</v>
      </c>
      <c r="F130" s="3275">
        <v>15</v>
      </c>
    </row>
    <row r="131" spans="1:14" ht="24">
      <c r="A131" s="3275">
        <v>59</v>
      </c>
      <c r="B131" s="3914"/>
      <c r="C131" s="3275" t="s">
        <v>2658</v>
      </c>
      <c r="D131" s="3253" t="s">
        <v>2659</v>
      </c>
      <c r="E131" s="3276">
        <v>0.1</v>
      </c>
      <c r="F131" s="3275">
        <v>15</v>
      </c>
    </row>
    <row r="132" spans="1:14" ht="24">
      <c r="A132" s="3275">
        <v>60</v>
      </c>
      <c r="B132" s="3915" t="s">
        <v>2660</v>
      </c>
      <c r="C132" s="3275" t="s">
        <v>2661</v>
      </c>
      <c r="D132" s="3253" t="s">
        <v>2662</v>
      </c>
      <c r="E132" s="3276">
        <v>0.1</v>
      </c>
      <c r="F132" s="3275">
        <v>15</v>
      </c>
    </row>
    <row r="133" spans="1:14" ht="24">
      <c r="A133" s="3275">
        <v>61</v>
      </c>
      <c r="B133" s="3916"/>
      <c r="C133" s="3275" t="s">
        <v>2663</v>
      </c>
      <c r="D133" s="3253" t="s">
        <v>2664</v>
      </c>
      <c r="E133" s="3276">
        <v>0.1</v>
      </c>
      <c r="F133" s="3275">
        <v>15</v>
      </c>
    </row>
    <row r="134" spans="1:14" ht="24">
      <c r="A134" s="3275">
        <v>62</v>
      </c>
      <c r="B134" s="3275" t="s">
        <v>2665</v>
      </c>
      <c r="C134" s="3275" t="s">
        <v>2666</v>
      </c>
      <c r="D134" s="3253" t="s">
        <v>2667</v>
      </c>
      <c r="E134" s="3276">
        <v>0.1</v>
      </c>
      <c r="F134" s="3275">
        <v>15</v>
      </c>
    </row>
    <row r="135" spans="1:14" ht="24">
      <c r="A135" s="3275">
        <v>63</v>
      </c>
      <c r="B135" s="3914" t="s">
        <v>2668</v>
      </c>
      <c r="C135" s="3275" t="s">
        <v>2669</v>
      </c>
      <c r="D135" s="3253" t="s">
        <v>2670</v>
      </c>
      <c r="E135" s="3276">
        <v>0.1</v>
      </c>
      <c r="F135" s="3275">
        <v>15</v>
      </c>
    </row>
    <row r="136" spans="1:14">
      <c r="A136" s="3275">
        <v>64</v>
      </c>
      <c r="B136" s="3914"/>
      <c r="C136" s="3275" t="s">
        <v>2671</v>
      </c>
      <c r="D136" s="3253" t="s">
        <v>2672</v>
      </c>
      <c r="E136" s="3276">
        <v>0.1</v>
      </c>
      <c r="F136" s="3275">
        <v>15</v>
      </c>
    </row>
    <row r="137" spans="1:14" ht="24">
      <c r="A137" s="3275">
        <v>65</v>
      </c>
      <c r="B137" s="3275" t="s">
        <v>2673</v>
      </c>
      <c r="C137" s="3275" t="s">
        <v>2674</v>
      </c>
      <c r="D137" s="3253" t="s">
        <v>2675</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26" t="s">
        <v>2817</v>
      </c>
      <c r="B1" s="3926"/>
      <c r="C1" s="3926"/>
      <c r="D1" s="3926"/>
      <c r="E1" s="3926"/>
      <c r="F1" s="3926"/>
      <c r="G1" s="3927"/>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28" t="s">
        <v>2820</v>
      </c>
      <c r="B3" s="3416"/>
      <c r="C3" s="3417" t="s">
        <v>2797</v>
      </c>
      <c r="D3" s="3417" t="s">
        <v>2821</v>
      </c>
      <c r="E3" s="3417" t="s">
        <v>2799</v>
      </c>
      <c r="F3" s="3417" t="s">
        <v>2822</v>
      </c>
      <c r="G3" s="3417" t="s">
        <v>2740</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29"/>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2765</v>
      </c>
      <c r="B358" s="3451" t="s">
        <v>3011</v>
      </c>
      <c r="C358" s="3451">
        <v>2080</v>
      </c>
      <c r="D358" s="3451">
        <v>2040</v>
      </c>
      <c r="E358" s="3451">
        <v>2010</v>
      </c>
      <c r="F358" s="3451">
        <v>530</v>
      </c>
      <c r="G358" s="3452">
        <v>1230</v>
      </c>
      <c r="H358" s="3446"/>
    </row>
    <row r="359" spans="1:8">
      <c r="A359" s="3453" t="s">
        <v>2765</v>
      </c>
      <c r="B359" s="3433" t="s">
        <v>3012</v>
      </c>
      <c r="C359" s="3433">
        <v>1850</v>
      </c>
      <c r="D359" s="3433">
        <v>1820</v>
      </c>
      <c r="E359" s="3433">
        <v>1780</v>
      </c>
      <c r="F359" s="3433">
        <v>520</v>
      </c>
      <c r="G359" s="3445">
        <v>1100</v>
      </c>
      <c r="H359" s="3446"/>
    </row>
    <row r="360" spans="1:8">
      <c r="A360" s="3453" t="s">
        <v>2765</v>
      </c>
      <c r="B360" s="3433" t="s">
        <v>3013</v>
      </c>
      <c r="C360" s="3433">
        <v>2020</v>
      </c>
      <c r="D360" s="3433">
        <v>1990</v>
      </c>
      <c r="E360" s="3433">
        <v>1950</v>
      </c>
      <c r="F360" s="3433">
        <v>500</v>
      </c>
      <c r="G360" s="3445">
        <v>1200</v>
      </c>
      <c r="H360" s="3446"/>
    </row>
    <row r="361" spans="1:8">
      <c r="A361" s="3453" t="s">
        <v>2765</v>
      </c>
      <c r="B361" s="3433" t="s">
        <v>999</v>
      </c>
      <c r="C361" s="3433">
        <v>2260</v>
      </c>
      <c r="D361" s="3433">
        <v>2220</v>
      </c>
      <c r="E361" s="3433">
        <v>2180</v>
      </c>
      <c r="F361" s="3433">
        <v>580</v>
      </c>
      <c r="G361" s="3445">
        <v>1340</v>
      </c>
      <c r="H361" s="3446"/>
    </row>
    <row r="362" spans="1:8">
      <c r="A362" s="3453" t="s">
        <v>2765</v>
      </c>
      <c r="B362" s="3433" t="s">
        <v>3014</v>
      </c>
      <c r="C362" s="3433">
        <v>2650</v>
      </c>
      <c r="D362" s="3433">
        <v>2610</v>
      </c>
      <c r="E362" s="3433">
        <v>2570</v>
      </c>
      <c r="F362" s="3433">
        <v>630</v>
      </c>
      <c r="G362" s="3445">
        <v>1570</v>
      </c>
      <c r="H362" s="3446"/>
    </row>
    <row r="363" spans="1:8">
      <c r="A363" s="3453" t="s">
        <v>2765</v>
      </c>
      <c r="B363" s="3433" t="s">
        <v>3015</v>
      </c>
      <c r="C363" s="3433">
        <v>2390</v>
      </c>
      <c r="D363" s="3433">
        <v>2360</v>
      </c>
      <c r="E363" s="3433">
        <v>2320</v>
      </c>
      <c r="F363" s="3433">
        <v>600</v>
      </c>
      <c r="G363" s="3445">
        <v>1420</v>
      </c>
      <c r="H363" s="3446"/>
    </row>
    <row r="364" spans="1:8">
      <c r="A364" s="3453" t="s">
        <v>2765</v>
      </c>
      <c r="B364" s="3433" t="s">
        <v>3016</v>
      </c>
      <c r="C364" s="3433">
        <v>2050</v>
      </c>
      <c r="D364" s="3433">
        <v>2030</v>
      </c>
      <c r="E364" s="3433">
        <v>1990</v>
      </c>
      <c r="F364" s="3433">
        <v>550</v>
      </c>
      <c r="G364" s="3445">
        <v>1220</v>
      </c>
      <c r="H364" s="3446"/>
    </row>
    <row r="365" spans="1:8">
      <c r="A365" s="3453" t="s">
        <v>2765</v>
      </c>
      <c r="B365" s="3433" t="s">
        <v>1047</v>
      </c>
      <c r="C365" s="3433">
        <v>2140</v>
      </c>
      <c r="D365" s="3433">
        <v>2100</v>
      </c>
      <c r="E365" s="3433">
        <v>2060</v>
      </c>
      <c r="F365" s="3433">
        <v>540</v>
      </c>
      <c r="G365" s="3445">
        <v>1270</v>
      </c>
      <c r="H365" s="3446"/>
    </row>
    <row r="366" spans="1:8">
      <c r="A366" s="3453" t="s">
        <v>2765</v>
      </c>
      <c r="B366" s="3433" t="s">
        <v>3017</v>
      </c>
      <c r="C366" s="3433">
        <v>2410</v>
      </c>
      <c r="D366" s="3433">
        <v>2370</v>
      </c>
      <c r="E366" s="3433">
        <v>2330</v>
      </c>
      <c r="F366" s="3433">
        <v>570</v>
      </c>
      <c r="G366" s="3445">
        <v>1440</v>
      </c>
      <c r="H366" s="3446"/>
    </row>
    <row r="367" spans="1:8">
      <c r="A367" s="3453" t="s">
        <v>2765</v>
      </c>
      <c r="B367" s="3433" t="s">
        <v>3018</v>
      </c>
      <c r="C367" s="3433">
        <v>2300</v>
      </c>
      <c r="D367" s="3433">
        <v>2260</v>
      </c>
      <c r="E367" s="3433">
        <v>2220</v>
      </c>
      <c r="F367" s="3433">
        <v>560</v>
      </c>
      <c r="G367" s="3445">
        <v>1370</v>
      </c>
      <c r="H367" s="3446"/>
    </row>
    <row r="368" spans="1:8">
      <c r="A368" s="3453" t="s">
        <v>2765</v>
      </c>
      <c r="B368" s="3433" t="s">
        <v>3019</v>
      </c>
      <c r="C368" s="3433">
        <v>2430</v>
      </c>
      <c r="D368" s="3433">
        <v>2390</v>
      </c>
      <c r="E368" s="3433">
        <v>2350</v>
      </c>
      <c r="F368" s="3433">
        <v>570</v>
      </c>
      <c r="G368" s="3445">
        <v>1450</v>
      </c>
      <c r="H368" s="3446"/>
    </row>
    <row r="369" spans="1:8">
      <c r="A369" s="3453" t="s">
        <v>2765</v>
      </c>
      <c r="B369" s="3433" t="s">
        <v>1061</v>
      </c>
      <c r="C369" s="3433">
        <v>2320</v>
      </c>
      <c r="D369" s="3433">
        <v>2290</v>
      </c>
      <c r="E369" s="3433">
        <v>2250</v>
      </c>
      <c r="F369" s="3433">
        <v>550</v>
      </c>
      <c r="G369" s="3445">
        <v>1380</v>
      </c>
      <c r="H369" s="3446"/>
    </row>
    <row r="370" spans="1:8">
      <c r="A370" s="3453" t="s">
        <v>2765</v>
      </c>
      <c r="B370" s="3433" t="s">
        <v>1069</v>
      </c>
      <c r="C370" s="3433">
        <v>2190</v>
      </c>
      <c r="D370" s="3433">
        <v>2170</v>
      </c>
      <c r="E370" s="3433">
        <v>2130</v>
      </c>
      <c r="F370" s="3433">
        <v>530</v>
      </c>
      <c r="G370" s="3445">
        <v>1310</v>
      </c>
      <c r="H370" s="3446"/>
    </row>
    <row r="371" spans="1:8">
      <c r="A371" s="3453" t="s">
        <v>2765</v>
      </c>
      <c r="B371" s="3433" t="s">
        <v>1077</v>
      </c>
      <c r="C371" s="3433">
        <v>2460</v>
      </c>
      <c r="D371" s="3433">
        <v>2420</v>
      </c>
      <c r="E371" s="3433">
        <v>2370</v>
      </c>
      <c r="F371" s="3433">
        <v>560</v>
      </c>
      <c r="G371" s="3445">
        <v>1470</v>
      </c>
      <c r="H371" s="3446"/>
    </row>
    <row r="372" spans="1:8">
      <c r="A372" s="3453" t="s">
        <v>2765</v>
      </c>
      <c r="B372" s="3433" t="s">
        <v>3020</v>
      </c>
      <c r="C372" s="3433">
        <v>2250</v>
      </c>
      <c r="D372" s="3433">
        <v>2210</v>
      </c>
      <c r="E372" s="3433">
        <v>2180</v>
      </c>
      <c r="F372" s="3433">
        <v>550</v>
      </c>
      <c r="G372" s="3445">
        <v>1340</v>
      </c>
      <c r="H372" s="3446"/>
    </row>
    <row r="373" spans="1:8">
      <c r="A373" s="3453" t="s">
        <v>2765</v>
      </c>
      <c r="B373" s="3433" t="s">
        <v>1106</v>
      </c>
      <c r="C373" s="3433">
        <v>2210</v>
      </c>
      <c r="D373" s="3433">
        <v>2190</v>
      </c>
      <c r="E373" s="3433">
        <v>2150</v>
      </c>
      <c r="F373" s="3433">
        <v>530</v>
      </c>
      <c r="G373" s="3445">
        <v>1320</v>
      </c>
      <c r="H373" s="3446"/>
    </row>
    <row r="374" spans="1:8">
      <c r="A374" s="3453" t="s">
        <v>2765</v>
      </c>
      <c r="B374" s="3433" t="s">
        <v>1114</v>
      </c>
      <c r="C374" s="3433">
        <v>2320</v>
      </c>
      <c r="D374" s="3433">
        <v>2280</v>
      </c>
      <c r="E374" s="3433">
        <v>2230</v>
      </c>
      <c r="F374" s="3433">
        <v>580</v>
      </c>
      <c r="G374" s="3445">
        <v>1380</v>
      </c>
      <c r="H374" s="3446"/>
    </row>
    <row r="375" spans="1:8">
      <c r="A375" s="3453" t="s">
        <v>2765</v>
      </c>
      <c r="B375" s="3433" t="s">
        <v>3021</v>
      </c>
      <c r="C375" s="3433">
        <v>2090</v>
      </c>
      <c r="D375" s="3433">
        <v>2050</v>
      </c>
      <c r="E375" s="3433">
        <v>2020</v>
      </c>
      <c r="F375" s="3433">
        <v>520</v>
      </c>
      <c r="G375" s="3445">
        <v>1240</v>
      </c>
      <c r="H375" s="3446"/>
    </row>
    <row r="376" spans="1:8">
      <c r="A376" s="3453" t="s">
        <v>2765</v>
      </c>
      <c r="B376" s="3433" t="s">
        <v>1126</v>
      </c>
      <c r="C376" s="3433">
        <v>2010</v>
      </c>
      <c r="D376" s="3433">
        <v>1980</v>
      </c>
      <c r="E376" s="3433">
        <v>1940</v>
      </c>
      <c r="F376" s="3433">
        <v>540</v>
      </c>
      <c r="G376" s="3445">
        <v>1190</v>
      </c>
      <c r="H376" s="3446"/>
    </row>
    <row r="377" spans="1:8" ht="14.25" thickBot="1">
      <c r="A377" s="3455" t="s">
        <v>2765</v>
      </c>
      <c r="B377" s="3449" t="s">
        <v>3022</v>
      </c>
      <c r="C377" s="3449">
        <v>1930</v>
      </c>
      <c r="D377" s="3449">
        <v>1890</v>
      </c>
      <c r="E377" s="3449">
        <v>1860</v>
      </c>
      <c r="F377" s="3449">
        <v>530</v>
      </c>
      <c r="G377" s="3456">
        <v>1150</v>
      </c>
      <c r="H377" s="3446"/>
    </row>
    <row r="378" spans="1:8">
      <c r="A378" s="3450" t="s">
        <v>2766</v>
      </c>
      <c r="B378" s="3451" t="s">
        <v>3023</v>
      </c>
      <c r="C378" s="3451">
        <v>1520</v>
      </c>
      <c r="D378" s="3451">
        <v>1490</v>
      </c>
      <c r="E378" s="3451">
        <v>1460</v>
      </c>
      <c r="F378" s="3451">
        <v>460</v>
      </c>
      <c r="G378" s="3452">
        <v>940</v>
      </c>
      <c r="H378" s="3446"/>
    </row>
    <row r="379" spans="1:8">
      <c r="A379" s="3453" t="s">
        <v>2766</v>
      </c>
      <c r="B379" s="3433" t="s">
        <v>3024</v>
      </c>
      <c r="C379" s="3433">
        <v>1500</v>
      </c>
      <c r="D379" s="3433">
        <v>1470</v>
      </c>
      <c r="E379" s="3433">
        <v>1430</v>
      </c>
      <c r="F379" s="3433">
        <v>460</v>
      </c>
      <c r="G379" s="3445">
        <v>920</v>
      </c>
      <c r="H379" s="3446"/>
    </row>
    <row r="380" spans="1:8">
      <c r="A380" s="3453" t="s">
        <v>2766</v>
      </c>
      <c r="B380" s="3433" t="s">
        <v>3025</v>
      </c>
      <c r="C380" s="3433">
        <v>1620</v>
      </c>
      <c r="D380" s="3433">
        <v>1590</v>
      </c>
      <c r="E380" s="3433">
        <v>1560</v>
      </c>
      <c r="F380" s="3433">
        <v>480</v>
      </c>
      <c r="G380" s="3445">
        <v>1000</v>
      </c>
      <c r="H380" s="3446"/>
    </row>
    <row r="381" spans="1:8">
      <c r="A381" s="3453" t="s">
        <v>2766</v>
      </c>
      <c r="B381" s="3433" t="s">
        <v>3026</v>
      </c>
      <c r="C381" s="3433">
        <v>1460</v>
      </c>
      <c r="D381" s="3433">
        <v>1430</v>
      </c>
      <c r="E381" s="3433">
        <v>1390</v>
      </c>
      <c r="F381" s="3433">
        <v>450</v>
      </c>
      <c r="G381" s="3445">
        <v>900</v>
      </c>
      <c r="H381" s="3446"/>
    </row>
    <row r="382" spans="1:8">
      <c r="A382" s="3453" t="s">
        <v>2766</v>
      </c>
      <c r="B382" s="3433" t="s">
        <v>3027</v>
      </c>
      <c r="C382" s="3433">
        <v>1310</v>
      </c>
      <c r="D382" s="3433">
        <v>1280</v>
      </c>
      <c r="E382" s="3433">
        <v>1250</v>
      </c>
      <c r="F382" s="3433">
        <v>440</v>
      </c>
      <c r="G382" s="3445">
        <v>800</v>
      </c>
      <c r="H382" s="3446"/>
    </row>
    <row r="383" spans="1:8">
      <c r="A383" s="3453" t="s">
        <v>2766</v>
      </c>
      <c r="B383" s="3433" t="s">
        <v>3028</v>
      </c>
      <c r="C383" s="3433">
        <v>1260</v>
      </c>
      <c r="D383" s="3433">
        <v>1230</v>
      </c>
      <c r="E383" s="3433">
        <v>1200</v>
      </c>
      <c r="F383" s="3433">
        <v>420</v>
      </c>
      <c r="G383" s="3445">
        <v>770</v>
      </c>
      <c r="H383" s="3446"/>
    </row>
    <row r="384" spans="1:8" ht="14.25" thickBot="1">
      <c r="A384" s="3454" t="s">
        <v>2766</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0" t="s">
        <v>3192</v>
      </c>
      <c r="B1" s="3930"/>
      <c r="C1" s="3930"/>
      <c r="D1" s="3930"/>
      <c r="E1" s="3930"/>
      <c r="F1" s="3931"/>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2741</v>
      </c>
      <c r="C4" s="3503" t="s">
        <v>1212</v>
      </c>
      <c r="D4" s="3503" t="s">
        <v>3191</v>
      </c>
      <c r="E4" s="3503" t="s">
        <v>905</v>
      </c>
      <c r="F4" s="3503" t="s">
        <v>3196</v>
      </c>
    </row>
    <row r="5" spans="1:6">
      <c r="A5" s="3504" t="s">
        <v>2764</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2765</v>
      </c>
      <c r="B16" s="3506">
        <v>2230</v>
      </c>
      <c r="C16" s="3506">
        <v>2200</v>
      </c>
      <c r="D16" s="3506">
        <v>2180</v>
      </c>
      <c r="E16" s="3506">
        <v>570</v>
      </c>
      <c r="F16" s="3506">
        <v>1330</v>
      </c>
    </row>
    <row r="17" spans="1:6">
      <c r="A17" s="3504" t="s">
        <v>2766</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32" t="s">
        <v>3030</v>
      </c>
      <c r="B1" s="3932"/>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35" t="s">
        <v>1858</v>
      </c>
      <c r="C1" s="3935"/>
      <c r="D1" s="3935"/>
      <c r="E1" s="3935"/>
      <c r="F1" s="3935"/>
      <c r="G1" s="3934" t="s">
        <v>1859</v>
      </c>
      <c r="H1" s="3934"/>
      <c r="I1" s="3934"/>
      <c r="J1" s="3934"/>
      <c r="K1" s="3934"/>
      <c r="L1" s="3934"/>
      <c r="N1" s="3934" t="s">
        <v>1860</v>
      </c>
      <c r="O1" s="3934"/>
      <c r="P1" s="3934"/>
      <c r="Q1" s="3934"/>
      <c r="S1" s="3934" t="s">
        <v>1861</v>
      </c>
      <c r="T1" s="3934"/>
      <c r="U1" s="3934"/>
      <c r="V1" s="3934"/>
      <c r="X1" s="3933" t="s">
        <v>1921</v>
      </c>
      <c r="Y1" s="3934"/>
      <c r="Z1" s="3934"/>
      <c r="AA1" s="3934"/>
      <c r="AB1" s="3934"/>
      <c r="AD1" s="3933" t="s">
        <v>1925</v>
      </c>
      <c r="AE1" s="3934"/>
      <c r="AF1" s="3934"/>
      <c r="AG1" s="3934"/>
      <c r="AH1" s="3934"/>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37">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37"/>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37"/>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43"/>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42">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37"/>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37"/>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43"/>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42">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37"/>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37"/>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38"/>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36">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37"/>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37"/>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38"/>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36">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37"/>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37"/>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38"/>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39">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40"/>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40"/>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41"/>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36">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37"/>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37"/>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38"/>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36">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37">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37">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38">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36">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37">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37">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38">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36">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37">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37">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38">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36">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37">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37">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38">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36">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37">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37">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38">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36">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37">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37">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38">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36">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37">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37">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38">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36">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37">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37">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38">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36">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37">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37">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38">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36">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37">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37">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38">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28084.68平方米。根据《建设工程规划许可证》[]、《出让合同》[]，估价对象规划建筑面积为56169.36平方米。</v>
      </c>
    </row>
    <row r="7" spans="1:4" ht="56.25">
      <c r="A7" s="1583" t="s">
        <v>2029</v>
      </c>
    </row>
    <row r="8" spans="1:4" ht="18.75">
      <c r="A8" s="1582" t="s">
        <v>1430</v>
      </c>
    </row>
    <row r="9" spans="1:4" ht="75">
      <c r="A9" s="15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2023年4月12日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根据《国有土地使用证》[]，估价对象（分摊）出让国有建设用地使用权面积为28084.68平方米。根据《建设工程规划许可证》[]、《出让合同》[]，估价对象规划建筑面积为56169.36平方米。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2056年8月23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J42" sqref="J42"/>
    </sheetView>
  </sheetViews>
  <sheetFormatPr defaultRowHeight="13.5"/>
  <cols>
    <col min="1" max="1" width="12.375" customWidth="1"/>
    <col min="11" max="17" width="0" hidden="1" customWidth="1"/>
    <col min="24" max="30" width="0" hidden="1" customWidth="1"/>
  </cols>
  <sheetData>
    <row r="1" spans="1:30">
      <c r="A1" s="3400">
        <f>基准地价!G23</f>
        <v>45028</v>
      </c>
      <c r="B1" s="3348" t="s">
        <v>2793</v>
      </c>
      <c r="C1" s="3349"/>
      <c r="D1" s="3349"/>
      <c r="E1" s="3349"/>
      <c r="F1" s="3349"/>
      <c r="G1" s="3349"/>
      <c r="H1" s="3349"/>
      <c r="I1" s="3349"/>
      <c r="J1" s="3350"/>
      <c r="K1" s="3349" t="s">
        <v>2794</v>
      </c>
      <c r="L1" s="3349"/>
      <c r="M1" s="3349"/>
      <c r="N1" s="3349"/>
      <c r="O1" s="3349"/>
      <c r="P1" s="3349"/>
      <c r="Q1" s="3350"/>
      <c r="R1" s="3944" t="s">
        <v>2803</v>
      </c>
      <c r="S1" s="3945"/>
      <c r="T1" s="3945"/>
      <c r="U1" s="3945"/>
      <c r="V1" s="3945"/>
      <c r="W1" s="3945"/>
      <c r="X1" s="3350"/>
      <c r="Y1" s="3944" t="s">
        <v>2814</v>
      </c>
      <c r="Z1" s="3945"/>
      <c r="AA1" s="3945"/>
      <c r="AB1" s="3945"/>
      <c r="AC1" s="3945"/>
      <c r="AD1" s="3945"/>
    </row>
    <row r="2" spans="1:30" ht="14.25" thickBot="1">
      <c r="A2" s="3341"/>
      <c r="B2" s="3351"/>
      <c r="C2" s="3352"/>
      <c r="D2" s="3353" t="s">
        <v>2796</v>
      </c>
      <c r="E2" s="3354" t="s">
        <v>2797</v>
      </c>
      <c r="F2" s="3354" t="s">
        <v>2798</v>
      </c>
      <c r="G2" s="3354" t="s">
        <v>2799</v>
      </c>
      <c r="H2" s="3354" t="s">
        <v>2800</v>
      </c>
      <c r="I2" s="3354" t="s">
        <v>2740</v>
      </c>
      <c r="J2" s="3355"/>
      <c r="K2" s="3353" t="s">
        <v>2796</v>
      </c>
      <c r="L2" s="3354" t="s">
        <v>2797</v>
      </c>
      <c r="M2" s="3354" t="s">
        <v>2798</v>
      </c>
      <c r="N2" s="3354" t="s">
        <v>2799</v>
      </c>
      <c r="O2" s="3354" t="s">
        <v>2800</v>
      </c>
      <c r="P2" s="3354" t="s">
        <v>2740</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2457</v>
      </c>
    </row>
    <row r="3" spans="1:30">
      <c r="A3" s="3342" t="s">
        <v>2783</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3256</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1.0565</v>
      </c>
      <c r="S5" s="3381">
        <f>ROUND(IF(项目基本情况!$B$8="出让",SUMPRODUCT(PRODUCT(1+L5:$L$16)),SUMPRODUCT(PRODUCT(1+L5:$L$15))),4)</f>
        <v>1.0250999999999999</v>
      </c>
      <c r="T5" s="3381">
        <f>ROUND(IF(项目基本情况!$B$8="出让",SUMPRODUCT(PRODUCT(1+M5:$M$16)),SUMPRODUCT(PRODUCT(1+M5:$M$15))),4)</f>
        <v>1.0145</v>
      </c>
      <c r="U5" s="3381">
        <f>ROUND(IF(项目基本情况!$B$8="出让",SUMPRODUCT(PRODUCT(1+N5:$N$16)),SUMPRODUCT(PRODUCT(1+N5:$N$15))),4)</f>
        <v>1.0618000000000001</v>
      </c>
      <c r="V5" s="3381">
        <f>ROUND(IF(项目基本情况!$B$8="出让",SUMPRODUCT(PRODUCT(1+O5:$O$16)),SUMPRODUCT(PRODUCT(1+O5:$O$15))),4)</f>
        <v>1.0502</v>
      </c>
      <c r="W5" s="3381">
        <f>T5</f>
        <v>1.0145</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3257</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1.0565</v>
      </c>
      <c r="S6" s="3381">
        <f>ROUND(IF(项目基本情况!$B$8="出让",SUMPRODUCT(PRODUCT(1+L6:$L$16)),SUMPRODUCT(PRODUCT(1+L6:$L$15))),4)</f>
        <v>1.0250999999999999</v>
      </c>
      <c r="T6" s="3381">
        <f>ROUND(IF(项目基本情况!$B$8="出让",SUMPRODUCT(PRODUCT(1+M6:$M$16)),SUMPRODUCT(PRODUCT(1+M6:$M$15))),4)</f>
        <v>1.0145</v>
      </c>
      <c r="U6" s="3381">
        <f>ROUND(IF(项目基本情况!$B$8="出让",SUMPRODUCT(PRODUCT(1+N6:$N$16)),SUMPRODUCT(PRODUCT(1+N6:$N$15))),4)</f>
        <v>1.0618000000000001</v>
      </c>
      <c r="V6" s="3381">
        <f>ROUND(IF(项目基本情况!$B$8="出让",SUMPRODUCT(PRODUCT(1+O6:$O$16)),SUMPRODUCT(PRODUCT(1+O6:$O$15))),4)</f>
        <v>1.0502</v>
      </c>
      <c r="W6" s="3381">
        <f t="shared" ref="W6:W8" si="9">T6</f>
        <v>1.0145</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3255</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1.0565</v>
      </c>
      <c r="S7" s="3381">
        <f>ROUND(IF(项目基本情况!$B$8="出让",SUMPRODUCT(PRODUCT(1+L7:$L$16)),SUMPRODUCT(PRODUCT(1+L7:$L$15))),4)</f>
        <v>1.0250999999999999</v>
      </c>
      <c r="T7" s="3381">
        <f>ROUND(IF(项目基本情况!$B$8="出让",SUMPRODUCT(PRODUCT(1+M7:$M$16)),SUMPRODUCT(PRODUCT(1+M7:$M$15))),4)</f>
        <v>1.0145</v>
      </c>
      <c r="U7" s="3381">
        <f>ROUND(IF(项目基本情况!$B$8="出让",SUMPRODUCT(PRODUCT(1+N7:$N$16)),SUMPRODUCT(PRODUCT(1+N7:$N$15))),4)</f>
        <v>1.0618000000000001</v>
      </c>
      <c r="V7" s="3381">
        <f>ROUND(IF(项目基本情况!$B$8="出让",SUMPRODUCT(PRODUCT(1+O7:$O$16)),SUMPRODUCT(PRODUCT(1+O7:$O$15))),4)</f>
        <v>1.0502</v>
      </c>
      <c r="W7" s="3381">
        <f t="shared" si="9"/>
        <v>1.0145</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2784</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1.0565</v>
      </c>
      <c r="S8" s="3381">
        <f>ROUND(IF(项目基本情况!$B$8="出让",SUMPRODUCT(PRODUCT(1+L8:$L$16)),SUMPRODUCT(PRODUCT(1+L8:$L$15))),4)</f>
        <v>1.0250999999999999</v>
      </c>
      <c r="T8" s="3381">
        <f>ROUND(IF(项目基本情况!$B$8="出让",SUMPRODUCT(PRODUCT(1+M8:$M$16)),SUMPRODUCT(PRODUCT(1+M8:$M$15))),4)</f>
        <v>1.0145</v>
      </c>
      <c r="U8" s="3381">
        <f>ROUND(IF(项目基本情况!$B$8="出让",SUMPRODUCT(PRODUCT(1+N8:$N$16)),SUMPRODUCT(PRODUCT(1+N8:$N$15))),4)</f>
        <v>1.0618000000000001</v>
      </c>
      <c r="V8" s="3381">
        <f>ROUND(IF(项目基本情况!$B$8="出让",SUMPRODUCT(PRODUCT(1+O8:$O$16)),SUMPRODUCT(PRODUCT(1+O8:$O$15))),4)</f>
        <v>1.0502</v>
      </c>
      <c r="W8" s="3381">
        <f t="shared" si="9"/>
        <v>1.0145</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3253</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3251</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1.05</v>
      </c>
      <c r="S10" s="3381">
        <f>ROUND(IF(项目基本情况!B8="出让",SUMPRODUCT(PRODUCT(1+L10:L16)),SUMPRODUCT(PRODUCT(1+L10:L15))),4)</f>
        <v>1.0229999999999999</v>
      </c>
      <c r="T10" s="3381">
        <f>ROUND(IF(项目基本情况!B8="出让",SUMPRODUCT(PRODUCT(1+M10:M16)),SUMPRODUCT(PRODUCT(1+M10:M15))),4)</f>
        <v>1.0134000000000001</v>
      </c>
      <c r="U10" s="3381">
        <f>ROUND(IF(项目基本情况!B8="出让",SUMPRODUCT(PRODUCT(1+N10:N16)),SUMPRODUCT(PRODUCT(1+N10:N15))),4)</f>
        <v>1.0545</v>
      </c>
      <c r="V10" s="3381">
        <f>ROUND(IF(项目基本情况!B8="出让",SUMPRODUCT(PRODUCT(1+O10:O16)),SUMPRODUCT(PRODUCT(1+O10:O15))),4)</f>
        <v>1.0447</v>
      </c>
      <c r="W10" s="3381">
        <f t="shared" si="15"/>
        <v>1.0134000000000001</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3252</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1.0430999999999999</v>
      </c>
      <c r="S11" s="3381">
        <f>ROUND(IF(项目基本情况!B8="出让",SUMPRODUCT(PRODUCT(1+L11:L16)),SUMPRODUCT(PRODUCT(1+L11:L15))),4)</f>
        <v>1.0197000000000001</v>
      </c>
      <c r="T11" s="3381">
        <f>ROUND(IF(项目基本情况!B8="出让",SUMPRODUCT(PRODUCT(1+M11:M16)),SUMPRODUCT(PRODUCT(1+M11:M15))),4)</f>
        <v>1.0109999999999999</v>
      </c>
      <c r="U11" s="3381">
        <f>ROUND(IF(项目基本情况!B8="出让",SUMPRODUCT(PRODUCT(1+N11:N16)),SUMPRODUCT(PRODUCT(1+N11:N15))),4)</f>
        <v>1.0468999999999999</v>
      </c>
      <c r="V11" s="3381">
        <f>ROUND(IF(项目基本情况!B8="出让",SUMPRODUCT(PRODUCT(1+O11:O16)),SUMPRODUCT(PRODUCT(1+O11:O15))),4)</f>
        <v>1.0382</v>
      </c>
      <c r="W11" s="3381">
        <f t="shared" si="15"/>
        <v>1.0109999999999999</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2785</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1.0335000000000001</v>
      </c>
      <c r="S12" s="3381">
        <f>ROUND(IF(项目基本情况!B8="出让",SUMPRODUCT(PRODUCT(1+L12:L16)),SUMPRODUCT(PRODUCT(1+L12:L15))),4)</f>
        <v>1.0182</v>
      </c>
      <c r="T12" s="3381">
        <f>ROUND(IF(项目基本情况!B8="出让",SUMPRODUCT(PRODUCT(1+M12:M16)),SUMPRODUCT(PRODUCT(1+M12:M15))),4)</f>
        <v>1.0108999999999999</v>
      </c>
      <c r="U12" s="3381">
        <f>ROUND(IF(项目基本情况!B8="出让",SUMPRODUCT(PRODUCT(1+N12:N16)),SUMPRODUCT(PRODUCT(1+N12:N15))),4)</f>
        <v>1.0361</v>
      </c>
      <c r="V12" s="3381">
        <f>ROUND(IF(项目基本情况!B8="出让",SUMPRODUCT(PRODUCT(1+O12:O16)),SUMPRODUCT(PRODUCT(1+O12:O15))),4)</f>
        <v>1.0270999999999999</v>
      </c>
      <c r="W12" s="3381">
        <f t="shared" si="15"/>
        <v>1.0108999999999999</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2786</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1.0244</v>
      </c>
      <c r="S13" s="3381">
        <f>ROUND(IF(项目基本情况!B8="出让",SUMPRODUCT(PRODUCT(1+L13:L16)),SUMPRODUCT(PRODUCT(1+L13:L15))),4)</f>
        <v>1.0138</v>
      </c>
      <c r="T13" s="3381">
        <f>ROUND(IF(项目基本情况!B8="出让",SUMPRODUCT(PRODUCT(1+M13:M16)),SUMPRODUCT(PRODUCT(1+M13:M15))),4)</f>
        <v>1.0072000000000001</v>
      </c>
      <c r="U13" s="3381">
        <f>ROUND(IF(项目基本情况!B8="出让",SUMPRODUCT(PRODUCT(1+N13:N16)),SUMPRODUCT(PRODUCT(1+N13:N15))),4)</f>
        <v>1.0262</v>
      </c>
      <c r="V13" s="3381">
        <f>ROUND(IF(项目基本情况!B8="出让",SUMPRODUCT(PRODUCT(1+O13:O16)),SUMPRODUCT(PRODUCT(1+O13:O15))),4)</f>
        <v>1.0205</v>
      </c>
      <c r="W13" s="3381">
        <f t="shared" si="15"/>
        <v>1.0072000000000001</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2787</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1.0139</v>
      </c>
      <c r="S14" s="3381">
        <f>ROUND(IF(项目基本情况!B8="出让",SUMPRODUCT(PRODUCT(1+L14:L16)),SUMPRODUCT(PRODUCT(1+L14:L15))),4)</f>
        <v>1.0113000000000001</v>
      </c>
      <c r="T14" s="3381">
        <f>ROUND(IF(项目基本情况!B8="出让",SUMPRODUCT(PRODUCT(1+M14:M16)),SUMPRODUCT(PRODUCT(1+M14:M15))),4)</f>
        <v>1.0065</v>
      </c>
      <c r="U14" s="3381">
        <f>ROUND(IF(项目基本情况!B8="出让",SUMPRODUCT(PRODUCT(1+N14:N16)),SUMPRODUCT(PRODUCT(1+N14:N15))),4)</f>
        <v>1.0143</v>
      </c>
      <c r="V14" s="3381">
        <f>ROUND(IF(项目基本情况!B8="出让",SUMPRODUCT(PRODUCT(1+O14:O16)),SUMPRODUCT(PRODUCT(1+O14:O15))),4)</f>
        <v>1.0148999999999999</v>
      </c>
      <c r="W14" s="3381">
        <f t="shared" si="15"/>
        <v>1.0065</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2788</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1.0092000000000001</v>
      </c>
      <c r="S15" s="3381">
        <f>ROUND(IF(项目基本情况!B8="出让",SUMPRODUCT(PRODUCT(1+L15:L16)),SUMPRODUCT(PRODUCT(1+L15:L15))),4)</f>
        <v>1.0072000000000001</v>
      </c>
      <c r="T15" s="3381">
        <f>ROUND(IF(项目基本情况!B8="出让",SUMPRODUCT(PRODUCT(1+M15:M16)),SUMPRODUCT(PRODUCT(1+M15:M15))),4)</f>
        <v>1.0041</v>
      </c>
      <c r="U15" s="3381">
        <f>ROUND(IF(项目基本情况!B8="出让",SUMPRODUCT(PRODUCT(1+N15:N16)),SUMPRODUCT(PRODUCT(1+N15:N15))),4)</f>
        <v>1.0095000000000001</v>
      </c>
      <c r="V15" s="3381">
        <f>ROUND(IF(项目基本情况!B8="出让",SUMPRODUCT(PRODUCT(1+O15:O16)),SUMPRODUCT(PRODUCT(1+O15:O15))),4)</f>
        <v>1.0101</v>
      </c>
      <c r="W15" s="3381">
        <f t="shared" si="15"/>
        <v>1.0041</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2789</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3258</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2801</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2802</v>
      </c>
      <c r="C21" s="3349"/>
      <c r="D21" s="3349"/>
      <c r="E21" s="3349"/>
      <c r="F21" s="3349"/>
      <c r="G21" s="3349"/>
      <c r="H21" s="3349"/>
      <c r="I21" s="3349"/>
      <c r="J21" s="3350"/>
      <c r="K21" s="3349" t="s">
        <v>2794</v>
      </c>
      <c r="L21" s="3349"/>
      <c r="M21" s="3349"/>
      <c r="N21" s="3349"/>
      <c r="O21" s="3349"/>
      <c r="P21" s="3349"/>
      <c r="Q21" s="3350"/>
      <c r="R21" s="3944" t="s">
        <v>2810</v>
      </c>
      <c r="S21" s="3945"/>
      <c r="T21" s="3945"/>
      <c r="U21" s="3945"/>
      <c r="V21" s="3945"/>
      <c r="W21" s="3945"/>
      <c r="X21" s="3350"/>
      <c r="Y21" s="3944" t="s">
        <v>1925</v>
      </c>
      <c r="Z21" s="3945"/>
      <c r="AA21" s="3945"/>
      <c r="AB21" s="3945"/>
      <c r="AC21" s="3945"/>
      <c r="AD21" s="3945"/>
    </row>
    <row r="22" spans="1:30" ht="14.25" thickBot="1">
      <c r="A22" s="3341"/>
      <c r="B22" s="3351"/>
      <c r="C22" s="3352"/>
      <c r="D22" s="3353" t="s">
        <v>2796</v>
      </c>
      <c r="E22" s="3354" t="s">
        <v>2797</v>
      </c>
      <c r="F22" s="3354" t="s">
        <v>2798</v>
      </c>
      <c r="G22" s="3354" t="s">
        <v>1469</v>
      </c>
      <c r="H22" s="3354"/>
      <c r="I22" s="3354" t="s">
        <v>2740</v>
      </c>
      <c r="J22" s="3355"/>
      <c r="K22" s="3353" t="s">
        <v>2796</v>
      </c>
      <c r="L22" s="3354" t="s">
        <v>2797</v>
      </c>
      <c r="M22" s="3354" t="s">
        <v>2798</v>
      </c>
      <c r="N22" s="3354" t="s">
        <v>2799</v>
      </c>
      <c r="O22" s="3354"/>
      <c r="P22" s="3354" t="s">
        <v>2740</v>
      </c>
      <c r="Q22" s="3355"/>
      <c r="R22" s="3353" t="s">
        <v>2811</v>
      </c>
      <c r="S22" s="3354" t="s">
        <v>2812</v>
      </c>
      <c r="T22" s="3354" t="s">
        <v>2798</v>
      </c>
      <c r="U22" s="3354" t="s">
        <v>1469</v>
      </c>
      <c r="V22" s="3354"/>
      <c r="W22" s="3354" t="s">
        <v>2813</v>
      </c>
      <c r="X22" s="3355"/>
      <c r="Y22" s="3353" t="s">
        <v>2795</v>
      </c>
      <c r="Z22" s="3354" t="s">
        <v>2797</v>
      </c>
      <c r="AA22" s="3354" t="s">
        <v>2798</v>
      </c>
      <c r="AB22" s="3354" t="s">
        <v>1469</v>
      </c>
      <c r="AC22" s="3354"/>
      <c r="AD22" s="3354" t="s">
        <v>2816</v>
      </c>
    </row>
    <row r="23" spans="1:30">
      <c r="A23" s="3342" t="s">
        <v>2790</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3256</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1.0286999999999999</v>
      </c>
      <c r="T25" s="3381">
        <f>ROUND(IF(项目基本情况!$B$8="出让",SUMPRODUCT(PRODUCT(1+M25:M$36)),SUMPRODUCT(PRODUCT(1+M25:M$35))),4)</f>
        <v>1.0164</v>
      </c>
      <c r="U25" s="3381">
        <f>ROUND(IF(项目基本情况!$B$8="出让",SUMPRODUCT(PRODUCT(1+N25:N$36)),SUMPRODUCT(PRODUCT(1+N25:N$35))),4)</f>
        <v>1.0506</v>
      </c>
      <c r="V25" s="3381"/>
      <c r="W25" s="3381">
        <f>T25</f>
        <v>1.0164</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3257</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1.0286999999999999</v>
      </c>
      <c r="T26" s="3381">
        <f>ROUND(IF(项目基本情况!$B$8="出让",SUMPRODUCT(PRODUCT(1+M26:M$36)),SUMPRODUCT(PRODUCT(1+M26:M$35))),4)</f>
        <v>1.0164</v>
      </c>
      <c r="U26" s="3381">
        <f>ROUND(IF(项目基本情况!$B$8="出让",SUMPRODUCT(PRODUCT(1+N26:N$36)),SUMPRODUCT(PRODUCT(1+N26:N$35))),4)</f>
        <v>1.0506</v>
      </c>
      <c r="V26" s="3381"/>
      <c r="W26" s="3381">
        <f t="shared" ref="W26:W28" si="22">T26</f>
        <v>1.0164</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3255</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1.0286999999999999</v>
      </c>
      <c r="T27" s="3381">
        <f>ROUND(IF(项目基本情况!$B$8="出让",SUMPRODUCT(PRODUCT(1+M27:M$36)),SUMPRODUCT(PRODUCT(1+M27:M$35))),4)</f>
        <v>1.0164</v>
      </c>
      <c r="U27" s="3381">
        <f>ROUND(IF(项目基本情况!$B$8="出让",SUMPRODUCT(PRODUCT(1+N27:N$36)),SUMPRODUCT(PRODUCT(1+N27:N$35))),4)</f>
        <v>1.0506</v>
      </c>
      <c r="V27" s="3381"/>
      <c r="W27" s="3381">
        <f t="shared" si="22"/>
        <v>1.0164</v>
      </c>
      <c r="X27" s="3365"/>
      <c r="Y27" s="3390"/>
      <c r="Z27" s="3391">
        <f t="shared" ref="Z27:AB27" si="25">IF(E27=0,0,ROUND(AVERAGE(E27:E38)/100,4))</f>
        <v>0</v>
      </c>
      <c r="AA27" s="3391">
        <f t="shared" si="25"/>
        <v>0</v>
      </c>
      <c r="AB27" s="3391">
        <f t="shared" si="25"/>
        <v>0</v>
      </c>
      <c r="AC27" s="3392"/>
      <c r="AD27" s="3390">
        <f t="shared" si="24"/>
        <v>0</v>
      </c>
    </row>
    <row r="28" spans="1:30">
      <c r="A28" s="3344" t="s">
        <v>2784</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1.0286999999999999</v>
      </c>
      <c r="T28" s="3381">
        <f>ROUND(IF(项目基本情况!$B$8="出让",SUMPRODUCT(PRODUCT(1+M28:M$36)),SUMPRODUCT(PRODUCT(1+M28:M$35))),4)</f>
        <v>1.0164</v>
      </c>
      <c r="U28" s="3381">
        <f>ROUND(IF(项目基本情况!$B$8="出让",SUMPRODUCT(PRODUCT(1+N28:N$36)),SUMPRODUCT(PRODUCT(1+N28:N$35))),4)</f>
        <v>1.0506</v>
      </c>
      <c r="V28" s="3381"/>
      <c r="W28" s="3381">
        <f t="shared" si="22"/>
        <v>1.0164</v>
      </c>
      <c r="X28" s="3365"/>
      <c r="Y28" s="3390"/>
      <c r="Z28" s="3391">
        <f t="shared" ref="Z28:AB28" si="26">IF(E28=0,0,ROUND(AVERAGE(E28:E39)/100,4))</f>
        <v>0</v>
      </c>
      <c r="AA28" s="3391">
        <f t="shared" si="26"/>
        <v>0</v>
      </c>
      <c r="AB28" s="3391">
        <f t="shared" si="26"/>
        <v>0</v>
      </c>
      <c r="AC28" s="3392"/>
      <c r="AD28" s="3390">
        <f t="shared" si="24"/>
        <v>0</v>
      </c>
    </row>
    <row r="29" spans="1:30">
      <c r="A29" s="3345" t="s">
        <v>3253</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3254</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1.0241</v>
      </c>
      <c r="T30" s="3381">
        <f>ROUND(IF(项目基本情况!$B$8="出让",SUMPRODUCT(PRODUCT(1+M30:M$36)),SUMPRODUCT(PRODUCT(1+M30:M$35))),4)</f>
        <v>1.0144</v>
      </c>
      <c r="U30" s="3381">
        <f>ROUND(IF(项目基本情况!$B$8="出让",SUMPRODUCT(PRODUCT(1+N30:N$36)),SUMPRODUCT(PRODUCT(1+N30:N$35))),4)</f>
        <v>1.0467</v>
      </c>
      <c r="V30" s="3381"/>
      <c r="W30" s="3381">
        <f t="shared" si="28"/>
        <v>1.0144</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3252</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1.0210999999999999</v>
      </c>
      <c r="T31" s="3381">
        <f>ROUND(IF(项目基本情况!$B$8="出让",SUMPRODUCT(PRODUCT(1+M31:M$36)),SUMPRODUCT(PRODUCT(1+M31:M$35))),4)</f>
        <v>1.0114000000000001</v>
      </c>
      <c r="U31" s="3381">
        <f>ROUND(IF(项目基本情况!$B$8="出让",SUMPRODUCT(PRODUCT(1+N31:N$36)),SUMPRODUCT(PRODUCT(1+N31:N$35))),4)</f>
        <v>1.0381</v>
      </c>
      <c r="V31" s="3381"/>
      <c r="W31" s="3381">
        <f t="shared" si="28"/>
        <v>1.0114000000000001</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2785</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1.0222</v>
      </c>
      <c r="T32" s="3381">
        <f>ROUND(IF(项目基本情况!$B$8="出让",SUMPRODUCT(PRODUCT(1+M32:M$36)),SUMPRODUCT(PRODUCT(1+M32:M$35))),4)</f>
        <v>1.0127999999999999</v>
      </c>
      <c r="U32" s="3381">
        <f>ROUND(IF(项目基本情况!$B$8="出让",SUMPRODUCT(PRODUCT(1+N32:N$36)),SUMPRODUCT(PRODUCT(1+N32:N$35))),4)</f>
        <v>1.0326</v>
      </c>
      <c r="V32" s="3381"/>
      <c r="W32" s="3381">
        <f t="shared" si="28"/>
        <v>1.0127999999999999</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2786</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1.0161</v>
      </c>
      <c r="T33" s="3381">
        <f>ROUND(IF(项目基本情况!$B$8="出让",SUMPRODUCT(PRODUCT(1+M33:M$36)),SUMPRODUCT(PRODUCT(1+M33:M$35))),4)</f>
        <v>1.0082</v>
      </c>
      <c r="U33" s="3381">
        <f>ROUND(IF(项目基本情况!$B$8="出让",SUMPRODUCT(PRODUCT(1+N33:N$36)),SUMPRODUCT(PRODUCT(1+N33:N$35))),4)</f>
        <v>1.0270999999999999</v>
      </c>
      <c r="V33" s="3381"/>
      <c r="W33" s="3381">
        <f t="shared" si="28"/>
        <v>1.0082</v>
      </c>
      <c r="X33" s="3365"/>
      <c r="Y33" s="3390"/>
      <c r="Z33" s="3391">
        <f t="shared" si="29"/>
        <v>4.8999999999999998E-3</v>
      </c>
      <c r="AA33" s="3393">
        <f t="shared" si="29"/>
        <v>3.3E-3</v>
      </c>
      <c r="AB33" s="3390">
        <f t="shared" si="29"/>
        <v>9.1999999999999998E-3</v>
      </c>
      <c r="AC33" s="3392"/>
      <c r="AD33" s="3390">
        <f t="shared" si="29"/>
        <v>3.3E-3</v>
      </c>
    </row>
    <row r="34" spans="1:30">
      <c r="A34" s="3344" t="s">
        <v>2787</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1.0102</v>
      </c>
      <c r="T34" s="3381">
        <f>ROUND(IF(项目基本情况!$B$8="出让",SUMPRODUCT(PRODUCT(1+M34:M$36)),SUMPRODUCT(PRODUCT(1+M34:M$35))),4)</f>
        <v>1.0074000000000001</v>
      </c>
      <c r="U34" s="3381">
        <f>ROUND(IF(项目基本情况!$B$8="出让",SUMPRODUCT(PRODUCT(1+N34:N$36)),SUMPRODUCT(PRODUCT(1+N34:N$35))),4)</f>
        <v>1.0202</v>
      </c>
      <c r="V34" s="3381"/>
      <c r="W34" s="3381">
        <f t="shared" si="28"/>
        <v>1.0074000000000001</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2791</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1.0055000000000001</v>
      </c>
      <c r="T35" s="3381">
        <f>ROUND(IF(项目基本情况!$B$8="出让",SUMPRODUCT(PRODUCT(1+M35:M$36)),SUMPRODUCT(PRODUCT(1+M35:M$35))),4)</f>
        <v>1.0045999999999999</v>
      </c>
      <c r="U35" s="3381">
        <f>ROUND(IF(项目基本情况!$B$8="出让",SUMPRODUCT(PRODUCT(1+N35:N$36)),SUMPRODUCT(PRODUCT(1+N35:N$35))),4)</f>
        <v>1.0109999999999999</v>
      </c>
      <c r="V35" s="3381"/>
      <c r="W35" s="3381">
        <f t="shared" si="28"/>
        <v>1.0045999999999999</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2792</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3259</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J42" sqref="J42"/>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-2</v>
      </c>
      <c r="G1" s="740">
        <f>MATCH(C1,'数据-取费表'!A6:A16,0)+5</f>
        <v>8</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47" t="s">
        <v>1807</v>
      </c>
      <c r="C8" s="1612">
        <f ca="1">ROUND(F8*F10*F9*(1-F11)/10000,0)</f>
        <v>0</v>
      </c>
      <c r="D8" s="1609" t="s">
        <v>1817</v>
      </c>
      <c r="E8" s="59" t="s">
        <v>585</v>
      </c>
      <c r="F8" s="751">
        <f ca="1">INDIRECT("'数据-取费表'!u"&amp;$G$1)</f>
        <v>0</v>
      </c>
      <c r="G8" s="1405"/>
      <c r="H8" s="2151" t="s">
        <v>1353</v>
      </c>
      <c r="I8" s="3947" t="s">
        <v>1807</v>
      </c>
      <c r="J8" s="749">
        <f ca="1">ROUND(M8*M10*M9*(1-M11)/10000,0)</f>
        <v>0</v>
      </c>
      <c r="K8" s="332" t="s">
        <v>1817</v>
      </c>
      <c r="L8" s="750" t="s">
        <v>1267</v>
      </c>
      <c r="M8" s="751">
        <f ca="1">INDIRECT("'数据-取费表'!z"&amp;$G$1)</f>
        <v>0</v>
      </c>
    </row>
    <row r="9" spans="1:25" ht="18" customHeight="1">
      <c r="A9" s="2147"/>
      <c r="B9" s="3948"/>
      <c r="C9" s="1613"/>
      <c r="D9" s="1610"/>
      <c r="E9" s="59" t="s">
        <v>586</v>
      </c>
      <c r="F9" s="751">
        <f ca="1">IF(INDIRECT("'数据-取费表'!ah"&amp;$G$1)="",INDIRECT("'数据-取费表'!k"&amp;$G$1),INDIRECT("'数据-取费表'!ah"&amp;$G$1))</f>
        <v>0</v>
      </c>
      <c r="G9" s="1405"/>
      <c r="H9" s="2136"/>
      <c r="I9" s="3948"/>
      <c r="J9" s="754"/>
      <c r="K9" s="755"/>
      <c r="L9" s="750" t="s">
        <v>1268</v>
      </c>
      <c r="M9" s="751">
        <f ca="1">F9</f>
        <v>0</v>
      </c>
    </row>
    <row r="10" spans="1:25" ht="18" customHeight="1">
      <c r="A10" s="2140"/>
      <c r="B10" s="3949"/>
      <c r="C10" s="1613"/>
      <c r="D10" s="1610"/>
      <c r="E10" s="59" t="s">
        <v>587</v>
      </c>
      <c r="F10" s="751">
        <f ca="1">INDIRECT("'数据-取费表'!ai"&amp;$G$1)</f>
        <v>0</v>
      </c>
      <c r="G10" s="1405"/>
      <c r="H10" s="2136"/>
      <c r="I10" s="3949"/>
      <c r="J10" s="754"/>
      <c r="K10" s="755"/>
      <c r="L10" s="750" t="s">
        <v>1269</v>
      </c>
      <c r="M10" s="751">
        <f ca="1">INDIRECT("'数据-取费表'!ai"&amp;$G$1)</f>
        <v>0</v>
      </c>
    </row>
    <row r="11" spans="1:25" ht="18" customHeight="1">
      <c r="A11" s="752"/>
      <c r="B11" s="3950"/>
      <c r="C11" s="1613"/>
      <c r="D11" s="1610"/>
      <c r="E11" s="59" t="s">
        <v>588</v>
      </c>
      <c r="F11" s="760">
        <f ca="1">INDIRECT("'数据-取费表'!w"&amp;$G$1)</f>
        <v>0</v>
      </c>
      <c r="G11" s="1405"/>
      <c r="H11" s="2152"/>
      <c r="I11" s="3949"/>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3250</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2</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8.0000000000000004E-4</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3250</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5</v>
      </c>
      <c r="G36" s="1786"/>
      <c r="H36" s="1789"/>
      <c r="I36" s="3946"/>
      <c r="J36" s="1803"/>
      <c r="K36" s="1804"/>
      <c r="L36" s="1803"/>
      <c r="M36" s="1803"/>
    </row>
    <row r="37" spans="1:18" ht="18" customHeight="1">
      <c r="A37" s="780"/>
      <c r="B37" s="759"/>
      <c r="C37" s="67"/>
      <c r="D37" s="781"/>
      <c r="E37" s="750" t="s">
        <v>621</v>
      </c>
      <c r="F37" s="751">
        <f ca="1">INDIRECT("'数据-取费表'!r"&amp;$G$1)</f>
        <v>0</v>
      </c>
      <c r="G37" s="1786"/>
      <c r="H37" s="1789"/>
      <c r="I37" s="3946"/>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-2</v>
      </c>
      <c r="K54" s="3951"/>
      <c r="L54" s="3952"/>
      <c r="O54" s="2093" t="s">
        <v>1742</v>
      </c>
      <c r="P54" s="2091" t="s">
        <v>1743</v>
      </c>
      <c r="Q54" s="2092">
        <f ca="1">J54</f>
        <v>-2</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8" sqref="K38"/>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2741</v>
      </c>
      <c r="D1" s="2553" t="s">
        <v>3709</v>
      </c>
      <c r="E1" s="2079" t="s">
        <v>1728</v>
      </c>
      <c r="F1" s="2080">
        <f ca="1">J53</f>
        <v>31.380000000000003</v>
      </c>
      <c r="G1" s="3001">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6392</v>
      </c>
      <c r="C2" s="3006"/>
      <c r="D2" s="3007"/>
      <c r="E2" s="3008"/>
      <c r="F2" s="3008"/>
      <c r="G2" s="3002"/>
      <c r="H2" s="1781"/>
      <c r="I2" s="1781"/>
      <c r="J2" s="1781"/>
      <c r="K2" s="1782"/>
      <c r="L2" s="1781"/>
      <c r="M2" s="1781"/>
    </row>
    <row r="3" spans="1:33" ht="18" customHeight="1" thickBot="1">
      <c r="A3" s="798" t="s">
        <v>1256</v>
      </c>
      <c r="B3" s="799">
        <f ca="1">IF(ISERROR(B2*10000/F43),0,ROUND(B2*10000/F43,0))</f>
        <v>7587</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445</v>
      </c>
      <c r="D5" s="2143" t="s">
        <v>1805</v>
      </c>
      <c r="E5" s="2137"/>
      <c r="F5" s="2138"/>
      <c r="G5" s="1786"/>
      <c r="H5" s="747">
        <v>1</v>
      </c>
      <c r="I5" s="748" t="s">
        <v>1802</v>
      </c>
      <c r="J5" s="53">
        <f ca="1">J6+J10+J12</f>
        <v>0</v>
      </c>
      <c r="K5" s="2143" t="s">
        <v>1805</v>
      </c>
      <c r="L5" s="2137"/>
      <c r="M5" s="2138"/>
    </row>
    <row r="6" spans="1:33" ht="18" customHeight="1">
      <c r="A6" s="1617" t="s">
        <v>1353</v>
      </c>
      <c r="B6" s="3947" t="s">
        <v>1807</v>
      </c>
      <c r="C6" s="749">
        <f ca="1">ROUND(F6*F8*F7*(1-F9)/10000,0)</f>
        <v>444</v>
      </c>
      <c r="D6" s="2144" t="s">
        <v>1806</v>
      </c>
      <c r="E6" s="750" t="s">
        <v>1267</v>
      </c>
      <c r="F6" s="751">
        <f ca="1">INDIRECT("'数据-取费表'!u"&amp;$G$1)</f>
        <v>1.7</v>
      </c>
      <c r="G6" s="1786"/>
      <c r="H6" s="2151" t="s">
        <v>1812</v>
      </c>
      <c r="I6" s="3947" t="s">
        <v>1807</v>
      </c>
      <c r="J6" s="749">
        <f ca="1">ROUND(M6*M8*M7*(1-M9)/10000,0)</f>
        <v>0</v>
      </c>
      <c r="K6" s="332" t="s">
        <v>1266</v>
      </c>
      <c r="L6" s="750" t="s">
        <v>1267</v>
      </c>
      <c r="M6" s="751">
        <f ca="1">INDIRECT("'数据-取费表'!z"&amp;$G$1)</f>
        <v>0</v>
      </c>
    </row>
    <row r="7" spans="1:33" ht="18" customHeight="1">
      <c r="A7" s="2147"/>
      <c r="B7" s="3948"/>
      <c r="C7" s="754"/>
      <c r="D7" s="755"/>
      <c r="E7" s="750" t="s">
        <v>1268</v>
      </c>
      <c r="F7" s="751">
        <f ca="1">IF(INDIRECT("'数据-取费表'!ah"&amp;$G$1)="",INDIRECT("'数据-取费表'!k"&amp;$G$1),INDIRECT("'数据-取费表'!ah"&amp;$G$1))</f>
        <v>8425.4</v>
      </c>
      <c r="G7" s="1786"/>
      <c r="H7" s="2136"/>
      <c r="I7" s="3948"/>
      <c r="J7" s="754"/>
      <c r="K7" s="755"/>
      <c r="L7" s="750" t="s">
        <v>1268</v>
      </c>
      <c r="M7" s="751">
        <f ca="1">F7</f>
        <v>8425.4</v>
      </c>
    </row>
    <row r="8" spans="1:33" ht="18" customHeight="1">
      <c r="A8" s="2140"/>
      <c r="B8" s="3949"/>
      <c r="C8" s="754"/>
      <c r="D8" s="755"/>
      <c r="E8" s="750" t="s">
        <v>1269</v>
      </c>
      <c r="F8" s="751">
        <f ca="1">INDIRECT("'数据-取费表'!ai"&amp;$G$1)</f>
        <v>365</v>
      </c>
      <c r="G8" s="1786"/>
      <c r="H8" s="2136"/>
      <c r="I8" s="3949"/>
      <c r="J8" s="754"/>
      <c r="K8" s="755"/>
      <c r="L8" s="750" t="s">
        <v>1269</v>
      </c>
      <c r="M8" s="751">
        <f ca="1">INDIRECT("'数据-取费表'!ai"&amp;$G$1)</f>
        <v>365</v>
      </c>
    </row>
    <row r="9" spans="1:33" ht="18" customHeight="1">
      <c r="A9" s="752"/>
      <c r="B9" s="3950"/>
      <c r="C9" s="754"/>
      <c r="D9" s="755"/>
      <c r="E9" s="750" t="s">
        <v>1270</v>
      </c>
      <c r="F9" s="760">
        <f ca="1">INDIRECT("'数据-取费表'!w"&amp;$G$1)</f>
        <v>0.15</v>
      </c>
      <c r="G9" s="1786"/>
      <c r="H9" s="2152"/>
      <c r="I9" s="3949"/>
      <c r="J9" s="754"/>
      <c r="K9" s="755"/>
      <c r="L9" s="761" t="s">
        <v>1270</v>
      </c>
      <c r="M9" s="762">
        <f ca="1">INDIRECT("'数据-取费表'!ab"&amp;$G$1)</f>
        <v>0</v>
      </c>
    </row>
    <row r="10" spans="1:33" ht="18" customHeight="1">
      <c r="A10" s="1617" t="s">
        <v>1810</v>
      </c>
      <c r="B10" s="2141" t="s">
        <v>1803</v>
      </c>
      <c r="C10" s="765">
        <f ca="1">ROUND(IF(F10="押一",C6/12*F11,IF(F10="押二",C6/12*2*F11,IF(F10="押三",C6/12*3*F11,C11*F11))),0)</f>
        <v>1</v>
      </c>
      <c r="D10" s="2148" t="s">
        <v>2232</v>
      </c>
      <c r="E10" s="2145" t="s">
        <v>1808</v>
      </c>
      <c r="F10" s="2229" t="s">
        <v>3710</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3698</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2528</v>
      </c>
      <c r="D14" s="1734" t="s">
        <v>1274</v>
      </c>
      <c r="E14" s="1735"/>
      <c r="F14" s="771"/>
      <c r="G14" s="1786"/>
      <c r="H14" s="1454" t="s">
        <v>1359</v>
      </c>
      <c r="I14" s="1950" t="s">
        <v>2103</v>
      </c>
      <c r="J14" s="51">
        <f ca="1">C29</f>
        <v>3698</v>
      </c>
      <c r="K14" s="24"/>
      <c r="L14" s="767"/>
      <c r="M14" s="768"/>
    </row>
    <row r="15" spans="1:33" s="1788" customFormat="1" ht="18" customHeight="1" thickBot="1">
      <c r="A15" s="1453" t="s">
        <v>1410</v>
      </c>
      <c r="B15" s="750" t="s">
        <v>595</v>
      </c>
      <c r="C15" s="51">
        <f ca="1">ROUND(C14*F15,0)</f>
        <v>76</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39</v>
      </c>
      <c r="K16" s="1608" t="s">
        <v>1279</v>
      </c>
      <c r="L16" s="2133"/>
      <c r="M16" s="2138"/>
    </row>
    <row r="17" spans="1:33" s="1788" customFormat="1" ht="18" customHeight="1">
      <c r="A17" s="1453" t="s">
        <v>1412</v>
      </c>
      <c r="B17" s="750" t="s">
        <v>601</v>
      </c>
      <c r="C17" s="51">
        <f ca="1">ROUND(F17*(F43+INDIRECT("'数据-取费表'!S"&amp;$G$1))/10000,0)</f>
        <v>169</v>
      </c>
      <c r="D17" s="750" t="s">
        <v>1280</v>
      </c>
      <c r="E17" s="750" t="s">
        <v>1281</v>
      </c>
      <c r="F17" s="54">
        <f>'数据-取费表'!B35</f>
        <v>200</v>
      </c>
      <c r="G17" s="3003"/>
      <c r="H17" s="1454" t="s">
        <v>1359</v>
      </c>
      <c r="I17" s="750" t="s">
        <v>604</v>
      </c>
      <c r="J17" s="2762">
        <f ca="1">ROUND(IF(AND(项目基本情况!B11="自然人",项目基本情况!B10="北京市"),J6*M17/(1+'数据-取费表'!C42),J18+J19+J20),2)</f>
        <v>2.11</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38</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2811</v>
      </c>
      <c r="D19" s="252" t="s">
        <v>1286</v>
      </c>
      <c r="E19" s="1737"/>
      <c r="F19" s="54"/>
      <c r="G19" s="1786"/>
      <c r="H19" s="1453" t="s">
        <v>1410</v>
      </c>
      <c r="I19" s="750" t="s">
        <v>1287</v>
      </c>
      <c r="J19" s="51">
        <f ca="1">IF(K19="按租金收入计税",ROUND(J6*M19/(1+'数据-取费表'!C42),1),ROUND(C29*F33*0.7,2))</f>
        <v>0</v>
      </c>
      <c r="K19" s="776" t="s">
        <v>3250</v>
      </c>
      <c r="L19" s="750" t="s">
        <v>1276</v>
      </c>
      <c r="M19" s="775">
        <f>IF(K19="按租金收入计税",'数据-取费表'!B51,'数据-取费表'!B50)</f>
        <v>0.12</v>
      </c>
    </row>
    <row r="20" spans="1:33" s="1788" customFormat="1" ht="18" customHeight="1">
      <c r="A20" s="1454" t="s">
        <v>1414</v>
      </c>
      <c r="B20" s="750" t="s">
        <v>613</v>
      </c>
      <c r="C20" s="51">
        <f ca="1">ROUND(C19*F20,0)</f>
        <v>56</v>
      </c>
      <c r="D20" s="777" t="s">
        <v>1288</v>
      </c>
      <c r="E20" s="750" t="s">
        <v>1276</v>
      </c>
      <c r="F20" s="775">
        <f>'数据-取费表'!B37</f>
        <v>0.02</v>
      </c>
      <c r="G20" s="3003"/>
      <c r="H20" s="1456" t="s">
        <v>1405</v>
      </c>
      <c r="I20" s="332" t="s">
        <v>1289</v>
      </c>
      <c r="J20" s="52">
        <f ca="1">ROUND(M20*M21/10000,2)</f>
        <v>2.11</v>
      </c>
      <c r="K20" s="779" t="s">
        <v>1290</v>
      </c>
      <c r="L20" s="750" t="s">
        <v>1291</v>
      </c>
      <c r="M20" s="608">
        <f>'数据-取费表'!B52</f>
        <v>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4212.7</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36.979999999999997</v>
      </c>
      <c r="K22" s="2131"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119</v>
      </c>
      <c r="D23" s="2187" t="str">
        <f>IF(F23&lt;=1,"(建造成本+管理费用)×利率×(建设周期÷2)","(建造成本+管理费用)×((1+利率)^(建设周期÷2)-1)")</f>
        <v>(建造成本+管理费用)×((1+利率)^(建设周期÷2)-1)</v>
      </c>
      <c r="E23" s="750" t="s">
        <v>1299</v>
      </c>
      <c r="F23" s="608">
        <f>'数据-取费表'!B20</f>
        <v>2</v>
      </c>
      <c r="G23" s="3003"/>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8.0000000000000004E-4</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-39</v>
      </c>
      <c r="K25" s="2166" t="s">
        <v>1306</v>
      </c>
      <c r="L25" s="2167"/>
      <c r="M25" s="2168"/>
    </row>
    <row r="26" spans="1:33" ht="18" customHeight="1">
      <c r="A26" s="1453" t="s">
        <v>1360</v>
      </c>
      <c r="B26" s="750" t="s">
        <v>1785</v>
      </c>
      <c r="C26" s="51">
        <f ca="1">ROUND((C19+C20)*F26,0)</f>
        <v>430</v>
      </c>
      <c r="D26" s="777" t="s">
        <v>1307</v>
      </c>
      <c r="E26" s="761" t="s">
        <v>1308</v>
      </c>
      <c r="F26" s="760">
        <f ca="1">INDIRECT("'数据-取费表'!q"&amp;$G$1)</f>
        <v>0.15</v>
      </c>
      <c r="G26" s="1786"/>
      <c r="H26" s="2149" t="s">
        <v>1309</v>
      </c>
      <c r="I26" s="1951" t="s">
        <v>2104</v>
      </c>
      <c r="J26" s="749">
        <f ca="1">IF(J5&lt;&gt;0,ROUND(J25*(1-((1+M28)/(1+M26))^M27)/(M26-M28),0),0)</f>
        <v>0</v>
      </c>
      <c r="K26" s="779" t="s">
        <v>1310</v>
      </c>
      <c r="L26" s="750" t="s">
        <v>1773</v>
      </c>
      <c r="M26" s="760">
        <f ca="1">INDIRECT("'数据-取费表'!I"&amp;$G$1)</f>
        <v>5.5E-2</v>
      </c>
    </row>
    <row r="27" spans="1:33" ht="18" customHeight="1">
      <c r="A27" s="1453" t="s">
        <v>1361</v>
      </c>
      <c r="B27" s="750" t="s">
        <v>633</v>
      </c>
      <c r="C27" s="51">
        <f ca="1">ROUND(F21*F26,4)</f>
        <v>3.0000000000000001E-3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3698</v>
      </c>
      <c r="D29" s="2163"/>
      <c r="E29" s="2164"/>
      <c r="F29" s="2165"/>
      <c r="G29" s="3003"/>
      <c r="H29" s="788" t="s">
        <v>1316</v>
      </c>
      <c r="I29" s="789" t="s">
        <v>1317</v>
      </c>
      <c r="J29" s="790">
        <f ca="1">ROUND(J26/(1+F40)^F41,0)</f>
        <v>0</v>
      </c>
      <c r="K29" s="791" t="s">
        <v>1318</v>
      </c>
      <c r="L29" s="792"/>
      <c r="M29" s="793">
        <f ca="1">INDIRECT("'数据-取费表'!k"&amp;$G$1)</f>
        <v>8425.4</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123</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76.11</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23.26</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50.74</v>
      </c>
      <c r="D33" s="776" t="s">
        <v>3250</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2.11</v>
      </c>
      <c r="D34" s="779" t="s">
        <v>1328</v>
      </c>
      <c r="E34" s="750" t="s">
        <v>1329</v>
      </c>
      <c r="F34" s="608">
        <f>'数据-取费表'!B52</f>
        <v>5</v>
      </c>
      <c r="G34" s="1786"/>
      <c r="H34" s="1789"/>
      <c r="I34" s="800" t="s">
        <v>1342</v>
      </c>
      <c r="J34" s="801"/>
      <c r="K34" s="1804"/>
      <c r="L34" s="1803"/>
      <c r="M34" s="1803"/>
    </row>
    <row r="35" spans="1:18" ht="18" customHeight="1">
      <c r="A35" s="780"/>
      <c r="B35" s="759"/>
      <c r="C35" s="67"/>
      <c r="D35" s="781"/>
      <c r="E35" s="750" t="s">
        <v>1330</v>
      </c>
      <c r="F35" s="751">
        <f ca="1">INDIRECT("'数据-取费表'!r"&amp;$G$1)</f>
        <v>4212.7</v>
      </c>
      <c r="G35" s="1786"/>
      <c r="H35" s="1789"/>
      <c r="I35" s="802" t="s">
        <v>1343</v>
      </c>
      <c r="J35" s="803">
        <f ca="1">ROUND(C13*J36,0)</f>
        <v>259</v>
      </c>
      <c r="K35" s="1802"/>
      <c r="L35" s="1801"/>
      <c r="M35" s="1801"/>
    </row>
    <row r="36" spans="1:18" ht="18" customHeight="1">
      <c r="A36" s="1454" t="s">
        <v>1414</v>
      </c>
      <c r="B36" s="750" t="s">
        <v>1331</v>
      </c>
      <c r="C36" s="51">
        <f ca="1">ROUND(C29*F36,2)</f>
        <v>36.979999999999997</v>
      </c>
      <c r="D36" s="1732" t="s">
        <v>1332</v>
      </c>
      <c r="E36" s="750" t="s">
        <v>1325</v>
      </c>
      <c r="F36" s="782">
        <f ca="1">INDIRECT("'数据-取费表'!Ak"&amp;$G$1)</f>
        <v>0.01</v>
      </c>
      <c r="G36" s="1786"/>
      <c r="H36" s="1801"/>
      <c r="I36" s="804" t="s">
        <v>1344</v>
      </c>
      <c r="J36" s="805">
        <f ca="1">INDIRECT("'数据-取费表'!j"&amp;$G$1)</f>
        <v>7.0000000000000007E-2</v>
      </c>
      <c r="K36" s="1805"/>
      <c r="L36" s="1801"/>
      <c r="M36" s="1801"/>
    </row>
    <row r="37" spans="1:18" ht="18" customHeight="1">
      <c r="A37" s="1454" t="s">
        <v>1415</v>
      </c>
      <c r="B37" s="750" t="s">
        <v>626</v>
      </c>
      <c r="C37" s="51">
        <f ca="1">ROUND(C13*F37,2)</f>
        <v>5.55</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4.45</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2099</v>
      </c>
      <c r="C39" s="758">
        <f ca="1">C5-C30</f>
        <v>322</v>
      </c>
      <c r="D39" s="2166" t="s">
        <v>1335</v>
      </c>
      <c r="E39" s="2167"/>
      <c r="F39" s="2168"/>
      <c r="G39" s="1786"/>
      <c r="H39" s="1801"/>
      <c r="I39" s="802" t="s">
        <v>1347</v>
      </c>
      <c r="J39" s="810">
        <f ca="1">ROUND(J35/C39,3)</f>
        <v>0.80400000000000005</v>
      </c>
      <c r="K39" s="1806"/>
      <c r="L39" s="1801"/>
      <c r="M39" s="1801"/>
    </row>
    <row r="40" spans="1:18" ht="18" customHeight="1">
      <c r="A40" s="747" t="s">
        <v>1420</v>
      </c>
      <c r="B40" s="1951" t="s">
        <v>1658</v>
      </c>
      <c r="C40" s="749">
        <f ca="1">ROUND(C39*(1-((1+F42)/(1+F40))^F41)/(F40-F42),0)</f>
        <v>6392</v>
      </c>
      <c r="D40" s="779" t="s">
        <v>1336</v>
      </c>
      <c r="E40" s="750" t="s">
        <v>1773</v>
      </c>
      <c r="F40" s="760">
        <f ca="1">INDIRECT("'数据-取费表'!I"&amp;$G$1)</f>
        <v>5.5E-2</v>
      </c>
      <c r="G40" s="1786"/>
      <c r="H40" s="1786"/>
      <c r="I40" s="802" t="s">
        <v>1348</v>
      </c>
      <c r="J40" s="810">
        <f ca="1">1-J39</f>
        <v>0.19599999999999995</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31.380000000000003</v>
      </c>
      <c r="G41" s="1786"/>
      <c r="H41" s="1741"/>
      <c r="I41" s="808" t="s">
        <v>1349</v>
      </c>
      <c r="J41" s="811"/>
      <c r="K41" s="1805"/>
      <c r="L41" s="1741"/>
      <c r="M41" s="1741"/>
    </row>
    <row r="42" spans="1:18" ht="18" customHeight="1">
      <c r="A42" s="756"/>
      <c r="B42" s="757"/>
      <c r="C42" s="758"/>
      <c r="D42" s="781"/>
      <c r="E42" s="750" t="s">
        <v>1338</v>
      </c>
      <c r="F42" s="760">
        <f ca="1">INDIRECT("'数据-取费表'!v"&amp;$G$1)</f>
        <v>2.5000000000000001E-2</v>
      </c>
      <c r="G42" s="1786"/>
      <c r="H42" s="1741"/>
      <c r="I42" s="812" t="s">
        <v>1350</v>
      </c>
      <c r="J42" s="810">
        <f ca="1">ROUND(C13/C40,3)</f>
        <v>0.57899999999999996</v>
      </c>
      <c r="K42" s="1805"/>
      <c r="L42" s="1741"/>
      <c r="M42" s="1741"/>
    </row>
    <row r="43" spans="1:18" ht="18" customHeight="1" thickBot="1">
      <c r="A43" s="788" t="s">
        <v>1316</v>
      </c>
      <c r="B43" s="789" t="s">
        <v>1339</v>
      </c>
      <c r="C43" s="790">
        <f ca="1">ROUND(C40*10000/F43,0)</f>
        <v>7587</v>
      </c>
      <c r="D43" s="791" t="s">
        <v>1340</v>
      </c>
      <c r="E43" s="792" t="s">
        <v>1341</v>
      </c>
      <c r="F43" s="793">
        <f ca="1">INDIRECT("'数据-取费表'!k"&amp;$G$1)</f>
        <v>8425.4</v>
      </c>
      <c r="G43" s="1786"/>
      <c r="H43" s="1741"/>
      <c r="I43" s="812" t="s">
        <v>1351</v>
      </c>
      <c r="J43" s="813">
        <f ca="1">1-J42</f>
        <v>0.42100000000000004</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-7058</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3711</v>
      </c>
      <c r="K47" s="2563" t="s">
        <v>1703</v>
      </c>
      <c r="L47" s="2567">
        <f ca="1">INDIRECT("'数据-取费表'!d"&amp;$G$1)</f>
        <v>40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33.380000000000003</v>
      </c>
      <c r="M48" s="3005"/>
      <c r="O48" s="2090" t="s">
        <v>1733</v>
      </c>
      <c r="P48" s="2091" t="s">
        <v>1759</v>
      </c>
      <c r="Q48" s="2092">
        <f ca="1">C40+J29</f>
        <v>6392</v>
      </c>
      <c r="R48" s="2091" t="s">
        <v>1734</v>
      </c>
    </row>
    <row r="49" spans="1:18" s="1783" customFormat="1" ht="18" customHeight="1" thickBot="1">
      <c r="A49" s="752"/>
      <c r="B49" s="753"/>
      <c r="C49" s="754"/>
      <c r="D49" s="755"/>
      <c r="E49" s="750" t="s">
        <v>1268</v>
      </c>
      <c r="F49" s="751">
        <f ca="1">F7</f>
        <v>8425.4</v>
      </c>
      <c r="G49" s="1813"/>
      <c r="H49" s="1816"/>
      <c r="I49" s="2554" t="s">
        <v>1700</v>
      </c>
      <c r="J49" s="2075">
        <v>2025</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3698</v>
      </c>
      <c r="R50" s="2091" t="s">
        <v>1734</v>
      </c>
    </row>
    <row r="51" spans="1:18" s="1783" customFormat="1" ht="18" customHeight="1" thickBot="1">
      <c r="A51" s="752"/>
      <c r="B51" s="753"/>
      <c r="C51" s="754"/>
      <c r="D51" s="755"/>
      <c r="E51" s="750" t="s">
        <v>588</v>
      </c>
      <c r="F51" s="2065"/>
      <c r="H51" s="1816"/>
      <c r="I51" s="2558" t="s">
        <v>1702</v>
      </c>
      <c r="J51" s="2562">
        <f>IF(J49="",J50,J49+J50-YEAR('数据-取费表'!B2))</f>
        <v>62</v>
      </c>
      <c r="K51" s="2554" t="s">
        <v>1708</v>
      </c>
      <c r="L51" s="2568">
        <f ca="1">ROUND(-PV(INDIRECT("'数据-取费表'!h"&amp;$G$1),J51,(C39-C13*J36),0),0)</f>
        <v>1201</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7.4999999999999997E-2</v>
      </c>
      <c r="K52" s="2559" t="s">
        <v>1774</v>
      </c>
      <c r="L52" s="2077"/>
      <c r="M52" s="3005"/>
      <c r="O52" s="2093" t="s">
        <v>1740</v>
      </c>
      <c r="P52" s="2091" t="s">
        <v>1741</v>
      </c>
      <c r="Q52" s="2094">
        <f>J52</f>
        <v>7.4999999999999997E-2</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31.380000000000003</v>
      </c>
      <c r="K53" s="3953" t="s">
        <v>2226</v>
      </c>
      <c r="L53" s="3954"/>
      <c r="M53" s="3005"/>
      <c r="O53" s="2093" t="s">
        <v>1742</v>
      </c>
      <c r="P53" s="2091" t="s">
        <v>1743</v>
      </c>
      <c r="Q53" s="2092">
        <f ca="1">J53</f>
        <v>31.380000000000003</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6392</v>
      </c>
      <c r="R54" s="2095" t="s">
        <v>1746</v>
      </c>
    </row>
    <row r="55" spans="1:18" s="1783" customFormat="1" ht="18" customHeight="1" thickTop="1" thickBot="1">
      <c r="A55" s="763">
        <v>2</v>
      </c>
      <c r="B55" s="764" t="s">
        <v>592</v>
      </c>
      <c r="C55" s="765">
        <f ca="1">C13</f>
        <v>3698</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3698</v>
      </c>
      <c r="D56" s="2245"/>
      <c r="E56" s="750"/>
      <c r="F56" s="775"/>
      <c r="I56" s="2573" t="s">
        <v>1711</v>
      </c>
      <c r="J56" s="2583" t="s">
        <v>3678</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45</v>
      </c>
      <c r="D57" s="24" t="s">
        <v>1279</v>
      </c>
      <c r="E57" s="2246"/>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6392</v>
      </c>
      <c r="R57" s="2091" t="s">
        <v>1734</v>
      </c>
    </row>
    <row r="58" spans="1:18" s="1783" customFormat="1" ht="28.5" customHeight="1" thickBot="1">
      <c r="A58" s="1454" t="s">
        <v>1353</v>
      </c>
      <c r="B58" s="750" t="s">
        <v>604</v>
      </c>
      <c r="C58" s="2762">
        <f ca="1">ROUND(IF(AND(项目基本情况!B11="自然人",项目基本情况!B10="北京市"),C48*F58/(1+'数据-取费表'!C42),C59+C60+C61),2)</f>
        <v>2.11</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2.11</v>
      </c>
      <c r="D61" s="779" t="s">
        <v>616</v>
      </c>
      <c r="E61" s="750" t="s">
        <v>617</v>
      </c>
      <c r="F61" s="608">
        <f t="shared" si="0"/>
        <v>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4212.7</v>
      </c>
      <c r="I62" s="2579" t="s">
        <v>1721</v>
      </c>
      <c r="J62" s="2580" t="s">
        <v>1722</v>
      </c>
      <c r="K62" s="2580" t="s">
        <v>1723</v>
      </c>
      <c r="L62" s="2580" t="s">
        <v>1704</v>
      </c>
      <c r="M62" s="2581" t="s">
        <v>2205</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36.979999999999997</v>
      </c>
      <c r="D63" s="2245" t="s">
        <v>1332</v>
      </c>
      <c r="E63" s="750" t="s">
        <v>1276</v>
      </c>
      <c r="F63" s="782">
        <f t="shared" ca="1" si="0"/>
        <v>0.01</v>
      </c>
      <c r="I63" s="2579" t="s">
        <v>1724</v>
      </c>
      <c r="J63" s="2580">
        <v>70</v>
      </c>
      <c r="K63" s="2580">
        <v>50</v>
      </c>
      <c r="L63" s="2580">
        <v>80</v>
      </c>
      <c r="M63" s="2582">
        <v>0.02</v>
      </c>
      <c r="O63" s="2090" t="s">
        <v>1745</v>
      </c>
      <c r="P63" s="2091" t="s">
        <v>1762</v>
      </c>
      <c r="Q63" s="2092">
        <f ca="1">Q57+Q58</f>
        <v>6392</v>
      </c>
      <c r="R63" s="2095" t="s">
        <v>1746</v>
      </c>
    </row>
    <row r="64" spans="1:18" s="1783" customFormat="1" ht="16.5" thickBot="1">
      <c r="A64" s="1454" t="s">
        <v>1415</v>
      </c>
      <c r="B64" s="750" t="s">
        <v>626</v>
      </c>
      <c r="C64" s="51">
        <f ca="1">ROUND(C55*F64,2)</f>
        <v>5.55</v>
      </c>
      <c r="D64" s="2245"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0.01</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-45</v>
      </c>
      <c r="D66" s="2244" t="s">
        <v>647</v>
      </c>
      <c r="E66" s="2243"/>
      <c r="F66" s="785"/>
      <c r="K66" s="1809"/>
      <c r="O66" s="2090" t="s">
        <v>1733</v>
      </c>
      <c r="P66" s="2091" t="s">
        <v>1763</v>
      </c>
      <c r="Q66" s="2092">
        <f ca="1">C40+J29</f>
        <v>6392</v>
      </c>
      <c r="R66" s="2091" t="s">
        <v>1734</v>
      </c>
    </row>
    <row r="67" spans="1:18" s="1783" customFormat="1" ht="20.25" thickBot="1">
      <c r="A67" s="747" t="s">
        <v>1309</v>
      </c>
      <c r="B67" s="1951" t="s">
        <v>1658</v>
      </c>
      <c r="C67" s="749">
        <f ca="1">ROUND(C66*(1-((1+F69)/(1+F67))^F68)/(F67-F69),0)</f>
        <v>-666</v>
      </c>
      <c r="D67" s="779" t="s">
        <v>651</v>
      </c>
      <c r="E67" s="750" t="s">
        <v>652</v>
      </c>
      <c r="F67" s="760">
        <f ca="1">F40</f>
        <v>5.5E-2</v>
      </c>
      <c r="K67" s="1809"/>
      <c r="O67" s="2090" t="s">
        <v>1735</v>
      </c>
      <c r="P67" s="2091" t="s">
        <v>1766</v>
      </c>
      <c r="Q67" s="2092">
        <f ca="1">L60</f>
        <v>0</v>
      </c>
      <c r="R67" s="2095" t="s">
        <v>1768</v>
      </c>
    </row>
    <row r="68" spans="1:18" ht="21.75" thickBot="1">
      <c r="A68" s="752"/>
      <c r="B68" s="753"/>
      <c r="C68" s="754"/>
      <c r="D68" s="786" t="s">
        <v>1337</v>
      </c>
      <c r="E68" s="750" t="s">
        <v>1313</v>
      </c>
      <c r="F68" s="787">
        <f ca="1">F41</f>
        <v>31.380000000000003</v>
      </c>
      <c r="O68" s="2093" t="s">
        <v>1737</v>
      </c>
      <c r="P68" s="2091" t="s">
        <v>1767</v>
      </c>
      <c r="Q68" s="2097">
        <f ca="1">L51</f>
        <v>1201</v>
      </c>
      <c r="R68" s="2098" t="s">
        <v>1770</v>
      </c>
    </row>
    <row r="69" spans="1:18" ht="20.25" thickBot="1">
      <c r="A69" s="756"/>
      <c r="B69" s="757"/>
      <c r="C69" s="758"/>
      <c r="D69" s="781"/>
      <c r="E69" s="750" t="s">
        <v>657</v>
      </c>
      <c r="F69" s="2065"/>
      <c r="O69" s="2093" t="s">
        <v>1738</v>
      </c>
      <c r="P69" s="2099" t="s">
        <v>1752</v>
      </c>
      <c r="Q69" s="2092">
        <f ca="1">ROUND(Q70-Q71*Q72,0)</f>
        <v>63</v>
      </c>
      <c r="R69" s="2095"/>
    </row>
    <row r="70" spans="1:18" ht="15.75" thickBot="1">
      <c r="A70" s="788" t="s">
        <v>1316</v>
      </c>
      <c r="B70" s="789" t="s">
        <v>1339</v>
      </c>
      <c r="C70" s="790">
        <f ca="1">ROUND(C67*10000/F70,0)</f>
        <v>-790</v>
      </c>
      <c r="D70" s="791" t="s">
        <v>1340</v>
      </c>
      <c r="E70" s="792" t="s">
        <v>1341</v>
      </c>
      <c r="F70" s="793">
        <f ca="1">F43</f>
        <v>8425.4</v>
      </c>
      <c r="O70" s="2093" t="s">
        <v>1753</v>
      </c>
      <c r="P70" s="2099" t="s">
        <v>1754</v>
      </c>
      <c r="Q70" s="2092">
        <f ca="1">C39</f>
        <v>322</v>
      </c>
      <c r="R70" s="2091" t="s">
        <v>1734</v>
      </c>
    </row>
    <row r="71" spans="1:18" ht="15.75" thickBot="1">
      <c r="O71" s="2093" t="s">
        <v>1755</v>
      </c>
      <c r="P71" s="2099" t="s">
        <v>1756</v>
      </c>
      <c r="Q71" s="2092">
        <f ca="1">C13</f>
        <v>3698</v>
      </c>
      <c r="R71" s="2091" t="s">
        <v>1734</v>
      </c>
    </row>
    <row r="72" spans="1:18" ht="15.75" thickBot="1">
      <c r="O72" s="2093" t="s">
        <v>1757</v>
      </c>
      <c r="P72" s="2099" t="s">
        <v>1758</v>
      </c>
      <c r="Q72" s="2094">
        <f ca="1">J36</f>
        <v>7.0000000000000007E-2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6392</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2443</v>
      </c>
      <c r="B1" s="3059"/>
      <c r="C1" s="3072"/>
      <c r="D1" s="3072"/>
      <c r="E1" s="3060"/>
      <c r="F1" s="3061"/>
      <c r="G1" s="3062"/>
      <c r="J1" s="3065" t="s">
        <v>2300</v>
      </c>
      <c r="K1" s="3066"/>
      <c r="L1" s="3066"/>
      <c r="M1" s="3066"/>
      <c r="N1" s="3066"/>
      <c r="O1" s="3066"/>
      <c r="P1" s="3066"/>
      <c r="Q1" s="3066"/>
      <c r="R1" s="3067"/>
      <c r="S1" s="3068"/>
      <c r="T1" s="3068"/>
      <c r="U1" s="3068"/>
    </row>
    <row r="2" spans="1:22" s="3081" customFormat="1" ht="13.15" customHeight="1">
      <c r="A2" s="3070" t="s">
        <v>2301</v>
      </c>
      <c r="B2" s="3071" t="e">
        <f>C40</f>
        <v>#DIV/0!</v>
      </c>
      <c r="C2" s="3072" t="s">
        <v>2302</v>
      </c>
      <c r="D2" s="3072"/>
      <c r="E2" s="3073"/>
      <c r="F2" s="3074"/>
      <c r="G2" s="3075"/>
      <c r="H2" s="3076"/>
      <c r="I2" s="3077"/>
      <c r="J2" s="3961" t="s">
        <v>2303</v>
      </c>
      <c r="K2" s="3962"/>
      <c r="L2" s="3078" t="s">
        <v>2304</v>
      </c>
      <c r="M2" s="3078" t="s">
        <v>2305</v>
      </c>
      <c r="N2" s="3078" t="s">
        <v>2306</v>
      </c>
      <c r="O2" s="3078" t="s">
        <v>2307</v>
      </c>
      <c r="P2" s="3078" t="s">
        <v>2308</v>
      </c>
      <c r="Q2" s="3079" t="s">
        <v>2309</v>
      </c>
      <c r="R2" s="3080" t="s">
        <v>2310</v>
      </c>
      <c r="S2" s="3068"/>
      <c r="T2" s="3068"/>
      <c r="U2" s="3068"/>
      <c r="V2" s="3077"/>
    </row>
    <row r="3" spans="1:22" s="3081" customFormat="1" ht="13.15" customHeight="1">
      <c r="A3" s="3082" t="s">
        <v>2311</v>
      </c>
      <c r="B3" s="3083" t="e">
        <f>ROUND(B2*10000/B4,0)</f>
        <v>#DIV/0!</v>
      </c>
      <c r="C3" s="3072" t="s">
        <v>2312</v>
      </c>
      <c r="D3" s="3072"/>
      <c r="E3" s="3073"/>
      <c r="F3" s="3074"/>
      <c r="G3" s="3075"/>
      <c r="H3" s="3076"/>
      <c r="I3" s="3077"/>
      <c r="J3" s="3963" t="s">
        <v>2313</v>
      </c>
      <c r="K3" s="3964"/>
      <c r="L3" s="3084"/>
      <c r="M3" s="3084"/>
      <c r="N3" s="3084"/>
      <c r="O3" s="3084"/>
      <c r="P3" s="3084"/>
      <c r="Q3" s="3085"/>
      <c r="R3" s="3086">
        <f>SUM(L3:Q3)</f>
        <v>0</v>
      </c>
      <c r="S3" s="3068"/>
      <c r="T3" s="3068"/>
      <c r="U3" s="3068"/>
      <c r="V3" s="3077"/>
    </row>
    <row r="4" spans="1:22" s="3081" customFormat="1" ht="13.15" customHeight="1">
      <c r="A4" s="3087" t="s">
        <v>2314</v>
      </c>
      <c r="B4" s="3088"/>
      <c r="C4" s="3072"/>
      <c r="D4" s="3072"/>
      <c r="E4" s="3073"/>
      <c r="F4" s="3074"/>
      <c r="G4" s="3075"/>
      <c r="H4" s="3076"/>
      <c r="I4" s="3077"/>
      <c r="J4" s="3963" t="s">
        <v>2315</v>
      </c>
      <c r="K4" s="3964"/>
      <c r="L4" s="3089"/>
      <c r="M4" s="3089"/>
      <c r="N4" s="3089"/>
      <c r="O4" s="3089"/>
      <c r="P4" s="3089"/>
      <c r="Q4" s="3090"/>
      <c r="R4" s="3091">
        <f>SUM(L4:Q4)</f>
        <v>0</v>
      </c>
      <c r="S4" s="3068"/>
      <c r="T4" s="3068"/>
      <c r="U4" s="3068"/>
      <c r="V4" s="3077"/>
    </row>
    <row r="5" spans="1:22" s="3081" customFormat="1" ht="13.15" customHeight="1" thickBot="1">
      <c r="A5" s="3092" t="s">
        <v>2316</v>
      </c>
      <c r="B5" s="3093"/>
      <c r="C5" s="3072"/>
      <c r="D5" s="3094"/>
      <c r="E5" s="3074"/>
      <c r="F5" s="3074"/>
      <c r="G5" s="3075"/>
      <c r="H5" s="3076"/>
      <c r="I5" s="3077"/>
      <c r="J5" s="3095" t="s">
        <v>2317</v>
      </c>
      <c r="K5" s="3096"/>
      <c r="L5" s="3096"/>
      <c r="M5" s="3097"/>
      <c r="N5" s="3097"/>
      <c r="O5" s="3097"/>
      <c r="P5" s="3097"/>
      <c r="Q5" s="3097"/>
      <c r="R5" s="3080">
        <f>SUM(R14,R19,R24,R25,R27,R28)</f>
        <v>0</v>
      </c>
      <c r="S5" s="3068"/>
      <c r="T5" s="3068" t="s">
        <v>2318</v>
      </c>
      <c r="U5" s="3068" t="e">
        <f>ROUND(R5*10000/365/R3,1)</f>
        <v>#DIV/0!</v>
      </c>
      <c r="V5" s="3077"/>
    </row>
    <row r="6" spans="1:22" s="3081" customFormat="1" ht="13.15" customHeight="1" thickBot="1">
      <c r="A6" s="3969" t="s">
        <v>2319</v>
      </c>
      <c r="B6" s="3970"/>
      <c r="C6" s="3971"/>
      <c r="D6" s="3098"/>
      <c r="E6" s="3099"/>
      <c r="F6" s="3100"/>
      <c r="G6" s="3101"/>
      <c r="H6" s="3076"/>
      <c r="I6" s="3077"/>
      <c r="J6" s="3955">
        <v>1</v>
      </c>
      <c r="K6" s="3956" t="s">
        <v>2320</v>
      </c>
      <c r="L6" s="3102" t="s">
        <v>2321</v>
      </c>
      <c r="M6" s="3103" t="s">
        <v>2322</v>
      </c>
      <c r="N6" s="3103" t="s">
        <v>2323</v>
      </c>
      <c r="O6" s="3103" t="s">
        <v>2324</v>
      </c>
      <c r="P6" s="3103" t="s">
        <v>2325</v>
      </c>
      <c r="Q6" s="3103" t="s">
        <v>2326</v>
      </c>
      <c r="R6" s="3086" t="s">
        <v>2327</v>
      </c>
      <c r="S6" s="3068"/>
      <c r="T6" s="3068" t="s">
        <v>2328</v>
      </c>
      <c r="U6" s="3068"/>
      <c r="V6" s="3077"/>
    </row>
    <row r="7" spans="1:22" s="3081" customFormat="1" ht="13.15" customHeight="1">
      <c r="A7" s="3104" t="s">
        <v>2329</v>
      </c>
      <c r="B7" s="3105"/>
      <c r="C7" s="3106"/>
      <c r="D7" s="3107">
        <f>SUM(D9,D10,D11,D17,0)</f>
        <v>0</v>
      </c>
      <c r="E7" s="3108" t="e">
        <f>E9+E10+E11+E17</f>
        <v>#DIV/0!</v>
      </c>
      <c r="F7" s="3109"/>
      <c r="G7" s="3110"/>
      <c r="H7" s="3076"/>
      <c r="I7" s="3077"/>
      <c r="J7" s="3955"/>
      <c r="K7" s="3957"/>
      <c r="L7" s="3111" t="s">
        <v>2330</v>
      </c>
      <c r="M7" s="3112"/>
      <c r="N7" s="3088"/>
      <c r="O7" s="3113"/>
      <c r="P7" s="3113"/>
      <c r="Q7" s="3114">
        <v>365</v>
      </c>
      <c r="R7" s="3115">
        <f>ROUND(M7*N7*O7*P7*Q7/10000,0)</f>
        <v>0</v>
      </c>
      <c r="S7" s="3068"/>
      <c r="T7" s="3068" t="s">
        <v>2331</v>
      </c>
      <c r="U7" s="3068"/>
      <c r="V7" s="3077"/>
    </row>
    <row r="8" spans="1:22" s="3081" customFormat="1" ht="13.15" customHeight="1">
      <c r="A8" s="3116" t="s">
        <v>2332</v>
      </c>
      <c r="B8" s="3972" t="s">
        <v>2333</v>
      </c>
      <c r="C8" s="3973"/>
      <c r="D8" s="3117" t="s">
        <v>2334</v>
      </c>
      <c r="E8" s="3118" t="s">
        <v>2335</v>
      </c>
      <c r="F8" s="3119" t="s">
        <v>2336</v>
      </c>
      <c r="G8" s="3120"/>
      <c r="H8" s="3076"/>
      <c r="I8" s="3077"/>
      <c r="J8" s="3955"/>
      <c r="K8" s="3957"/>
      <c r="L8" s="3111" t="s">
        <v>2337</v>
      </c>
      <c r="M8" s="3112"/>
      <c r="N8" s="3088"/>
      <c r="O8" s="3113"/>
      <c r="P8" s="3113"/>
      <c r="Q8" s="3114">
        <v>365</v>
      </c>
      <c r="R8" s="3115">
        <f t="shared" ref="R8:R13" si="0">ROUND(M8*N8*O8*P8*Q8/10000,0)</f>
        <v>0</v>
      </c>
      <c r="S8" s="3068"/>
      <c r="T8" s="3068" t="s">
        <v>2338</v>
      </c>
      <c r="U8" s="3068"/>
      <c r="V8" s="3077"/>
    </row>
    <row r="9" spans="1:22" s="3081" customFormat="1" ht="13.15" customHeight="1">
      <c r="A9" s="3116">
        <v>1</v>
      </c>
      <c r="B9" s="3972" t="s">
        <v>2339</v>
      </c>
      <c r="C9" s="3973"/>
      <c r="D9" s="3117">
        <f>ROUND(D6*E9,0)</f>
        <v>0</v>
      </c>
      <c r="E9" s="3121"/>
      <c r="F9" s="3122" t="s">
        <v>2340</v>
      </c>
      <c r="G9" s="3101"/>
      <c r="H9" s="3076"/>
      <c r="I9" s="3077"/>
      <c r="J9" s="3955"/>
      <c r="K9" s="3957"/>
      <c r="L9" s="3111" t="s">
        <v>2341</v>
      </c>
      <c r="M9" s="3112"/>
      <c r="N9" s="3088"/>
      <c r="O9" s="3113"/>
      <c r="P9" s="3113"/>
      <c r="Q9" s="3114">
        <v>365</v>
      </c>
      <c r="R9" s="3115">
        <f t="shared" si="0"/>
        <v>0</v>
      </c>
      <c r="S9" s="3068"/>
      <c r="T9" s="3068"/>
      <c r="U9" s="3068"/>
      <c r="V9" s="3077"/>
    </row>
    <row r="10" spans="1:22" s="3081" customFormat="1" ht="13.15" customHeight="1">
      <c r="A10" s="3116">
        <v>2</v>
      </c>
      <c r="B10" s="3972" t="s">
        <v>2342</v>
      </c>
      <c r="C10" s="3973"/>
      <c r="D10" s="3117">
        <f>ROUND(D6*E10,0)</f>
        <v>0</v>
      </c>
      <c r="E10" s="3121"/>
      <c r="F10" s="3122" t="s">
        <v>2343</v>
      </c>
      <c r="G10" s="3101"/>
      <c r="H10" s="3076"/>
      <c r="I10" s="3077"/>
      <c r="J10" s="3955"/>
      <c r="K10" s="3957"/>
      <c r="L10" s="3111" t="s">
        <v>2344</v>
      </c>
      <c r="M10" s="3112"/>
      <c r="N10" s="3088"/>
      <c r="O10" s="3113"/>
      <c r="P10" s="3113"/>
      <c r="Q10" s="3114">
        <v>365</v>
      </c>
      <c r="R10" s="3115">
        <f t="shared" si="0"/>
        <v>0</v>
      </c>
      <c r="S10" s="3068"/>
      <c r="T10" s="3068"/>
      <c r="U10" s="3068"/>
      <c r="V10" s="3077"/>
    </row>
    <row r="11" spans="1:22" s="3081" customFormat="1" ht="13.15" customHeight="1">
      <c r="A11" s="3116">
        <v>3</v>
      </c>
      <c r="B11" s="3972" t="s">
        <v>2345</v>
      </c>
      <c r="C11" s="3973"/>
      <c r="D11" s="3117">
        <f>D12+D14+D15+D16</f>
        <v>0</v>
      </c>
      <c r="E11" s="3123" t="e">
        <f>D11/D6</f>
        <v>#DIV/0!</v>
      </c>
      <c r="F11" s="3119"/>
      <c r="G11" s="3120"/>
      <c r="H11" s="3076"/>
      <c r="I11" s="3077"/>
      <c r="J11" s="3955"/>
      <c r="K11" s="3957"/>
      <c r="L11" s="3111" t="s">
        <v>2346</v>
      </c>
      <c r="M11" s="3112"/>
      <c r="N11" s="3088"/>
      <c r="O11" s="3113"/>
      <c r="P11" s="3113"/>
      <c r="Q11" s="3114">
        <v>365</v>
      </c>
      <c r="R11" s="3115">
        <f t="shared" si="0"/>
        <v>0</v>
      </c>
      <c r="S11" s="3068"/>
      <c r="T11" s="3068"/>
      <c r="U11" s="3068"/>
      <c r="V11" s="3077"/>
    </row>
    <row r="12" spans="1:22" s="3081" customFormat="1" ht="13.15" customHeight="1">
      <c r="A12" s="3124" t="s">
        <v>2347</v>
      </c>
      <c r="B12" s="3965" t="s">
        <v>2348</v>
      </c>
      <c r="C12" s="3966"/>
      <c r="D12" s="3125">
        <f>ROUND(D13*1.2%*(1-30%),0)</f>
        <v>0</v>
      </c>
      <c r="E12" s="3126">
        <v>1.2E-2</v>
      </c>
      <c r="F12" s="3119" t="s">
        <v>2349</v>
      </c>
      <c r="G12" s="3120"/>
      <c r="H12" s="3076"/>
      <c r="I12" s="3077"/>
      <c r="J12" s="3955"/>
      <c r="K12" s="3957"/>
      <c r="L12" s="3111" t="s">
        <v>2350</v>
      </c>
      <c r="M12" s="3112"/>
      <c r="N12" s="3088"/>
      <c r="O12" s="3113"/>
      <c r="P12" s="3113"/>
      <c r="Q12" s="3114">
        <v>365</v>
      </c>
      <c r="R12" s="3115">
        <f t="shared" si="0"/>
        <v>0</v>
      </c>
      <c r="S12" s="3068"/>
      <c r="T12" s="3068"/>
      <c r="U12" s="3068"/>
      <c r="V12" s="3077"/>
    </row>
    <row r="13" spans="1:22" s="3081" customFormat="1" ht="13.15" customHeight="1">
      <c r="A13" s="3124"/>
      <c r="B13" s="3127"/>
      <c r="C13" s="3128" t="s">
        <v>2351</v>
      </c>
      <c r="D13" s="3129"/>
      <c r="E13" s="3130"/>
      <c r="F13" s="3119"/>
      <c r="G13" s="3120"/>
      <c r="H13" s="3076"/>
      <c r="I13" s="3077"/>
      <c r="J13" s="3955"/>
      <c r="K13" s="3957"/>
      <c r="L13" s="3111" t="s">
        <v>2352</v>
      </c>
      <c r="M13" s="3112"/>
      <c r="N13" s="3088"/>
      <c r="O13" s="3113"/>
      <c r="P13" s="3113"/>
      <c r="Q13" s="3114">
        <v>365</v>
      </c>
      <c r="R13" s="3115">
        <f t="shared" si="0"/>
        <v>0</v>
      </c>
      <c r="S13" s="3068"/>
      <c r="T13" s="3068"/>
      <c r="U13" s="3068"/>
      <c r="V13" s="3077"/>
    </row>
    <row r="14" spans="1:22" s="3081" customFormat="1" ht="13.15" customHeight="1">
      <c r="A14" s="3124" t="s">
        <v>2353</v>
      </c>
      <c r="B14" s="3965" t="s">
        <v>2354</v>
      </c>
      <c r="C14" s="3966"/>
      <c r="D14" s="3125">
        <f>ROUND(E14*B5/10000,0)</f>
        <v>0</v>
      </c>
      <c r="E14" s="3114"/>
      <c r="F14" s="3119" t="s">
        <v>2355</v>
      </c>
      <c r="G14" s="3120"/>
      <c r="H14" s="3076"/>
      <c r="I14" s="3077"/>
      <c r="J14" s="3955"/>
      <c r="K14" s="3958"/>
      <c r="L14" s="3131" t="s">
        <v>2356</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2357</v>
      </c>
      <c r="B15" s="3965" t="s">
        <v>2358</v>
      </c>
      <c r="C15" s="3966"/>
      <c r="D15" s="3125">
        <f>ROUND(D6*E15,0)</f>
        <v>0</v>
      </c>
      <c r="E15" s="3126">
        <v>5.5E-2</v>
      </c>
      <c r="F15" s="3119" t="s">
        <v>2359</v>
      </c>
      <c r="G15" s="3101"/>
      <c r="H15" s="3076"/>
      <c r="I15" s="3077"/>
      <c r="J15" s="3955">
        <v>2</v>
      </c>
      <c r="K15" s="3956" t="s">
        <v>2360</v>
      </c>
      <c r="L15" s="3111" t="s">
        <v>2361</v>
      </c>
      <c r="M15" s="3112" t="s">
        <v>2362</v>
      </c>
      <c r="N15" s="3112" t="s">
        <v>2363</v>
      </c>
      <c r="O15" s="3113" t="s">
        <v>2364</v>
      </c>
      <c r="P15" s="3113" t="s">
        <v>2365</v>
      </c>
      <c r="Q15" s="3088" t="s">
        <v>2366</v>
      </c>
      <c r="R15" s="3135" t="s">
        <v>2367</v>
      </c>
      <c r="S15" s="3068"/>
      <c r="T15" s="3068"/>
      <c r="U15" s="3068"/>
      <c r="V15" s="3077"/>
    </row>
    <row r="16" spans="1:22" s="3081" customFormat="1" ht="13.15" customHeight="1">
      <c r="A16" s="3124" t="s">
        <v>2368</v>
      </c>
      <c r="B16" s="3965" t="s">
        <v>2369</v>
      </c>
      <c r="C16" s="3966"/>
      <c r="D16" s="3136">
        <f>D6*E16</f>
        <v>0</v>
      </c>
      <c r="E16" s="3137"/>
      <c r="F16" s="3122" t="s">
        <v>2370</v>
      </c>
      <c r="G16" s="3101"/>
      <c r="H16" s="3076"/>
      <c r="I16" s="3077"/>
      <c r="J16" s="3955"/>
      <c r="K16" s="3957"/>
      <c r="L16" s="3111" t="s">
        <v>2371</v>
      </c>
      <c r="M16" s="3112"/>
      <c r="N16" s="3112"/>
      <c r="O16" s="3113"/>
      <c r="P16" s="3114">
        <v>365</v>
      </c>
      <c r="Q16" s="3088"/>
      <c r="R16" s="3135">
        <f>ROUND(M16*N16*O16*P16/10000,0)</f>
        <v>0</v>
      </c>
      <c r="S16" s="3068"/>
      <c r="T16" s="3068"/>
      <c r="U16" s="3068"/>
      <c r="V16" s="3077"/>
    </row>
    <row r="17" spans="1:22" s="3081" customFormat="1" ht="13.15" customHeight="1" thickBot="1">
      <c r="A17" s="3138">
        <v>4</v>
      </c>
      <c r="B17" s="3967" t="s">
        <v>2372</v>
      </c>
      <c r="C17" s="3968"/>
      <c r="D17" s="3139">
        <f>ROUND(D6*E17,0)</f>
        <v>0</v>
      </c>
      <c r="E17" s="3140"/>
      <c r="F17" s="3141" t="s">
        <v>2373</v>
      </c>
      <c r="G17" s="3101"/>
      <c r="H17" s="3076"/>
      <c r="I17" s="3077"/>
      <c r="J17" s="3955"/>
      <c r="K17" s="3957"/>
      <c r="L17" s="3111" t="s">
        <v>2374</v>
      </c>
      <c r="M17" s="3112"/>
      <c r="N17" s="3112"/>
      <c r="O17" s="3113"/>
      <c r="P17" s="3114">
        <v>365</v>
      </c>
      <c r="Q17" s="3088"/>
      <c r="R17" s="3135">
        <f>ROUND(M17*N17*O17*P17/10000,0)</f>
        <v>0</v>
      </c>
      <c r="S17" s="3068"/>
      <c r="T17" s="3068"/>
      <c r="U17" s="3068"/>
      <c r="V17" s="3077"/>
    </row>
    <row r="18" spans="1:22" s="3081" customFormat="1" ht="13.15" customHeight="1" thickBot="1">
      <c r="A18" s="3104" t="s">
        <v>2375</v>
      </c>
      <c r="B18" s="3105"/>
      <c r="C18" s="3105"/>
      <c r="D18" s="3142">
        <f>ROUND(D6*E18,0)</f>
        <v>0</v>
      </c>
      <c r="E18" s="3143"/>
      <c r="F18" s="3144" t="s">
        <v>2376</v>
      </c>
      <c r="G18" s="3101"/>
      <c r="H18" s="3076"/>
      <c r="I18" s="3077"/>
      <c r="J18" s="3955"/>
      <c r="K18" s="3957"/>
      <c r="L18" s="3111" t="s">
        <v>2377</v>
      </c>
      <c r="M18" s="3112"/>
      <c r="N18" s="3112"/>
      <c r="O18" s="3113"/>
      <c r="P18" s="3114">
        <v>365</v>
      </c>
      <c r="Q18" s="3088"/>
      <c r="R18" s="3135">
        <f>ROUND(M18*N18*O18*P18/10000,0)</f>
        <v>0</v>
      </c>
      <c r="S18" s="3068"/>
      <c r="T18" s="3068"/>
      <c r="U18" s="3068"/>
      <c r="V18" s="3077"/>
    </row>
    <row r="19" spans="1:22" s="3081" customFormat="1" ht="13.15" customHeight="1" thickBot="1">
      <c r="A19" s="3145" t="s">
        <v>2378</v>
      </c>
      <c r="B19" s="3099"/>
      <c r="C19" s="3099"/>
      <c r="D19" s="3099"/>
      <c r="E19" s="3099"/>
      <c r="F19" s="3100"/>
      <c r="G19" s="3120"/>
      <c r="H19" s="3076"/>
      <c r="I19" s="3077"/>
      <c r="J19" s="3955"/>
      <c r="K19" s="3958"/>
      <c r="L19" s="3131" t="s">
        <v>2356</v>
      </c>
      <c r="M19" s="3132"/>
      <c r="N19" s="3132">
        <f>SUM(N16:N18)</f>
        <v>0</v>
      </c>
      <c r="O19" s="3133"/>
      <c r="P19" s="3146" t="s">
        <v>2444</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55">
        <v>3</v>
      </c>
      <c r="K20" s="3956" t="s">
        <v>2379</v>
      </c>
      <c r="L20" s="3111" t="s">
        <v>2380</v>
      </c>
      <c r="M20" s="3112" t="s">
        <v>2381</v>
      </c>
      <c r="N20" s="3149" t="s">
        <v>2382</v>
      </c>
      <c r="O20" s="3113" t="s">
        <v>2383</v>
      </c>
      <c r="P20" s="3114" t="s">
        <v>2384</v>
      </c>
      <c r="Q20" s="3088" t="s">
        <v>2385</v>
      </c>
      <c r="R20" s="3135" t="s">
        <v>2327</v>
      </c>
      <c r="S20" s="3150"/>
      <c r="T20" s="3150"/>
      <c r="U20" s="3150"/>
      <c r="V20" s="3077"/>
    </row>
    <row r="21" spans="1:22" s="3081" customFormat="1" ht="13.15" customHeight="1">
      <c r="A21" s="3104"/>
      <c r="B21" s="3105"/>
      <c r="C21" s="3151" t="s">
        <v>2386</v>
      </c>
      <c r="D21" s="3152" t="s">
        <v>2387</v>
      </c>
      <c r="E21" s="3153" t="s">
        <v>2388</v>
      </c>
      <c r="F21" s="3148"/>
      <c r="G21" s="3120"/>
      <c r="H21" s="3076"/>
      <c r="I21" s="3077"/>
      <c r="J21" s="3955"/>
      <c r="K21" s="3957"/>
      <c r="L21" s="3111" t="s">
        <v>2389</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2390</v>
      </c>
      <c r="D22" s="3156" t="s">
        <v>2391</v>
      </c>
      <c r="E22" s="3157" t="s">
        <v>2392</v>
      </c>
      <c r="F22" s="3148"/>
      <c r="G22" s="3158"/>
      <c r="H22" s="3076"/>
      <c r="I22" s="3077"/>
      <c r="J22" s="3955"/>
      <c r="K22" s="3957"/>
      <c r="L22" s="3111" t="s">
        <v>2393</v>
      </c>
      <c r="M22" s="3112"/>
      <c r="N22" s="3112"/>
      <c r="O22" s="3113"/>
      <c r="P22" s="3114">
        <v>365</v>
      </c>
      <c r="Q22" s="3088"/>
      <c r="R22" s="3154">
        <f>ROUND(M22*N22*O22*P22/10000,0)</f>
        <v>0</v>
      </c>
      <c r="S22" s="3150"/>
      <c r="T22" s="3150"/>
      <c r="U22" s="3150"/>
      <c r="V22" s="3077"/>
    </row>
    <row r="23" spans="1:22" s="3081" customFormat="1" ht="13.15" customHeight="1">
      <c r="A23" s="3159">
        <v>1</v>
      </c>
      <c r="B23" s="3160" t="s">
        <v>2394</v>
      </c>
      <c r="C23" s="3161">
        <f>D6</f>
        <v>0</v>
      </c>
      <c r="D23" s="3162">
        <f>C23*(1+D24)</f>
        <v>0</v>
      </c>
      <c r="E23" s="3163">
        <f>D23*(1+E24)</f>
        <v>0</v>
      </c>
      <c r="F23" s="3164"/>
      <c r="G23" s="3165"/>
      <c r="H23" s="3076"/>
      <c r="I23" s="3077"/>
      <c r="J23" s="3955"/>
      <c r="K23" s="3957"/>
      <c r="L23" s="3111" t="s">
        <v>2395</v>
      </c>
      <c r="M23" s="3112"/>
      <c r="N23" s="3112"/>
      <c r="O23" s="3113"/>
      <c r="P23" s="3114">
        <v>365</v>
      </c>
      <c r="Q23" s="3088"/>
      <c r="R23" s="3154">
        <f>ROUND(M23*N23*O23*P23/10000,0)</f>
        <v>0</v>
      </c>
      <c r="S23" s="3068"/>
      <c r="T23" s="3068"/>
      <c r="U23" s="3068"/>
      <c r="V23" s="3077"/>
    </row>
    <row r="24" spans="1:22" s="3081" customFormat="1" ht="13.15" customHeight="1">
      <c r="A24" s="3166"/>
      <c r="B24" s="3167" t="s">
        <v>2396</v>
      </c>
      <c r="C24" s="3168"/>
      <c r="D24" s="3169"/>
      <c r="E24" s="3170"/>
      <c r="F24" s="3171"/>
      <c r="G24" s="3165"/>
      <c r="H24" s="3076"/>
      <c r="I24" s="3077"/>
      <c r="J24" s="3955"/>
      <c r="K24" s="3958"/>
      <c r="L24" s="3131" t="s">
        <v>2356</v>
      </c>
      <c r="M24" s="3132">
        <f>SUM(M21:M23)</f>
        <v>0</v>
      </c>
      <c r="N24" s="3132"/>
      <c r="O24" s="3133"/>
      <c r="P24" s="3146" t="s">
        <v>2444</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2397</v>
      </c>
      <c r="L25" s="3174"/>
      <c r="M25" s="3174"/>
      <c r="N25" s="3174"/>
      <c r="O25" s="3174"/>
      <c r="P25" s="3175"/>
      <c r="Q25" s="3176"/>
      <c r="R25" s="3147">
        <f>ROUND(R14*Q25,0)</f>
        <v>0</v>
      </c>
      <c r="S25" s="3068"/>
      <c r="T25" s="3068"/>
      <c r="U25" s="3068"/>
      <c r="V25" s="3177"/>
    </row>
    <row r="26" spans="1:22" s="3178" customFormat="1" ht="13.15" customHeight="1">
      <c r="A26" s="3159">
        <v>2</v>
      </c>
      <c r="B26" s="3160" t="s">
        <v>2398</v>
      </c>
      <c r="C26" s="3161">
        <f>D7</f>
        <v>0</v>
      </c>
      <c r="D26" s="3162">
        <f>D23*D27</f>
        <v>0</v>
      </c>
      <c r="E26" s="3163">
        <f>E23*E27</f>
        <v>0</v>
      </c>
      <c r="F26" s="3164"/>
      <c r="G26" s="3165"/>
      <c r="H26" s="3076"/>
      <c r="I26" s="3077"/>
      <c r="J26" s="3959">
        <v>5</v>
      </c>
      <c r="K26" s="3179" t="s">
        <v>2399</v>
      </c>
      <c r="L26" s="3180"/>
      <c r="M26" s="3181"/>
      <c r="N26" s="3182" t="s">
        <v>2400</v>
      </c>
      <c r="O26" s="3182" t="s">
        <v>2401</v>
      </c>
      <c r="P26" s="3183" t="s">
        <v>2402</v>
      </c>
      <c r="Q26" s="3183" t="s">
        <v>2403</v>
      </c>
      <c r="R26" s="3086" t="s">
        <v>2404</v>
      </c>
      <c r="S26" s="3184"/>
      <c r="T26" s="3184"/>
      <c r="U26" s="3184"/>
      <c r="V26" s="3177"/>
    </row>
    <row r="27" spans="1:22" s="3081" customFormat="1" ht="13.15" customHeight="1">
      <c r="A27" s="3166"/>
      <c r="B27" s="3167" t="s">
        <v>2405</v>
      </c>
      <c r="C27" s="3185" t="e">
        <f>E7</f>
        <v>#DIV/0!</v>
      </c>
      <c r="D27" s="3169"/>
      <c r="E27" s="3170"/>
      <c r="F27" s="3171"/>
      <c r="G27" s="3165"/>
      <c r="H27" s="3186"/>
      <c r="I27" s="3177"/>
      <c r="J27" s="3960"/>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2406</v>
      </c>
      <c r="F28" s="3171"/>
      <c r="G28" s="3158"/>
      <c r="H28" s="3186"/>
      <c r="I28" s="3177"/>
      <c r="J28" s="3192">
        <v>6</v>
      </c>
      <c r="K28" s="3193" t="s">
        <v>2407</v>
      </c>
      <c r="L28" s="3194" t="s">
        <v>2408</v>
      </c>
      <c r="M28" s="3195"/>
      <c r="N28" s="3194" t="s">
        <v>2409</v>
      </c>
      <c r="O28" s="3196"/>
      <c r="P28" s="3194" t="s">
        <v>2410</v>
      </c>
      <c r="Q28" s="3197">
        <v>1.4999999999999999E-2</v>
      </c>
      <c r="R28" s="3198"/>
      <c r="S28" s="3150"/>
      <c r="T28" s="3150"/>
      <c r="U28" s="3150"/>
      <c r="V28" s="3177"/>
    </row>
    <row r="29" spans="1:22" s="3178" customFormat="1" ht="13.15" customHeight="1">
      <c r="A29" s="3159">
        <v>3</v>
      </c>
      <c r="B29" s="3160" t="s">
        <v>2411</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2412</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2413</v>
      </c>
      <c r="K31" s="3066"/>
      <c r="L31" s="3066"/>
      <c r="M31" s="3066"/>
      <c r="N31" s="3066"/>
      <c r="O31" s="3066"/>
      <c r="P31" s="3066"/>
      <c r="Q31" s="3066"/>
      <c r="R31" s="3067"/>
      <c r="S31" s="3150"/>
      <c r="T31" s="3068"/>
      <c r="U31" s="3068"/>
      <c r="V31" s="3177"/>
    </row>
    <row r="32" spans="1:22" s="3178" customFormat="1" ht="13.15" customHeight="1">
      <c r="A32" s="3159">
        <v>4</v>
      </c>
      <c r="B32" s="3160" t="s">
        <v>2414</v>
      </c>
      <c r="C32" s="3161">
        <f>C23-C26-C29</f>
        <v>0</v>
      </c>
      <c r="D32" s="3162">
        <f>D23-D26-D29</f>
        <v>0</v>
      </c>
      <c r="E32" s="3163">
        <f>E23-E26-E29</f>
        <v>0</v>
      </c>
      <c r="F32" s="3164"/>
      <c r="G32" s="3158"/>
      <c r="H32" s="3076"/>
      <c r="I32" s="3077"/>
      <c r="J32" s="3961" t="s">
        <v>2415</v>
      </c>
      <c r="K32" s="3962"/>
      <c r="L32" s="3078" t="s">
        <v>2416</v>
      </c>
      <c r="M32" s="3078" t="s">
        <v>2305</v>
      </c>
      <c r="N32" s="3078" t="s">
        <v>2306</v>
      </c>
      <c r="O32" s="3078" t="s">
        <v>2307</v>
      </c>
      <c r="P32" s="3078" t="s">
        <v>2308</v>
      </c>
      <c r="Q32" s="3079" t="s">
        <v>2417</v>
      </c>
      <c r="R32" s="3201" t="s">
        <v>2418</v>
      </c>
      <c r="S32" s="3150"/>
      <c r="T32" s="3068"/>
      <c r="U32" s="3068"/>
      <c r="V32" s="3177"/>
    </row>
    <row r="33" spans="1:23" s="3081" customFormat="1" ht="13.15" customHeight="1">
      <c r="A33" s="3159"/>
      <c r="B33" s="3160"/>
      <c r="C33" s="3161"/>
      <c r="D33" s="3202"/>
      <c r="E33" s="3203"/>
      <c r="F33" s="3164"/>
      <c r="G33" s="3158"/>
      <c r="H33" s="3186"/>
      <c r="I33" s="3177"/>
      <c r="J33" s="3963" t="s">
        <v>2419</v>
      </c>
      <c r="K33" s="3964"/>
      <c r="L33" s="3084"/>
      <c r="M33" s="3084"/>
      <c r="N33" s="3084"/>
      <c r="O33" s="3084"/>
      <c r="P33" s="3084"/>
      <c r="Q33" s="3085"/>
      <c r="R33" s="3204">
        <f>SUM(L33:Q33)</f>
        <v>0</v>
      </c>
      <c r="S33" s="3150"/>
      <c r="T33" s="3068"/>
      <c r="U33" s="3068"/>
      <c r="V33" s="3077"/>
    </row>
    <row r="34" spans="1:23" s="3081" customFormat="1" ht="13.15" customHeight="1">
      <c r="A34" s="3159">
        <v>5</v>
      </c>
      <c r="B34" s="3160" t="s">
        <v>2420</v>
      </c>
      <c r="C34" s="3205"/>
      <c r="D34" s="3206"/>
      <c r="E34" s="3207"/>
      <c r="F34" s="3164"/>
      <c r="G34" s="3158"/>
      <c r="H34" s="3186"/>
      <c r="I34" s="3177"/>
      <c r="J34" s="3963" t="s">
        <v>2421</v>
      </c>
      <c r="K34" s="3964"/>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2422</v>
      </c>
      <c r="C35" s="3209"/>
      <c r="D35" s="3210"/>
      <c r="E35" s="3211"/>
      <c r="F35" s="3164"/>
      <c r="G35" s="3212"/>
      <c r="H35" s="3076"/>
      <c r="I35" s="3177"/>
      <c r="J35" s="3095" t="s">
        <v>2423</v>
      </c>
      <c r="K35" s="3096"/>
      <c r="L35" s="3096"/>
      <c r="M35" s="3097"/>
      <c r="N35" s="3097"/>
      <c r="O35" s="3097"/>
      <c r="P35" s="3097"/>
      <c r="Q35" s="3097"/>
      <c r="R35" s="3213">
        <f>R40+R41+R43</f>
        <v>0</v>
      </c>
      <c r="S35" s="3150"/>
      <c r="T35" s="3068" t="s">
        <v>2424</v>
      </c>
      <c r="U35" s="3068"/>
      <c r="V35" s="3077"/>
    </row>
    <row r="36" spans="1:23" s="3081" customFormat="1" ht="13.15" customHeight="1" thickBot="1">
      <c r="A36" s="3159">
        <v>7</v>
      </c>
      <c r="B36" s="3214" t="s">
        <v>2425</v>
      </c>
      <c r="C36" s="3215"/>
      <c r="D36" s="3216"/>
      <c r="E36" s="3217"/>
      <c r="F36" s="3218">
        <f>C36+D36+E36</f>
        <v>0</v>
      </c>
      <c r="G36" s="3158"/>
      <c r="H36" s="3076"/>
      <c r="I36" s="3077"/>
      <c r="J36" s="3955">
        <v>1</v>
      </c>
      <c r="K36" s="3956" t="s">
        <v>2426</v>
      </c>
      <c r="L36" s="3102"/>
      <c r="M36" s="3103"/>
      <c r="N36" s="3103"/>
      <c r="O36" s="3103"/>
      <c r="P36" s="3103"/>
      <c r="Q36" s="3103"/>
      <c r="R36" s="3086" t="s">
        <v>2327</v>
      </c>
      <c r="S36" s="3150"/>
      <c r="T36" s="3068" t="s">
        <v>2328</v>
      </c>
      <c r="U36" s="3068"/>
      <c r="V36" s="3077"/>
    </row>
    <row r="37" spans="1:23" s="3081" customFormat="1" ht="13.15" customHeight="1">
      <c r="A37" s="3159"/>
      <c r="B37" s="3160"/>
      <c r="C37" s="3160"/>
      <c r="D37" s="3160"/>
      <c r="E37" s="3160"/>
      <c r="F37" s="3164"/>
      <c r="G37" s="3158"/>
      <c r="H37" s="3076"/>
      <c r="I37" s="3077"/>
      <c r="J37" s="3955"/>
      <c r="K37" s="3957"/>
      <c r="L37" s="3111"/>
      <c r="M37" s="3112"/>
      <c r="N37" s="3088"/>
      <c r="O37" s="3113"/>
      <c r="P37" s="3113"/>
      <c r="Q37" s="3114"/>
      <c r="R37" s="3115"/>
      <c r="S37" s="3150"/>
      <c r="T37" s="3068" t="s">
        <v>2331</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55"/>
      <c r="K38" s="3957"/>
      <c r="L38" s="3111"/>
      <c r="M38" s="3112"/>
      <c r="N38" s="3088"/>
      <c r="O38" s="3113"/>
      <c r="P38" s="3113"/>
      <c r="Q38" s="3114"/>
      <c r="R38" s="3115"/>
      <c r="S38" s="3150"/>
      <c r="T38" s="3068" t="s">
        <v>2338</v>
      </c>
      <c r="U38" s="3068"/>
      <c r="V38" s="3077"/>
    </row>
    <row r="39" spans="1:23" s="3081" customFormat="1" ht="13.15" customHeight="1">
      <c r="A39" s="3159">
        <v>9</v>
      </c>
      <c r="B39" s="3160" t="s">
        <v>2427</v>
      </c>
      <c r="C39" s="3125" t="e">
        <f>C38</f>
        <v>#DIV/0!</v>
      </c>
      <c r="D39" s="3160">
        <f>D38/(1+D34)^C36</f>
        <v>0</v>
      </c>
      <c r="E39" s="3160">
        <f>E38/(1+E34)^(C36+D36)</f>
        <v>0</v>
      </c>
      <c r="F39" s="3164"/>
      <c r="G39" s="3219"/>
      <c r="H39" s="3076"/>
      <c r="I39" s="3077"/>
      <c r="J39" s="3955"/>
      <c r="K39" s="3957"/>
      <c r="L39" s="3111"/>
      <c r="M39" s="3112"/>
      <c r="N39" s="3088"/>
      <c r="O39" s="3113"/>
      <c r="P39" s="3113"/>
      <c r="Q39" s="3114"/>
      <c r="R39" s="3115"/>
      <c r="S39" s="3150"/>
      <c r="T39" s="3068"/>
      <c r="U39" s="3068"/>
      <c r="V39" s="3077"/>
    </row>
    <row r="40" spans="1:23" s="3081" customFormat="1" ht="13.15" customHeight="1">
      <c r="A40" s="3220">
        <v>10</v>
      </c>
      <c r="B40" s="3160" t="s">
        <v>2428</v>
      </c>
      <c r="C40" s="3221" t="e">
        <f>C39+D39+E39</f>
        <v>#DIV/0!</v>
      </c>
      <c r="D40" s="3222"/>
      <c r="E40" s="3222"/>
      <c r="F40" s="3223"/>
      <c r="G40" s="3158"/>
      <c r="H40" s="3076"/>
      <c r="I40" s="3077"/>
      <c r="J40" s="3955"/>
      <c r="K40" s="3958"/>
      <c r="L40" s="3131" t="s">
        <v>2429</v>
      </c>
      <c r="M40" s="3132"/>
      <c r="N40" s="3132"/>
      <c r="O40" s="3133"/>
      <c r="P40" s="3133"/>
      <c r="Q40" s="3134"/>
      <c r="R40" s="3080">
        <f>SUM(R37:R39)</f>
        <v>0</v>
      </c>
      <c r="S40" s="3150"/>
      <c r="T40" s="3068"/>
      <c r="U40" s="3068"/>
      <c r="V40" s="3077"/>
    </row>
    <row r="41" spans="1:23" s="3081" customFormat="1" ht="13.15" customHeight="1" thickBot="1">
      <c r="A41" s="3224">
        <v>11</v>
      </c>
      <c r="B41" s="3225" t="s">
        <v>2430</v>
      </c>
      <c r="C41" s="3225" t="e">
        <f>ROUND(C40*10000/B4,0)</f>
        <v>#DIV/0!</v>
      </c>
      <c r="D41" s="3226"/>
      <c r="E41" s="3226"/>
      <c r="F41" s="3227"/>
      <c r="G41" s="3228"/>
      <c r="H41" s="3076"/>
      <c r="I41" s="3077"/>
      <c r="J41" s="3172">
        <v>2</v>
      </c>
      <c r="K41" s="3173" t="s">
        <v>2431</v>
      </c>
      <c r="L41" s="3174"/>
      <c r="M41" s="3174"/>
      <c r="N41" s="3174"/>
      <c r="O41" s="3174"/>
      <c r="P41" s="3175"/>
      <c r="Q41" s="3176"/>
      <c r="R41" s="3147">
        <f>ROUND(R40*Q41,0)</f>
        <v>0</v>
      </c>
      <c r="S41" s="3150"/>
      <c r="T41" s="3068"/>
      <c r="U41" s="3184"/>
      <c r="V41" s="3077"/>
    </row>
    <row r="42" spans="1:23" s="3081" customFormat="1" ht="13.15" customHeight="1">
      <c r="G42" s="3228"/>
      <c r="H42" s="3076"/>
      <c r="I42" s="3077"/>
      <c r="J42" s="3959">
        <v>3</v>
      </c>
      <c r="K42" s="3179" t="s">
        <v>2432</v>
      </c>
      <c r="L42" s="3180"/>
      <c r="M42" s="3181"/>
      <c r="N42" s="3182" t="s">
        <v>2433</v>
      </c>
      <c r="O42" s="3182" t="s">
        <v>2434</v>
      </c>
      <c r="P42" s="3183" t="s">
        <v>2435</v>
      </c>
      <c r="Q42" s="3183" t="s">
        <v>2436</v>
      </c>
      <c r="R42" s="3086" t="s">
        <v>2437</v>
      </c>
      <c r="S42" s="3184"/>
      <c r="T42" s="3184"/>
      <c r="U42" s="3068"/>
      <c r="V42" s="3077"/>
    </row>
    <row r="43" spans="1:23" ht="13.15" customHeight="1">
      <c r="A43" s="3081"/>
      <c r="B43" s="3081"/>
      <c r="C43" s="3081"/>
      <c r="D43" s="3081"/>
      <c r="E43" s="3081"/>
      <c r="F43" s="3081"/>
      <c r="I43" s="3063"/>
      <c r="J43" s="3960"/>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2438</v>
      </c>
      <c r="L44" s="3232" t="s">
        <v>2439</v>
      </c>
      <c r="M44" s="3195"/>
      <c r="N44" s="3232" t="s">
        <v>2440</v>
      </c>
      <c r="O44" s="3195"/>
      <c r="P44" s="3232" t="s">
        <v>2441</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573</v>
      </c>
      <c r="D12" s="3013">
        <f>'数据-汇总表'!E5</f>
        <v>47743.96</v>
      </c>
      <c r="E12" s="3013">
        <f>'数据-取费表'!B27</f>
        <v>120</v>
      </c>
      <c r="F12" s="722"/>
      <c r="G12" s="725"/>
    </row>
    <row r="13" spans="1:25" s="1905" customFormat="1" ht="13.5" customHeight="1">
      <c r="A13" s="2125" t="s">
        <v>1793</v>
      </c>
      <c r="B13" s="723" t="s">
        <v>560</v>
      </c>
      <c r="C13" s="724">
        <f>ROUND(D13*E13/10000,0)</f>
        <v>101</v>
      </c>
      <c r="D13" s="3013">
        <f>'数据-汇总表'!E6</f>
        <v>8425.4000000000015</v>
      </c>
      <c r="E13" s="3013">
        <f>'数据-取费表'!B28</f>
        <v>120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0.91900000000000004</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M24" sqref="M24"/>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t="s">
        <v>851</v>
      </c>
      <c r="E1" s="1850"/>
      <c r="F1" s="2287" t="s">
        <v>3708</v>
      </c>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f>ROUND(B3*D3/10000,0)</f>
        <v>35297</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f>C49</f>
        <v>7393</v>
      </c>
      <c r="C3" s="817" t="s">
        <v>669</v>
      </c>
      <c r="D3" s="816">
        <f>SUMIF('数据-汇总表'!$C19:$C33,D1,'数据-汇总表'!$E19:$E33)</f>
        <v>47743.96</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71" t="s">
        <v>471</v>
      </c>
      <c r="D4" s="3872"/>
      <c r="E4" s="3893" t="s">
        <v>472</v>
      </c>
      <c r="F4" s="3894"/>
      <c r="G4" s="3871" t="s">
        <v>473</v>
      </c>
      <c r="H4" s="3872"/>
      <c r="I4" s="3871" t="s">
        <v>474</v>
      </c>
      <c r="J4" s="3872"/>
      <c r="K4" s="818" t="s">
        <v>475</v>
      </c>
      <c r="L4" s="1856"/>
      <c r="M4" s="1857"/>
      <c r="N4" s="1857"/>
      <c r="O4" s="1857"/>
      <c r="P4" s="3873" t="s">
        <v>476</v>
      </c>
      <c r="Q4" s="3874"/>
      <c r="R4" s="3857" t="s">
        <v>472</v>
      </c>
      <c r="S4" s="3858"/>
      <c r="T4" s="3857" t="s">
        <v>473</v>
      </c>
      <c r="U4" s="3858"/>
      <c r="V4" s="3879" t="s">
        <v>474</v>
      </c>
      <c r="W4" s="3879"/>
      <c r="X4" s="1380"/>
      <c r="Y4" s="3857" t="s">
        <v>476</v>
      </c>
      <c r="Z4" s="3858"/>
      <c r="AA4" s="3852" t="s">
        <v>472</v>
      </c>
      <c r="AB4" s="3852" t="s">
        <v>473</v>
      </c>
      <c r="AC4" s="3852" t="s">
        <v>474</v>
      </c>
    </row>
    <row r="5" spans="1:29" ht="15">
      <c r="A5" s="485"/>
      <c r="B5" s="486"/>
      <c r="C5" s="3882" t="s">
        <v>2192</v>
      </c>
      <c r="D5" s="3883"/>
      <c r="E5" s="3974" t="s">
        <v>3712</v>
      </c>
      <c r="F5" s="3896"/>
      <c r="G5" s="3975" t="s">
        <v>3730</v>
      </c>
      <c r="H5" s="3883"/>
      <c r="I5" s="3975" t="s">
        <v>3731</v>
      </c>
      <c r="J5" s="3883"/>
      <c r="K5" s="819"/>
      <c r="L5" s="1856"/>
      <c r="M5" s="1857"/>
      <c r="N5" s="1857"/>
      <c r="O5" s="1857"/>
      <c r="P5" s="3875"/>
      <c r="Q5" s="3876"/>
      <c r="R5" s="3859"/>
      <c r="S5" s="3860"/>
      <c r="T5" s="3859"/>
      <c r="U5" s="3860"/>
      <c r="V5" s="3879"/>
      <c r="W5" s="3879"/>
      <c r="X5" s="1380"/>
      <c r="Y5" s="3859"/>
      <c r="Z5" s="3860"/>
      <c r="AA5" s="3853"/>
      <c r="AB5" s="3853"/>
      <c r="AC5" s="3853"/>
    </row>
    <row r="6" spans="1:29" ht="15.75" thickBot="1">
      <c r="A6" s="487"/>
      <c r="B6" s="488"/>
      <c r="C6" s="3880" t="s">
        <v>2196</v>
      </c>
      <c r="D6" s="3881"/>
      <c r="E6" s="3897" t="s">
        <v>2196</v>
      </c>
      <c r="F6" s="3898"/>
      <c r="G6" s="3880" t="s">
        <v>2196</v>
      </c>
      <c r="H6" s="3881"/>
      <c r="I6" s="3880" t="s">
        <v>2196</v>
      </c>
      <c r="J6" s="3881"/>
      <c r="K6" s="819" t="s">
        <v>477</v>
      </c>
      <c r="L6" s="1856"/>
      <c r="M6" s="1857"/>
      <c r="N6" s="1857"/>
      <c r="O6" s="1857"/>
      <c r="P6" s="3877"/>
      <c r="Q6" s="3878"/>
      <c r="R6" s="3859"/>
      <c r="S6" s="3860"/>
      <c r="T6" s="3861"/>
      <c r="U6" s="3862"/>
      <c r="V6" s="3879"/>
      <c r="W6" s="3879"/>
      <c r="X6" s="1380"/>
      <c r="Y6" s="3861"/>
      <c r="Z6" s="3862"/>
      <c r="AA6" s="3854"/>
      <c r="AB6" s="3854"/>
      <c r="AC6" s="3854"/>
    </row>
    <row r="7" spans="1:29" s="1118" customFormat="1" ht="15.75" thickBot="1">
      <c r="A7" s="2392"/>
      <c r="B7" s="2399" t="s">
        <v>478</v>
      </c>
      <c r="C7" s="489">
        <f>'数据-取费表'!B2</f>
        <v>45028</v>
      </c>
      <c r="D7" s="490">
        <v>100</v>
      </c>
      <c r="E7" s="491">
        <v>45017</v>
      </c>
      <c r="F7" s="492">
        <f>SUMIF(58:58,YEAR(E7)&amp;"-"&amp;MONTH(E7),59:59)</f>
        <v>100</v>
      </c>
      <c r="G7" s="493">
        <v>45017</v>
      </c>
      <c r="H7" s="490">
        <f>SUMIF(58:58,YEAR(G7)&amp;"-"&amp;MONTH(G7),59:59)</f>
        <v>100</v>
      </c>
      <c r="I7" s="493">
        <v>44986</v>
      </c>
      <c r="J7" s="490">
        <f>SUMIF(58:58,YEAR(I7)&amp;"-"&amp;MONTH(I7),59:59)</f>
        <v>100</v>
      </c>
      <c r="K7" s="820"/>
      <c r="L7" s="1858"/>
      <c r="M7" s="1859"/>
      <c r="N7" s="1859"/>
      <c r="O7" s="1859"/>
      <c r="P7" s="3855" t="s">
        <v>479</v>
      </c>
      <c r="Q7" s="3864"/>
      <c r="R7" s="1381" t="s">
        <v>10</v>
      </c>
      <c r="S7" s="1382">
        <f t="shared" ref="S7:S15" si="0">F7</f>
        <v>100</v>
      </c>
      <c r="T7" s="1381" t="s">
        <v>10</v>
      </c>
      <c r="U7" s="1382">
        <f t="shared" ref="U7:U15" si="1">H7</f>
        <v>100</v>
      </c>
      <c r="V7" s="1381" t="s">
        <v>10</v>
      </c>
      <c r="W7" s="1382">
        <f t="shared" ref="W7:W15" si="2">J7</f>
        <v>100</v>
      </c>
      <c r="X7" s="1383"/>
      <c r="Y7" s="3855" t="s">
        <v>479</v>
      </c>
      <c r="Z7" s="3856"/>
      <c r="AA7" s="1384">
        <f>D7/F7</f>
        <v>1</v>
      </c>
      <c r="AB7" s="1384">
        <f>D7/H7</f>
        <v>1</v>
      </c>
      <c r="AC7" s="1384">
        <f>D7/J7</f>
        <v>1</v>
      </c>
    </row>
    <row r="8" spans="1:29" s="1118" customFormat="1" ht="15.75" thickBot="1">
      <c r="A8" s="2393"/>
      <c r="B8" s="2400" t="s">
        <v>480</v>
      </c>
      <c r="C8" s="495" t="s">
        <v>524</v>
      </c>
      <c r="D8" s="490">
        <v>100</v>
      </c>
      <c r="E8" s="821" t="s">
        <v>3686</v>
      </c>
      <c r="F8" s="492">
        <f>SUMIF(61:61,E8,62:62)-SUMIF(61:61,C8,62:62)+100</f>
        <v>100</v>
      </c>
      <c r="G8" s="821" t="s">
        <v>3686</v>
      </c>
      <c r="H8" s="490">
        <f>SUMIF(61:61,G8,62:62)-SUMIF(61:61,C8,62:62)+100</f>
        <v>100</v>
      </c>
      <c r="I8" s="821" t="s">
        <v>3686</v>
      </c>
      <c r="J8" s="490">
        <f>SUMIF(61:61,I8,62:62)-SUMIF(61:61,C8,62:62)+100</f>
        <v>100</v>
      </c>
      <c r="K8" s="820"/>
      <c r="L8" s="1858"/>
      <c r="M8" s="1859"/>
      <c r="N8" s="1859"/>
      <c r="O8" s="1859"/>
      <c r="P8" s="3855" t="s">
        <v>482</v>
      </c>
      <c r="Q8" s="3856"/>
      <c r="R8" s="1381" t="s">
        <v>10</v>
      </c>
      <c r="S8" s="1382">
        <f t="shared" si="0"/>
        <v>100</v>
      </c>
      <c r="T8" s="1381" t="s">
        <v>10</v>
      </c>
      <c r="U8" s="1382">
        <f t="shared" si="1"/>
        <v>100</v>
      </c>
      <c r="V8" s="1381" t="s">
        <v>10</v>
      </c>
      <c r="W8" s="1382">
        <f t="shared" si="2"/>
        <v>100</v>
      </c>
      <c r="X8" s="1383"/>
      <c r="Y8" s="3855" t="s">
        <v>482</v>
      </c>
      <c r="Z8" s="3856"/>
      <c r="AA8" s="1384">
        <f t="shared" ref="AA8:AA46" si="3">D8/F8</f>
        <v>1</v>
      </c>
      <c r="AB8" s="1384">
        <f t="shared" ref="AB8:AB46" si="4">D8/H8</f>
        <v>1</v>
      </c>
      <c r="AC8" s="1384">
        <f t="shared" ref="AC8:AC46" si="5">D8/J8</f>
        <v>1</v>
      </c>
    </row>
    <row r="9" spans="1:29" s="1118" customFormat="1" ht="15">
      <c r="A9" s="2394"/>
      <c r="B9" s="2401" t="s">
        <v>2038</v>
      </c>
      <c r="C9" s="3671" t="s">
        <v>3727</v>
      </c>
      <c r="D9" s="245">
        <v>100</v>
      </c>
      <c r="E9" s="823" t="s">
        <v>851</v>
      </c>
      <c r="F9" s="824">
        <f>SUMIF(63:63,E9,64:64)-SUMIF(63:63,C9,64:64)+100</f>
        <v>100</v>
      </c>
      <c r="G9" s="823" t="s">
        <v>851</v>
      </c>
      <c r="H9" s="245">
        <f>SUMIF(63:63,G9,64:64)-SUMIF(63:63,C9,64:64)+100</f>
        <v>100</v>
      </c>
      <c r="I9" s="823" t="s">
        <v>851</v>
      </c>
      <c r="J9" s="245">
        <f>SUMIF(63:63,I9,64:64)-SUMIF(63:63,C9,64:64)+100</f>
        <v>100</v>
      </c>
      <c r="K9" s="820"/>
      <c r="L9" s="1858"/>
      <c r="M9" s="1859"/>
      <c r="N9" s="1859"/>
      <c r="O9" s="1860"/>
      <c r="P9" s="3863" t="s">
        <v>484</v>
      </c>
      <c r="Q9" s="1050" t="str">
        <f t="shared" ref="Q9:Q15" si="6">B9</f>
        <v>用途</v>
      </c>
      <c r="R9" s="1381" t="s">
        <v>5</v>
      </c>
      <c r="S9" s="1382">
        <f t="shared" si="0"/>
        <v>100</v>
      </c>
      <c r="T9" s="1381" t="s">
        <v>5</v>
      </c>
      <c r="U9" s="1382">
        <f t="shared" si="1"/>
        <v>100</v>
      </c>
      <c r="V9" s="1381" t="s">
        <v>5</v>
      </c>
      <c r="W9" s="1382">
        <f t="shared" si="2"/>
        <v>100</v>
      </c>
      <c r="X9" s="1383"/>
      <c r="Y9" s="3811"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63"/>
      <c r="Q10" s="1050" t="str">
        <f t="shared" si="6"/>
        <v>土地使用年限（年）</v>
      </c>
      <c r="R10" s="1381" t="s">
        <v>5</v>
      </c>
      <c r="S10" s="1382">
        <f t="shared" si="0"/>
        <v>100</v>
      </c>
      <c r="T10" s="1381" t="s">
        <v>5</v>
      </c>
      <c r="U10" s="1382">
        <f t="shared" si="1"/>
        <v>100</v>
      </c>
      <c r="V10" s="1381" t="s">
        <v>5</v>
      </c>
      <c r="W10" s="1382">
        <f t="shared" si="2"/>
        <v>100</v>
      </c>
      <c r="X10" s="1383"/>
      <c r="Y10" s="3811"/>
      <c r="Z10" s="1049" t="str">
        <f t="shared" si="7"/>
        <v>土地使用年限（年）</v>
      </c>
      <c r="AA10" s="1384">
        <f t="shared" si="3"/>
        <v>1</v>
      </c>
      <c r="AB10" s="1384">
        <f t="shared" si="4"/>
        <v>1</v>
      </c>
      <c r="AC10" s="1384">
        <f t="shared" si="5"/>
        <v>1</v>
      </c>
    </row>
    <row r="11" spans="1:29" ht="15">
      <c r="A11" s="2396"/>
      <c r="B11" s="2400" t="s">
        <v>2040</v>
      </c>
      <c r="C11" s="503">
        <v>2</v>
      </c>
      <c r="D11" s="246">
        <v>100</v>
      </c>
      <c r="E11" s="504">
        <v>5</v>
      </c>
      <c r="F11" s="826">
        <f>LOOKUP(E11,68:68,69:69)-LOOKUP(C11,68:68,69:69)+100</f>
        <v>91</v>
      </c>
      <c r="G11" s="503">
        <v>2.25</v>
      </c>
      <c r="H11" s="246">
        <f>LOOKUP(G11,68:68,69:69)-LOOKUP(C11,68:68,69:69)+100</f>
        <v>100</v>
      </c>
      <c r="I11" s="503">
        <v>2.25</v>
      </c>
      <c r="J11" s="246">
        <f>LOOKUP(I11,68:68,69:69)-LOOKUP(C11,68:68,69:69)+100</f>
        <v>100</v>
      </c>
      <c r="K11" s="827">
        <v>3</v>
      </c>
      <c r="L11" s="1863"/>
      <c r="M11" s="1857"/>
      <c r="N11" s="1857"/>
      <c r="O11" s="1864"/>
      <c r="P11" s="3863"/>
      <c r="Q11" s="1050" t="str">
        <f t="shared" si="6"/>
        <v>容积率</v>
      </c>
      <c r="R11" s="1381" t="s">
        <v>8</v>
      </c>
      <c r="S11" s="1382">
        <f t="shared" si="0"/>
        <v>91</v>
      </c>
      <c r="T11" s="1381" t="s">
        <v>8</v>
      </c>
      <c r="U11" s="1382">
        <f t="shared" si="1"/>
        <v>100</v>
      </c>
      <c r="V11" s="1381" t="s">
        <v>8</v>
      </c>
      <c r="W11" s="1382">
        <f t="shared" si="2"/>
        <v>100</v>
      </c>
      <c r="X11" s="1383"/>
      <c r="Y11" s="3811"/>
      <c r="Z11" s="1049" t="str">
        <f t="shared" si="7"/>
        <v>容积率</v>
      </c>
      <c r="AA11" s="1384">
        <f t="shared" si="3"/>
        <v>1.098901098901099</v>
      </c>
      <c r="AB11" s="1384">
        <f t="shared" si="4"/>
        <v>1</v>
      </c>
      <c r="AC11" s="1384">
        <f t="shared" si="5"/>
        <v>1</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63"/>
      <c r="Q12" s="1050">
        <f t="shared" si="6"/>
        <v>111</v>
      </c>
      <c r="R12" s="1381" t="s">
        <v>8</v>
      </c>
      <c r="S12" s="1382">
        <f t="shared" si="0"/>
        <v>100</v>
      </c>
      <c r="T12" s="1381" t="s">
        <v>8</v>
      </c>
      <c r="U12" s="1382">
        <f t="shared" si="1"/>
        <v>100</v>
      </c>
      <c r="V12" s="1381" t="s">
        <v>8</v>
      </c>
      <c r="W12" s="1382">
        <f t="shared" si="2"/>
        <v>100</v>
      </c>
      <c r="X12" s="1383"/>
      <c r="Y12" s="3811"/>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63"/>
      <c r="Q13" s="1050">
        <f t="shared" si="6"/>
        <v>111</v>
      </c>
      <c r="R13" s="1381" t="s">
        <v>8</v>
      </c>
      <c r="S13" s="1382">
        <f t="shared" si="0"/>
        <v>100</v>
      </c>
      <c r="T13" s="1381" t="s">
        <v>8</v>
      </c>
      <c r="U13" s="1382">
        <f t="shared" si="1"/>
        <v>100</v>
      </c>
      <c r="V13" s="1381" t="s">
        <v>8</v>
      </c>
      <c r="W13" s="1382">
        <f t="shared" si="2"/>
        <v>100</v>
      </c>
      <c r="X13" s="1383"/>
      <c r="Y13" s="3811"/>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63"/>
      <c r="Q14" s="1050">
        <f t="shared" si="6"/>
        <v>111</v>
      </c>
      <c r="R14" s="1381" t="s">
        <v>8</v>
      </c>
      <c r="S14" s="1382">
        <f t="shared" si="0"/>
        <v>100</v>
      </c>
      <c r="T14" s="1381" t="s">
        <v>8</v>
      </c>
      <c r="U14" s="1382">
        <f t="shared" si="1"/>
        <v>100</v>
      </c>
      <c r="V14" s="1381" t="s">
        <v>8</v>
      </c>
      <c r="W14" s="1382">
        <f t="shared" si="2"/>
        <v>100</v>
      </c>
      <c r="X14" s="1383"/>
      <c r="Y14" s="3811"/>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v>5</v>
      </c>
      <c r="L15" s="1865"/>
      <c r="M15" s="1857"/>
      <c r="N15" s="1857"/>
      <c r="O15" s="1864"/>
      <c r="P15" s="3865" t="s">
        <v>489</v>
      </c>
      <c r="Q15" s="1385" t="str">
        <f t="shared" si="6"/>
        <v>居住社区成熟度</v>
      </c>
      <c r="R15" s="1386" t="s">
        <v>8</v>
      </c>
      <c r="S15" s="1387">
        <f t="shared" si="0"/>
        <v>100</v>
      </c>
      <c r="T15" s="1386" t="s">
        <v>8</v>
      </c>
      <c r="U15" s="1387">
        <f t="shared" si="1"/>
        <v>100</v>
      </c>
      <c r="V15" s="1386" t="s">
        <v>8</v>
      </c>
      <c r="W15" s="1387">
        <f t="shared" si="2"/>
        <v>100</v>
      </c>
      <c r="X15" s="1380"/>
      <c r="Y15" s="3865" t="s">
        <v>489</v>
      </c>
      <c r="Z15" s="1388" t="str">
        <f t="shared" si="7"/>
        <v>居住社区成熟度</v>
      </c>
      <c r="AA15" s="1389">
        <f t="shared" si="3"/>
        <v>1</v>
      </c>
      <c r="AB15" s="1389">
        <f t="shared" si="4"/>
        <v>1</v>
      </c>
      <c r="AC15" s="1389">
        <f t="shared" si="5"/>
        <v>1</v>
      </c>
    </row>
    <row r="16" spans="1:29" ht="15">
      <c r="A16" s="502"/>
      <c r="B16" s="832"/>
      <c r="C16" s="546" t="s">
        <v>3703</v>
      </c>
      <c r="D16" s="525"/>
      <c r="E16" s="546" t="s">
        <v>3703</v>
      </c>
      <c r="F16" s="527"/>
      <c r="G16" s="546" t="s">
        <v>3703</v>
      </c>
      <c r="H16" s="529"/>
      <c r="I16" s="546" t="s">
        <v>3703</v>
      </c>
      <c r="J16" s="525"/>
      <c r="K16" s="833"/>
      <c r="L16" s="1865"/>
      <c r="M16" s="1857"/>
      <c r="N16" s="1857"/>
      <c r="O16" s="1864"/>
      <c r="P16" s="3866"/>
      <c r="Q16" s="1385"/>
      <c r="R16" s="1386"/>
      <c r="S16" s="1387"/>
      <c r="T16" s="1386"/>
      <c r="U16" s="1387"/>
      <c r="V16" s="1386"/>
      <c r="W16" s="1387"/>
      <c r="X16" s="1380"/>
      <c r="Y16" s="3866"/>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66"/>
      <c r="Q17" s="1385" t="str">
        <f>B17</f>
        <v>交通便捷度</v>
      </c>
      <c r="R17" s="1386" t="s">
        <v>8</v>
      </c>
      <c r="S17" s="1387">
        <f>F17</f>
        <v>100</v>
      </c>
      <c r="T17" s="1386" t="s">
        <v>8</v>
      </c>
      <c r="U17" s="1387">
        <f>H17</f>
        <v>100</v>
      </c>
      <c r="V17" s="1386" t="s">
        <v>8</v>
      </c>
      <c r="W17" s="1387">
        <f>J17</f>
        <v>100</v>
      </c>
      <c r="X17" s="1380"/>
      <c r="Y17" s="3866"/>
      <c r="Z17" s="1388" t="str">
        <f>Q17</f>
        <v>交通便捷度</v>
      </c>
      <c r="AA17" s="1389">
        <f t="shared" si="3"/>
        <v>1</v>
      </c>
      <c r="AB17" s="1389">
        <f t="shared" si="4"/>
        <v>1</v>
      </c>
      <c r="AC17" s="1389">
        <f t="shared" si="5"/>
        <v>1</v>
      </c>
    </row>
    <row r="18" spans="1:29" ht="15">
      <c r="A18" s="502"/>
      <c r="B18" s="565"/>
      <c r="C18" s="836" t="s">
        <v>3703</v>
      </c>
      <c r="D18" s="529"/>
      <c r="E18" s="546" t="s">
        <v>3703</v>
      </c>
      <c r="F18" s="533"/>
      <c r="G18" s="546" t="s">
        <v>3703</v>
      </c>
      <c r="H18" s="525"/>
      <c r="I18" s="546" t="s">
        <v>3703</v>
      </c>
      <c r="J18" s="525"/>
      <c r="K18" s="833"/>
      <c r="L18" s="1865"/>
      <c r="M18" s="1857"/>
      <c r="N18" s="1857"/>
      <c r="O18" s="1864"/>
      <c r="P18" s="3866"/>
      <c r="Q18" s="1385"/>
      <c r="R18" s="1386"/>
      <c r="S18" s="1387"/>
      <c r="T18" s="1386"/>
      <c r="U18" s="1387"/>
      <c r="V18" s="1386"/>
      <c r="W18" s="1387"/>
      <c r="X18" s="1380"/>
      <c r="Y18" s="3866"/>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66"/>
      <c r="Q19" s="1385" t="str">
        <f>B19</f>
        <v>公共配套设施</v>
      </c>
      <c r="R19" s="1386" t="s">
        <v>8</v>
      </c>
      <c r="S19" s="1387">
        <f>F19</f>
        <v>100</v>
      </c>
      <c r="T19" s="1386" t="s">
        <v>8</v>
      </c>
      <c r="U19" s="1387">
        <f>H19</f>
        <v>100</v>
      </c>
      <c r="V19" s="1386" t="s">
        <v>8</v>
      </c>
      <c r="W19" s="1387">
        <f>J19</f>
        <v>100</v>
      </c>
      <c r="X19" s="1380"/>
      <c r="Y19" s="3866"/>
      <c r="Z19" s="1388" t="str">
        <f>Q19</f>
        <v>公共配套设施</v>
      </c>
      <c r="AA19" s="1389">
        <f t="shared" si="3"/>
        <v>1</v>
      </c>
      <c r="AB19" s="1389">
        <f t="shared" si="4"/>
        <v>1</v>
      </c>
      <c r="AC19" s="1389">
        <f t="shared" si="5"/>
        <v>1</v>
      </c>
    </row>
    <row r="20" spans="1:29" ht="15">
      <c r="A20" s="502"/>
      <c r="B20" s="565"/>
      <c r="C20" s="546" t="s">
        <v>3703</v>
      </c>
      <c r="D20" s="525"/>
      <c r="E20" s="546" t="s">
        <v>3703</v>
      </c>
      <c r="F20" s="527"/>
      <c r="G20" s="546" t="s">
        <v>3703</v>
      </c>
      <c r="H20" s="525"/>
      <c r="I20" s="546" t="s">
        <v>3703</v>
      </c>
      <c r="J20" s="525"/>
      <c r="K20" s="833"/>
      <c r="L20" s="1865"/>
      <c r="M20" s="1857"/>
      <c r="N20" s="1857"/>
      <c r="O20" s="1864"/>
      <c r="P20" s="3866"/>
      <c r="Q20" s="1385"/>
      <c r="R20" s="1386"/>
      <c r="S20" s="1387"/>
      <c r="T20" s="1386"/>
      <c r="U20" s="1387"/>
      <c r="V20" s="1386"/>
      <c r="W20" s="1387"/>
      <c r="X20" s="1380"/>
      <c r="Y20" s="3866"/>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66"/>
      <c r="Q21" s="2193" t="str">
        <f>B21</f>
        <v>基础设施水平</v>
      </c>
      <c r="R21" s="1386" t="s">
        <v>8</v>
      </c>
      <c r="S21" s="1387">
        <f>F21</f>
        <v>100</v>
      </c>
      <c r="T21" s="1386" t="s">
        <v>8</v>
      </c>
      <c r="U21" s="1387">
        <f>H21</f>
        <v>100</v>
      </c>
      <c r="V21" s="1386" t="s">
        <v>8</v>
      </c>
      <c r="W21" s="1387">
        <f>J21</f>
        <v>100</v>
      </c>
      <c r="X21" s="2195"/>
      <c r="Y21" s="3866"/>
      <c r="Z21" s="2194" t="str">
        <f>Q21</f>
        <v>基础设施水平</v>
      </c>
      <c r="AA21" s="1389">
        <f>D21/F21</f>
        <v>1</v>
      </c>
      <c r="AB21" s="1389">
        <f>D21/H21</f>
        <v>1</v>
      </c>
      <c r="AC21" s="1389">
        <f>D21/J21</f>
        <v>1</v>
      </c>
    </row>
    <row r="22" spans="1:29" ht="15">
      <c r="A22" s="502"/>
      <c r="B22" s="885"/>
      <c r="C22" s="836" t="s">
        <v>3705</v>
      </c>
      <c r="D22" s="525"/>
      <c r="E22" s="546" t="s">
        <v>3705</v>
      </c>
      <c r="F22" s="527"/>
      <c r="G22" s="836" t="s">
        <v>3705</v>
      </c>
      <c r="H22" s="525"/>
      <c r="I22" s="836" t="s">
        <v>3705</v>
      </c>
      <c r="J22" s="525"/>
      <c r="K22" s="2207"/>
      <c r="L22" s="1865"/>
      <c r="M22" s="1857"/>
      <c r="N22" s="1857"/>
      <c r="O22" s="1864"/>
      <c r="P22" s="3866"/>
      <c r="Q22" s="2193"/>
      <c r="R22" s="1386"/>
      <c r="S22" s="1387"/>
      <c r="T22" s="1386"/>
      <c r="U22" s="1387"/>
      <c r="V22" s="1386"/>
      <c r="W22" s="1387"/>
      <c r="X22" s="2195"/>
      <c r="Y22" s="3866"/>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66"/>
      <c r="Q23" s="1385" t="str">
        <f>B23</f>
        <v>自然及人文环境</v>
      </c>
      <c r="R23" s="1386" t="s">
        <v>8</v>
      </c>
      <c r="S23" s="1387">
        <f>F23</f>
        <v>100</v>
      </c>
      <c r="T23" s="1386" t="s">
        <v>8</v>
      </c>
      <c r="U23" s="1387">
        <f>H23</f>
        <v>100</v>
      </c>
      <c r="V23" s="1386" t="s">
        <v>8</v>
      </c>
      <c r="W23" s="1387">
        <f>J23</f>
        <v>100</v>
      </c>
      <c r="X23" s="1380"/>
      <c r="Y23" s="3866"/>
      <c r="Z23" s="1388" t="str">
        <f>Q23</f>
        <v>自然及人文环境</v>
      </c>
      <c r="AA23" s="1389">
        <f t="shared" si="3"/>
        <v>1</v>
      </c>
      <c r="AB23" s="1389">
        <f t="shared" si="4"/>
        <v>1</v>
      </c>
      <c r="AC23" s="1389">
        <f t="shared" si="5"/>
        <v>1</v>
      </c>
    </row>
    <row r="24" spans="1:29" ht="15.75" thickBot="1">
      <c r="A24" s="502"/>
      <c r="B24" s="565"/>
      <c r="C24" s="546" t="s">
        <v>3703</v>
      </c>
      <c r="D24" s="525"/>
      <c r="E24" s="546" t="s">
        <v>3703</v>
      </c>
      <c r="F24" s="527"/>
      <c r="G24" s="546" t="s">
        <v>3703</v>
      </c>
      <c r="H24" s="525"/>
      <c r="I24" s="546" t="s">
        <v>3703</v>
      </c>
      <c r="J24" s="525"/>
      <c r="K24" s="833"/>
      <c r="L24" s="1865"/>
      <c r="M24" s="1857"/>
      <c r="N24" s="1857"/>
      <c r="O24" s="1864"/>
      <c r="P24" s="3866"/>
      <c r="Q24" s="1385"/>
      <c r="R24" s="1386"/>
      <c r="S24" s="1387"/>
      <c r="T24" s="1386"/>
      <c r="U24" s="1387"/>
      <c r="V24" s="1386"/>
      <c r="W24" s="1387"/>
      <c r="X24" s="1380"/>
      <c r="Y24" s="3866"/>
      <c r="Z24" s="1388"/>
      <c r="AA24" s="1389">
        <v>1</v>
      </c>
      <c r="AB24" s="1389">
        <v>1</v>
      </c>
      <c r="AC24" s="1389">
        <v>1</v>
      </c>
    </row>
    <row r="25" spans="1:29" ht="15" hidden="1">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66"/>
      <c r="Q25" s="1385" t="str">
        <f t="shared" ref="Q25:Q46" si="8">B25</f>
        <v>楼层-1</v>
      </c>
      <c r="R25" s="1386" t="s">
        <v>8</v>
      </c>
      <c r="S25" s="1387">
        <f>F25</f>
        <v>100</v>
      </c>
      <c r="T25" s="1386" t="s">
        <v>8</v>
      </c>
      <c r="U25" s="1387">
        <f>H25</f>
        <v>100</v>
      </c>
      <c r="V25" s="1386" t="s">
        <v>8</v>
      </c>
      <c r="W25" s="1387">
        <f>J25</f>
        <v>100</v>
      </c>
      <c r="X25" s="1380"/>
      <c r="Y25" s="3866"/>
      <c r="Z25" s="1388" t="str">
        <f>Q25</f>
        <v>楼层-1</v>
      </c>
      <c r="AA25" s="1389">
        <f t="shared" si="3"/>
        <v>1</v>
      </c>
      <c r="AB25" s="1389">
        <f t="shared" si="4"/>
        <v>1</v>
      </c>
      <c r="AC25" s="1389">
        <f t="shared" si="5"/>
        <v>1</v>
      </c>
    </row>
    <row r="26" spans="1:29" ht="15" hidden="1">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66"/>
      <c r="Q26" s="1385" t="str">
        <f t="shared" si="8"/>
        <v>朝向</v>
      </c>
      <c r="R26" s="1386" t="s">
        <v>8</v>
      </c>
      <c r="S26" s="1387">
        <f>F26</f>
        <v>100</v>
      </c>
      <c r="T26" s="1386" t="s">
        <v>8</v>
      </c>
      <c r="U26" s="1387">
        <f>H26</f>
        <v>100</v>
      </c>
      <c r="V26" s="1386" t="s">
        <v>8</v>
      </c>
      <c r="W26" s="1387">
        <f>J26</f>
        <v>100</v>
      </c>
      <c r="X26" s="1380"/>
      <c r="Y26" s="3866"/>
      <c r="Z26" s="1388" t="str">
        <f>Q26</f>
        <v>朝向</v>
      </c>
      <c r="AA26" s="1389">
        <f t="shared" si="3"/>
        <v>1</v>
      </c>
      <c r="AB26" s="1389">
        <f t="shared" si="4"/>
        <v>1</v>
      </c>
      <c r="AC26" s="1389">
        <f t="shared" si="5"/>
        <v>1</v>
      </c>
    </row>
    <row r="27" spans="1:29" s="1118" customFormat="1" ht="15" hidden="1">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66"/>
      <c r="Q27" s="1050" t="str">
        <f t="shared" si="8"/>
        <v>道路级别</v>
      </c>
      <c r="R27" s="1381" t="s">
        <v>8</v>
      </c>
      <c r="S27" s="1382">
        <f>F27</f>
        <v>100</v>
      </c>
      <c r="T27" s="1381" t="s">
        <v>8</v>
      </c>
      <c r="U27" s="1382">
        <f>H27</f>
        <v>100</v>
      </c>
      <c r="V27" s="1381" t="s">
        <v>8</v>
      </c>
      <c r="W27" s="1382">
        <f>J27</f>
        <v>100</v>
      </c>
      <c r="X27" s="1383"/>
      <c r="Y27" s="3866"/>
      <c r="Z27" s="1049" t="str">
        <f>Q27</f>
        <v>道路级别</v>
      </c>
      <c r="AA27" s="1389">
        <f>D27/F27</f>
        <v>1</v>
      </c>
      <c r="AB27" s="1389">
        <f>D27/H27</f>
        <v>1</v>
      </c>
      <c r="AC27" s="1389">
        <f>D27/J27</f>
        <v>1</v>
      </c>
    </row>
    <row r="28" spans="1:29" ht="15" hidden="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66"/>
      <c r="Q28" s="1385">
        <f t="shared" si="8"/>
        <v>111</v>
      </c>
      <c r="R28" s="1386" t="s">
        <v>8</v>
      </c>
      <c r="S28" s="1387">
        <f t="shared" ref="S28:S46" si="9">F28</f>
        <v>100</v>
      </c>
      <c r="T28" s="1386" t="s">
        <v>8</v>
      </c>
      <c r="U28" s="1387">
        <f t="shared" ref="U28:U46" si="10">H28</f>
        <v>100</v>
      </c>
      <c r="V28" s="1386" t="s">
        <v>8</v>
      </c>
      <c r="W28" s="1387">
        <f t="shared" ref="W28:W46" si="11">J28</f>
        <v>100</v>
      </c>
      <c r="X28" s="1380"/>
      <c r="Y28" s="3866"/>
      <c r="Z28" s="1388">
        <f t="shared" ref="Z28:Z46" si="12">Q28</f>
        <v>111</v>
      </c>
      <c r="AA28" s="1389">
        <f t="shared" si="3"/>
        <v>1</v>
      </c>
      <c r="AB28" s="1389">
        <f t="shared" si="4"/>
        <v>1</v>
      </c>
      <c r="AC28" s="1389">
        <f t="shared" si="5"/>
        <v>1</v>
      </c>
    </row>
    <row r="29" spans="1:29" ht="15" hidden="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66"/>
      <c r="Q29" s="1385">
        <f t="shared" si="8"/>
        <v>111</v>
      </c>
      <c r="R29" s="1386" t="s">
        <v>8</v>
      </c>
      <c r="S29" s="1387">
        <f t="shared" si="9"/>
        <v>100</v>
      </c>
      <c r="T29" s="1386" t="s">
        <v>8</v>
      </c>
      <c r="U29" s="1387">
        <f t="shared" si="10"/>
        <v>100</v>
      </c>
      <c r="V29" s="1386" t="s">
        <v>8</v>
      </c>
      <c r="W29" s="1387">
        <f t="shared" si="11"/>
        <v>100</v>
      </c>
      <c r="X29" s="1380"/>
      <c r="Y29" s="3866"/>
      <c r="Z29" s="1388">
        <f t="shared" si="12"/>
        <v>111</v>
      </c>
      <c r="AA29" s="1389">
        <f t="shared" si="3"/>
        <v>1</v>
      </c>
      <c r="AB29" s="1389">
        <f t="shared" si="4"/>
        <v>1</v>
      </c>
      <c r="AC29" s="1389">
        <f t="shared" si="5"/>
        <v>1</v>
      </c>
    </row>
    <row r="30" spans="1:29" ht="15" hidden="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66"/>
      <c r="Q30" s="1385">
        <f t="shared" si="8"/>
        <v>111</v>
      </c>
      <c r="R30" s="1386" t="s">
        <v>8</v>
      </c>
      <c r="S30" s="1387">
        <f t="shared" si="9"/>
        <v>100</v>
      </c>
      <c r="T30" s="1386" t="s">
        <v>8</v>
      </c>
      <c r="U30" s="1387">
        <f t="shared" si="10"/>
        <v>100</v>
      </c>
      <c r="V30" s="1386" t="s">
        <v>8</v>
      </c>
      <c r="W30" s="1387">
        <f t="shared" si="11"/>
        <v>100</v>
      </c>
      <c r="X30" s="1380"/>
      <c r="Y30" s="3866"/>
      <c r="Z30" s="1388">
        <f t="shared" si="12"/>
        <v>111</v>
      </c>
      <c r="AA30" s="1389">
        <f t="shared" si="3"/>
        <v>1</v>
      </c>
      <c r="AB30" s="1389">
        <f t="shared" si="4"/>
        <v>1</v>
      </c>
      <c r="AC30" s="1389">
        <f t="shared" si="5"/>
        <v>1</v>
      </c>
    </row>
    <row r="31" spans="1:29" ht="15.75"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66"/>
      <c r="Q31" s="1385">
        <f t="shared" si="8"/>
        <v>111</v>
      </c>
      <c r="R31" s="1386" t="s">
        <v>8</v>
      </c>
      <c r="S31" s="1387">
        <f t="shared" si="9"/>
        <v>100</v>
      </c>
      <c r="T31" s="1386" t="s">
        <v>8</v>
      </c>
      <c r="U31" s="1387">
        <f t="shared" si="10"/>
        <v>100</v>
      </c>
      <c r="V31" s="1386" t="s">
        <v>8</v>
      </c>
      <c r="W31" s="1387">
        <f t="shared" si="11"/>
        <v>100</v>
      </c>
      <c r="X31" s="1380"/>
      <c r="Y31" s="3866"/>
      <c r="Z31" s="1388">
        <f t="shared" si="12"/>
        <v>111</v>
      </c>
      <c r="AA31" s="1389">
        <f t="shared" si="3"/>
        <v>1</v>
      </c>
      <c r="AB31" s="1389">
        <f t="shared" si="4"/>
        <v>1</v>
      </c>
      <c r="AC31" s="1389">
        <f t="shared" si="5"/>
        <v>1</v>
      </c>
    </row>
    <row r="32" spans="1:29" ht="15">
      <c r="A32" s="2387" t="s">
        <v>2037</v>
      </c>
      <c r="B32" s="165" t="s">
        <v>672</v>
      </c>
      <c r="C32" s="841" t="s">
        <v>3725</v>
      </c>
      <c r="D32" s="567">
        <v>100</v>
      </c>
      <c r="E32" s="842" t="s">
        <v>3725</v>
      </c>
      <c r="F32" s="545">
        <f>SUMIF(100:100,E32,101:101)-SUMIF(100:100,C32,101:101)+100</f>
        <v>100</v>
      </c>
      <c r="G32" s="842" t="s">
        <v>3725</v>
      </c>
      <c r="H32" s="567">
        <f>SUMIF(100:100,G32,101:101)-SUMIF(100:100,C32,101:101)+100</f>
        <v>100</v>
      </c>
      <c r="I32" s="842" t="s">
        <v>3725</v>
      </c>
      <c r="J32" s="510">
        <f>SUMIF(100:100,I32,101:101)-SUMIF(100:100,C32,101:101)+100</f>
        <v>100</v>
      </c>
      <c r="K32" s="827"/>
      <c r="L32" s="1865"/>
      <c r="M32" s="1857"/>
      <c r="N32" s="1857"/>
      <c r="O32" s="1864"/>
      <c r="P32" s="3867" t="s">
        <v>499</v>
      </c>
      <c r="Q32" s="1385" t="str">
        <f t="shared" si="8"/>
        <v>建筑类型</v>
      </c>
      <c r="R32" s="1386" t="s">
        <v>8</v>
      </c>
      <c r="S32" s="1387">
        <f t="shared" si="9"/>
        <v>100</v>
      </c>
      <c r="T32" s="1386" t="s">
        <v>8</v>
      </c>
      <c r="U32" s="1387">
        <f t="shared" si="10"/>
        <v>100</v>
      </c>
      <c r="V32" s="1386" t="s">
        <v>8</v>
      </c>
      <c r="W32" s="1387">
        <f t="shared" si="11"/>
        <v>100</v>
      </c>
      <c r="X32" s="1380"/>
      <c r="Y32" s="3868" t="s">
        <v>499</v>
      </c>
      <c r="Z32" s="1388" t="str">
        <f t="shared" si="12"/>
        <v>建筑类型</v>
      </c>
      <c r="AA32" s="1389">
        <f t="shared" si="3"/>
        <v>1</v>
      </c>
      <c r="AB32" s="1389">
        <f t="shared" si="4"/>
        <v>1</v>
      </c>
      <c r="AC32" s="1389">
        <f t="shared" si="5"/>
        <v>1</v>
      </c>
    </row>
    <row r="33" spans="1:29" s="1200" customFormat="1" ht="15">
      <c r="A33" s="573"/>
      <c r="B33" s="497" t="s">
        <v>673</v>
      </c>
      <c r="C33" s="843">
        <f>'数据-汇总表'!E3</f>
        <v>56169.36</v>
      </c>
      <c r="D33" s="246">
        <v>100</v>
      </c>
      <c r="E33" s="504">
        <v>380000</v>
      </c>
      <c r="F33" s="826">
        <f>LOOKUP(E33,103:103,104:104)-LOOKUP(C33,103:103,104:104)+100</f>
        <v>103</v>
      </c>
      <c r="G33" s="503">
        <v>204472.1</v>
      </c>
      <c r="H33" s="246">
        <f>LOOKUP(G33,103:103,104:104)-LOOKUP(C33,103:103,104:104)+100</f>
        <v>102</v>
      </c>
      <c r="I33" s="504">
        <v>137247.43</v>
      </c>
      <c r="J33" s="246">
        <f>LOOKUP(I33,103:103,104:104)-LOOKUP(C33,103:103,104:104)+100</f>
        <v>101</v>
      </c>
      <c r="K33" s="828"/>
      <c r="L33" s="1863"/>
      <c r="M33" s="1893"/>
      <c r="N33" s="1893"/>
      <c r="O33" s="1866"/>
      <c r="P33" s="3868"/>
      <c r="Q33" s="1414" t="str">
        <f t="shared" si="8"/>
        <v>项目建筑规模</v>
      </c>
      <c r="R33" s="1390" t="s">
        <v>8</v>
      </c>
      <c r="S33" s="1391">
        <f t="shared" si="9"/>
        <v>103</v>
      </c>
      <c r="T33" s="1390" t="s">
        <v>8</v>
      </c>
      <c r="U33" s="1391">
        <f t="shared" si="10"/>
        <v>102</v>
      </c>
      <c r="V33" s="1390" t="s">
        <v>8</v>
      </c>
      <c r="W33" s="1391">
        <f t="shared" si="11"/>
        <v>101</v>
      </c>
      <c r="X33" s="1392"/>
      <c r="Y33" s="3868"/>
      <c r="Z33" s="1393" t="str">
        <f t="shared" si="12"/>
        <v>项目建筑规模</v>
      </c>
      <c r="AA33" s="1389">
        <f t="shared" si="3"/>
        <v>0.970873786407767</v>
      </c>
      <c r="AB33" s="1389">
        <f t="shared" si="4"/>
        <v>0.98039215686274506</v>
      </c>
      <c r="AC33" s="1389">
        <f t="shared" si="5"/>
        <v>0.99009900990099009</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68"/>
      <c r="Q34" s="1385" t="str">
        <f t="shared" si="8"/>
        <v>建筑结构</v>
      </c>
      <c r="R34" s="1386" t="s">
        <v>8</v>
      </c>
      <c r="S34" s="1387">
        <f t="shared" si="9"/>
        <v>100</v>
      </c>
      <c r="T34" s="1386" t="s">
        <v>8</v>
      </c>
      <c r="U34" s="1387">
        <f t="shared" si="10"/>
        <v>100</v>
      </c>
      <c r="V34" s="1386" t="s">
        <v>8</v>
      </c>
      <c r="W34" s="1387">
        <f t="shared" si="11"/>
        <v>100</v>
      </c>
      <c r="X34" s="1380"/>
      <c r="Y34" s="3868"/>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68"/>
      <c r="Q35" s="1385" t="str">
        <f t="shared" si="8"/>
        <v>建筑品质</v>
      </c>
      <c r="R35" s="1386" t="s">
        <v>8</v>
      </c>
      <c r="S35" s="1387">
        <f t="shared" si="9"/>
        <v>100</v>
      </c>
      <c r="T35" s="1386" t="s">
        <v>8</v>
      </c>
      <c r="U35" s="1387">
        <f t="shared" si="10"/>
        <v>100</v>
      </c>
      <c r="V35" s="1386" t="s">
        <v>8</v>
      </c>
      <c r="W35" s="1387">
        <f t="shared" si="11"/>
        <v>100</v>
      </c>
      <c r="X35" s="1380"/>
      <c r="Y35" s="3868"/>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68"/>
      <c r="Q36" s="1385" t="str">
        <f t="shared" si="8"/>
        <v>公共部分装修</v>
      </c>
      <c r="R36" s="1386" t="s">
        <v>8</v>
      </c>
      <c r="S36" s="1387">
        <f t="shared" si="9"/>
        <v>100</v>
      </c>
      <c r="T36" s="1386" t="s">
        <v>8</v>
      </c>
      <c r="U36" s="1387">
        <f t="shared" si="10"/>
        <v>100</v>
      </c>
      <c r="V36" s="1386" t="s">
        <v>8</v>
      </c>
      <c r="W36" s="1387">
        <f t="shared" si="11"/>
        <v>100</v>
      </c>
      <c r="X36" s="1380"/>
      <c r="Y36" s="3868"/>
      <c r="Z36" s="1388" t="str">
        <f t="shared" si="12"/>
        <v>公共部分装修</v>
      </c>
      <c r="AA36" s="1389">
        <f t="shared" si="3"/>
        <v>1</v>
      </c>
      <c r="AB36" s="1389">
        <f t="shared" si="4"/>
        <v>1</v>
      </c>
      <c r="AC36" s="1389">
        <f t="shared" si="5"/>
        <v>1</v>
      </c>
    </row>
    <row r="37" spans="1:29" s="1118" customFormat="1" ht="15">
      <c r="A37" s="570"/>
      <c r="B37" s="497" t="s">
        <v>677</v>
      </c>
      <c r="C37" s="846">
        <v>1</v>
      </c>
      <c r="D37" s="246">
        <v>100</v>
      </c>
      <c r="E37" s="847">
        <v>1</v>
      </c>
      <c r="F37" s="826">
        <f>LOOKUP(E37,112:112,113:113)-LOOKUP(C37,112:112,113:113)+100</f>
        <v>100</v>
      </c>
      <c r="G37" s="848">
        <v>1</v>
      </c>
      <c r="H37" s="246">
        <f>LOOKUP(G37,112:112,113:113)-LOOKUP(C37,112:112,113:113)+100</f>
        <v>100</v>
      </c>
      <c r="I37" s="847">
        <v>1</v>
      </c>
      <c r="J37" s="246">
        <f>LOOKUP(I37,112:112,113:113)-LOOKUP(C37,112:112,113:113)+100</f>
        <v>100</v>
      </c>
      <c r="K37" s="827"/>
      <c r="L37" s="1858"/>
      <c r="M37" s="1859"/>
      <c r="N37" s="1859"/>
      <c r="O37" s="1860"/>
      <c r="P37" s="3868"/>
      <c r="Q37" s="1050" t="str">
        <f t="shared" si="8"/>
        <v>成新度</v>
      </c>
      <c r="R37" s="1381" t="s">
        <v>8</v>
      </c>
      <c r="S37" s="1382">
        <f t="shared" si="9"/>
        <v>100</v>
      </c>
      <c r="T37" s="1381" t="s">
        <v>8</v>
      </c>
      <c r="U37" s="1382">
        <f t="shared" si="10"/>
        <v>100</v>
      </c>
      <c r="V37" s="1381" t="s">
        <v>8</v>
      </c>
      <c r="W37" s="1382">
        <f t="shared" si="11"/>
        <v>100</v>
      </c>
      <c r="X37" s="1383"/>
      <c r="Y37" s="3868"/>
      <c r="Z37" s="1049" t="str">
        <f t="shared" si="12"/>
        <v>成新度</v>
      </c>
      <c r="AA37" s="1384">
        <f t="shared" si="3"/>
        <v>1</v>
      </c>
      <c r="AB37" s="1384">
        <f t="shared" si="4"/>
        <v>1</v>
      </c>
      <c r="AC37" s="1384">
        <f t="shared" si="5"/>
        <v>1</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68" t="s">
        <v>499</v>
      </c>
      <c r="Q38" s="1385" t="str">
        <f t="shared" si="8"/>
        <v>物业管理</v>
      </c>
      <c r="R38" s="1386" t="s">
        <v>8</v>
      </c>
      <c r="S38" s="1387">
        <f t="shared" si="9"/>
        <v>100</v>
      </c>
      <c r="T38" s="1386" t="s">
        <v>8</v>
      </c>
      <c r="U38" s="1387">
        <f t="shared" si="10"/>
        <v>100</v>
      </c>
      <c r="V38" s="1386" t="s">
        <v>8</v>
      </c>
      <c r="W38" s="1387">
        <f t="shared" si="11"/>
        <v>100</v>
      </c>
      <c r="X38" s="1380"/>
      <c r="Y38" s="3868"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68"/>
      <c r="Q39" s="1385" t="str">
        <f t="shared" si="8"/>
        <v>市政基础设施</v>
      </c>
      <c r="R39" s="1386" t="s">
        <v>8</v>
      </c>
      <c r="S39" s="1387">
        <f t="shared" si="9"/>
        <v>100</v>
      </c>
      <c r="T39" s="1386" t="s">
        <v>8</v>
      </c>
      <c r="U39" s="1387">
        <f t="shared" si="10"/>
        <v>100</v>
      </c>
      <c r="V39" s="1386" t="s">
        <v>8</v>
      </c>
      <c r="W39" s="1387">
        <f t="shared" si="11"/>
        <v>100</v>
      </c>
      <c r="X39" s="1380"/>
      <c r="Y39" s="3868"/>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68"/>
      <c r="Q40" s="1385" t="str">
        <f t="shared" si="8"/>
        <v>房型</v>
      </c>
      <c r="R40" s="1386" t="s">
        <v>8</v>
      </c>
      <c r="S40" s="1387">
        <f t="shared" si="9"/>
        <v>100</v>
      </c>
      <c r="T40" s="1386" t="s">
        <v>8</v>
      </c>
      <c r="U40" s="1387">
        <f t="shared" si="10"/>
        <v>100</v>
      </c>
      <c r="V40" s="1386" t="s">
        <v>8</v>
      </c>
      <c r="W40" s="1387">
        <f t="shared" si="11"/>
        <v>100</v>
      </c>
      <c r="X40" s="1380"/>
      <c r="Y40" s="3868"/>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68"/>
      <c r="Q41" s="1414" t="str">
        <f t="shared" si="8"/>
        <v>单套/主力户型建筑面积</v>
      </c>
      <c r="R41" s="1390" t="s">
        <v>8</v>
      </c>
      <c r="S41" s="1391">
        <f t="shared" si="9"/>
        <v>100</v>
      </c>
      <c r="T41" s="1390" t="s">
        <v>8</v>
      </c>
      <c r="U41" s="1391">
        <f t="shared" si="10"/>
        <v>100</v>
      </c>
      <c r="V41" s="1390" t="s">
        <v>8</v>
      </c>
      <c r="W41" s="1391">
        <f t="shared" si="11"/>
        <v>100</v>
      </c>
      <c r="X41" s="1392"/>
      <c r="Y41" s="3868"/>
      <c r="Z41" s="1393" t="str">
        <f t="shared" si="12"/>
        <v>单套/主力户型建筑面积</v>
      </c>
      <c r="AA41" s="1389">
        <f t="shared" si="3"/>
        <v>1</v>
      </c>
      <c r="AB41" s="1389">
        <f t="shared" si="4"/>
        <v>1</v>
      </c>
      <c r="AC41" s="1389">
        <f t="shared" si="5"/>
        <v>1</v>
      </c>
    </row>
    <row r="42" spans="1:29" ht="15">
      <c r="A42" s="564"/>
      <c r="B42" s="497" t="s">
        <v>681</v>
      </c>
      <c r="C42" s="569" t="s">
        <v>3723</v>
      </c>
      <c r="D42" s="510">
        <v>100</v>
      </c>
      <c r="E42" s="837" t="s">
        <v>3719</v>
      </c>
      <c r="F42" s="545">
        <f>SUMIF(122:122,E42,123:123)-SUMIF(122:122,C42,123:123)+100</f>
        <v>104.5</v>
      </c>
      <c r="G42" s="569" t="s">
        <v>3719</v>
      </c>
      <c r="H42" s="510">
        <f>SUMIF(122:122,G42,123:123)-SUMIF(122:122,C42,123:123)+100</f>
        <v>104.5</v>
      </c>
      <c r="I42" s="837" t="s">
        <v>3723</v>
      </c>
      <c r="J42" s="510">
        <f>SUMIF(122:122,I42,123:123)-SUMIF(122:122,C42,123:123)+100</f>
        <v>100</v>
      </c>
      <c r="K42" s="827">
        <v>1.5</v>
      </c>
      <c r="L42" s="1865"/>
      <c r="M42" s="1857"/>
      <c r="N42" s="1857"/>
      <c r="O42" s="1864"/>
      <c r="P42" s="3868"/>
      <c r="Q42" s="1385" t="str">
        <f t="shared" si="8"/>
        <v>内部装修</v>
      </c>
      <c r="R42" s="1386" t="s">
        <v>8</v>
      </c>
      <c r="S42" s="1387">
        <f t="shared" si="9"/>
        <v>104.5</v>
      </c>
      <c r="T42" s="1386" t="s">
        <v>8</v>
      </c>
      <c r="U42" s="1387">
        <f t="shared" si="10"/>
        <v>104.5</v>
      </c>
      <c r="V42" s="1386" t="s">
        <v>8</v>
      </c>
      <c r="W42" s="1387">
        <f t="shared" si="11"/>
        <v>100</v>
      </c>
      <c r="X42" s="1380"/>
      <c r="Y42" s="3868"/>
      <c r="Z42" s="1388" t="str">
        <f t="shared" si="12"/>
        <v>内部装修</v>
      </c>
      <c r="AA42" s="1389">
        <f t="shared" si="3"/>
        <v>0.9569377990430622</v>
      </c>
      <c r="AB42" s="1389">
        <f t="shared" si="4"/>
        <v>0.9569377990430622</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68"/>
      <c r="Q43" s="1385" t="str">
        <f t="shared" si="8"/>
        <v>内部装修维护情况</v>
      </c>
      <c r="R43" s="1386" t="s">
        <v>8</v>
      </c>
      <c r="S43" s="1387">
        <f t="shared" si="9"/>
        <v>100</v>
      </c>
      <c r="T43" s="1386" t="s">
        <v>8</v>
      </c>
      <c r="U43" s="1387">
        <f t="shared" si="10"/>
        <v>100</v>
      </c>
      <c r="V43" s="1386" t="s">
        <v>8</v>
      </c>
      <c r="W43" s="1387">
        <f t="shared" si="11"/>
        <v>100</v>
      </c>
      <c r="X43" s="1380"/>
      <c r="Y43" s="386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68"/>
      <c r="Q44" s="1050">
        <f t="shared" si="8"/>
        <v>111</v>
      </c>
      <c r="R44" s="1381" t="s">
        <v>8</v>
      </c>
      <c r="S44" s="1382">
        <f t="shared" si="9"/>
        <v>100</v>
      </c>
      <c r="T44" s="1381" t="s">
        <v>8</v>
      </c>
      <c r="U44" s="1382">
        <f t="shared" si="10"/>
        <v>100</v>
      </c>
      <c r="V44" s="1381" t="s">
        <v>8</v>
      </c>
      <c r="W44" s="1382">
        <f t="shared" si="11"/>
        <v>100</v>
      </c>
      <c r="X44" s="1383"/>
      <c r="Y44" s="386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68"/>
      <c r="Q45" s="1385">
        <f t="shared" si="8"/>
        <v>111</v>
      </c>
      <c r="R45" s="1386" t="s">
        <v>8</v>
      </c>
      <c r="S45" s="1387">
        <f t="shared" si="9"/>
        <v>100</v>
      </c>
      <c r="T45" s="1386" t="s">
        <v>8</v>
      </c>
      <c r="U45" s="1387">
        <f t="shared" si="10"/>
        <v>100</v>
      </c>
      <c r="V45" s="1386" t="s">
        <v>8</v>
      </c>
      <c r="W45" s="1387">
        <f t="shared" si="11"/>
        <v>100</v>
      </c>
      <c r="X45" s="1380"/>
      <c r="Y45" s="3868"/>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78"/>
      <c r="Q46" s="1385">
        <f t="shared" si="8"/>
        <v>111</v>
      </c>
      <c r="R46" s="1386" t="s">
        <v>7</v>
      </c>
      <c r="S46" s="1387">
        <f t="shared" si="9"/>
        <v>100</v>
      </c>
      <c r="T46" s="1386" t="s">
        <v>7</v>
      </c>
      <c r="U46" s="1387">
        <f t="shared" si="10"/>
        <v>100</v>
      </c>
      <c r="V46" s="1386" t="s">
        <v>7</v>
      </c>
      <c r="W46" s="1387">
        <f t="shared" si="11"/>
        <v>100</v>
      </c>
      <c r="X46" s="1380"/>
      <c r="Y46" s="3978"/>
      <c r="Z46" s="1388">
        <f t="shared" si="12"/>
        <v>111</v>
      </c>
      <c r="AA46" s="1389">
        <f t="shared" si="3"/>
        <v>1</v>
      </c>
      <c r="AB46" s="1389">
        <f t="shared" si="4"/>
        <v>1</v>
      </c>
      <c r="AC46" s="1389">
        <f t="shared" si="5"/>
        <v>1</v>
      </c>
    </row>
    <row r="47" spans="1:29" ht="15">
      <c r="A47" s="577" t="s">
        <v>683</v>
      </c>
      <c r="B47" s="850"/>
      <c r="C47" s="2234" t="s">
        <v>6</v>
      </c>
      <c r="D47" s="2235"/>
      <c r="E47" s="2236">
        <v>7019</v>
      </c>
      <c r="F47" s="2237"/>
      <c r="G47" s="2238">
        <v>8086</v>
      </c>
      <c r="H47" s="2239"/>
      <c r="I47" s="2236">
        <v>7502</v>
      </c>
      <c r="J47" s="2239"/>
      <c r="K47" s="1415"/>
      <c r="L47" s="1867"/>
      <c r="M47" s="1868"/>
      <c r="N47" s="1857"/>
      <c r="O47" s="1868"/>
      <c r="P47" s="3863" t="str">
        <f>A47</f>
        <v>成交单价（元/平方米）</v>
      </c>
      <c r="Q47" s="3863"/>
      <c r="R47" s="3977">
        <f>E47</f>
        <v>7019</v>
      </c>
      <c r="S47" s="3977"/>
      <c r="T47" s="3977">
        <f>G47</f>
        <v>8086</v>
      </c>
      <c r="U47" s="3977"/>
      <c r="V47" s="3977">
        <f>I47</f>
        <v>7502</v>
      </c>
      <c r="W47" s="3977"/>
      <c r="X47" s="1375"/>
      <c r="Y47" s="1394"/>
      <c r="Z47" s="1375"/>
      <c r="AA47" s="1375"/>
      <c r="AB47" s="1375"/>
      <c r="AC47" s="1375"/>
    </row>
    <row r="48" spans="1:29" ht="15.75" thickBot="1">
      <c r="A48" s="585" t="s">
        <v>2042</v>
      </c>
      <c r="B48" s="851"/>
      <c r="C48" s="2240">
        <f>R49</f>
        <v>7393</v>
      </c>
      <c r="D48" s="2757" t="s">
        <v>2261</v>
      </c>
      <c r="E48" s="2241">
        <f>R48</f>
        <v>7166</v>
      </c>
      <c r="F48" s="2758"/>
      <c r="G48" s="2240">
        <f>T48</f>
        <v>7586</v>
      </c>
      <c r="H48" s="2758"/>
      <c r="I48" s="2241">
        <f>V48</f>
        <v>7428</v>
      </c>
      <c r="J48" s="2758"/>
      <c r="K48" s="2766">
        <f>F48+H48+J48</f>
        <v>0</v>
      </c>
      <c r="L48" s="1867"/>
      <c r="M48" s="1868"/>
      <c r="N48" s="1868"/>
      <c r="O48" s="1868"/>
      <c r="P48" s="3863" t="str">
        <f>A48</f>
        <v>比较价格（元/平方米）</v>
      </c>
      <c r="Q48" s="3863"/>
      <c r="R48" s="3977">
        <f>IF(F1="售价",ROUND(PRODUCT(R47,AA7:AA46),0),ROUND(PRODUCT(R47,AA7:AA46),1))</f>
        <v>7166</v>
      </c>
      <c r="S48" s="3977"/>
      <c r="T48" s="3977">
        <f>IF(F1="售价",ROUND(PRODUCT(T47,AB7:AB46),0),ROUND(PRODUCT(T47,AB7:AB46),1))</f>
        <v>7586</v>
      </c>
      <c r="U48" s="3977"/>
      <c r="V48" s="3977">
        <f>IF(F1="售价",ROUND(PRODUCT(V47,AC7:AC46),0),ROUND(PRODUCT(V47,AC7:AC46),1))</f>
        <v>7428</v>
      </c>
      <c r="W48" s="3977"/>
      <c r="X48" s="1375"/>
      <c r="Y48" s="1375"/>
      <c r="Z48" s="1375"/>
      <c r="AA48" s="1375"/>
      <c r="AB48" s="1375"/>
      <c r="AC48" s="1375"/>
    </row>
    <row r="49" spans="1:29" ht="15.75" thickBot="1">
      <c r="A49" s="589" t="s">
        <v>2198</v>
      </c>
      <c r="B49" s="590"/>
      <c r="C49" s="2242">
        <f>R49</f>
        <v>7393</v>
      </c>
      <c r="D49" s="2242"/>
      <c r="E49" s="2242"/>
      <c r="F49" s="2242"/>
      <c r="G49" s="2242"/>
      <c r="H49" s="2242"/>
      <c r="I49" s="2242"/>
      <c r="J49" s="2242"/>
      <c r="K49" s="1416"/>
      <c r="L49" s="1867"/>
      <c r="M49" s="1868"/>
      <c r="N49" s="1868"/>
      <c r="O49" s="1868"/>
      <c r="P49" s="3869" t="str">
        <f>A49</f>
        <v>估价对象XX用房的比较价格（楼面单价，元/平方米）</v>
      </c>
      <c r="Q49" s="3870"/>
      <c r="R49" s="3976">
        <f>IF(F1="售价",ROUND(IF(D48="简单平均",AVERAGE(R48:V48),R48*F48+T48*H48+V48*J48),0),ROUND(IF(D48="简单平均",AVERAGE(R48:V48),R48*F48+T48*H48+V48*J48),1))</f>
        <v>7393</v>
      </c>
      <c r="S49" s="3976"/>
      <c r="T49" s="3976"/>
      <c r="U49" s="3976"/>
      <c r="V49" s="3976"/>
      <c r="W49" s="397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f>IF(E47&lt;E48,E48/E47-1,E47/E48-1)</f>
        <v>2.0943154295483657E-2</v>
      </c>
      <c r="F52" s="595" t="str">
        <f>IF(OR(E52&gt;=0.3,E52&lt;=-0.3),"超过30%","")</f>
        <v/>
      </c>
      <c r="G52" s="594">
        <f>IF(G47&lt;G48,G48/G47-1,G47/G48-1)</f>
        <v>6.5910888478776686E-2</v>
      </c>
      <c r="H52" s="595" t="str">
        <f>IF(OR(G52&gt;=0.3,G52&lt;=-0.3),"超过30%","")</f>
        <v/>
      </c>
      <c r="I52" s="594">
        <f>IF(I47&lt;I48,I48/I47-1,I47/I48-1)</f>
        <v>9.9623047926764574E-3</v>
      </c>
      <c r="J52" s="595" t="str">
        <f>IF(OR(I52&gt;=0.3,I52&lt;=-0.3),"超过30%","")</f>
        <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f>IF(E48&lt;G48,G48/E48-1,E48/G48-1)</f>
        <v>5.8610103265420044E-2</v>
      </c>
      <c r="F53" s="595" t="str">
        <f>IF(OR(E53&gt;=0.2,E53&lt;=-0.2),"超过20%","")</f>
        <v/>
      </c>
      <c r="G53" s="594">
        <f>IF(G48&lt;I48,I48/G48-1,G48/I48-1)</f>
        <v>2.1270866989768544E-2</v>
      </c>
      <c r="H53" s="595" t="str">
        <f>IF(OR(G53&gt;=0.2,G53&lt;=-0.2),"超过20%","")</f>
        <v/>
      </c>
      <c r="I53" s="594">
        <f>IF(I48&lt;E48,E48/I48-1,I48/E48-1)</f>
        <v>3.6561540608428755E-2</v>
      </c>
      <c r="J53" s="595" t="str">
        <f>IF(OR(I53&gt;=0.2,I53&lt;=-0.2),"超过20%","")</f>
        <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f>IF(E47&lt;G47,G47/E47-1,E47/G47-1)</f>
        <v>0.15201595668898693</v>
      </c>
      <c r="F54" s="595" t="str">
        <f>IF(OR(E54&gt;=0.3,E54&lt;=-0.3),"超过30%","")</f>
        <v/>
      </c>
      <c r="G54" s="594">
        <f>IF(G47&lt;I47,I47/G47-1,G47/I47-1)</f>
        <v>7.784590775793121E-2</v>
      </c>
      <c r="H54" s="595" t="str">
        <f>IF(OR(G54&gt;=0.3,G54&lt;=-0.3),"超过30%","")</f>
        <v/>
      </c>
      <c r="I54" s="594">
        <f>IF(I47&lt;E47,E47/I47-1,I47/E47-1)</f>
        <v>6.8813221256589285E-2</v>
      </c>
      <c r="J54" s="595" t="str">
        <f>IF(OR(I54&gt;=0.3,I54&lt;=-0.3),"超过30%","")</f>
        <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2023-4</v>
      </c>
      <c r="D58" s="2284">
        <f>EDATE(C58,-1)</f>
        <v>44986</v>
      </c>
      <c r="E58" s="2284">
        <f t="shared" ref="E58:O58" si="13">EDATE(D58,-1)</f>
        <v>44958</v>
      </c>
      <c r="F58" s="2284">
        <f t="shared" si="13"/>
        <v>44927</v>
      </c>
      <c r="G58" s="2284">
        <f t="shared" si="13"/>
        <v>44896</v>
      </c>
      <c r="H58" s="2284">
        <f t="shared" si="13"/>
        <v>44866</v>
      </c>
      <c r="I58" s="2284">
        <f t="shared" si="13"/>
        <v>44835</v>
      </c>
      <c r="J58" s="2284">
        <f t="shared" si="13"/>
        <v>44805</v>
      </c>
      <c r="K58" s="2284">
        <f t="shared" si="13"/>
        <v>44774</v>
      </c>
      <c r="L58" s="2284">
        <f t="shared" si="13"/>
        <v>44743</v>
      </c>
      <c r="M58" s="2284">
        <f t="shared" si="13"/>
        <v>44713</v>
      </c>
      <c r="N58" s="2284">
        <f t="shared" si="13"/>
        <v>44682</v>
      </c>
      <c r="O58" s="2284">
        <f t="shared" si="13"/>
        <v>44652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v>100</v>
      </c>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t="str">
        <f>C9</f>
        <v>住宅</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4（含）-5</v>
      </c>
      <c r="H67" s="650" t="str">
        <f t="shared" si="14"/>
        <v>5（含）-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v>0</v>
      </c>
      <c r="D68" s="511">
        <v>1</v>
      </c>
      <c r="E68" s="511">
        <v>2</v>
      </c>
      <c r="F68" s="511">
        <v>3</v>
      </c>
      <c r="G68" s="511">
        <v>4</v>
      </c>
      <c r="H68" s="511">
        <v>5</v>
      </c>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97</v>
      </c>
      <c r="E69" s="647">
        <f t="shared" si="15"/>
        <v>94</v>
      </c>
      <c r="F69" s="647">
        <f t="shared" si="15"/>
        <v>91</v>
      </c>
      <c r="G69" s="647">
        <f t="shared" si="15"/>
        <v>88</v>
      </c>
      <c r="H69" s="647">
        <f t="shared" si="15"/>
        <v>85</v>
      </c>
      <c r="I69" s="647">
        <f t="shared" si="15"/>
        <v>82</v>
      </c>
      <c r="J69" s="647">
        <f t="shared" si="15"/>
        <v>79</v>
      </c>
      <c r="K69" s="647">
        <f t="shared" si="15"/>
        <v>76</v>
      </c>
      <c r="L69" s="647">
        <f t="shared" si="15"/>
        <v>73</v>
      </c>
      <c r="M69" s="648">
        <f t="shared" si="15"/>
        <v>70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95</v>
      </c>
      <c r="E77" s="647">
        <f>D77-$K15</f>
        <v>90</v>
      </c>
      <c r="F77" s="647">
        <f>E77-$K15</f>
        <v>85</v>
      </c>
      <c r="G77" s="647">
        <f>F77-$K15</f>
        <v>80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3668" t="s">
        <v>3726</v>
      </c>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29.25" thickTop="1">
      <c r="A102" s="637"/>
      <c r="B102" s="641" t="s">
        <v>688</v>
      </c>
      <c r="C102" s="676" t="str">
        <f>C103&amp;"(含)"&amp;"-"&amp;D103</f>
        <v>0(含)-100000</v>
      </c>
      <c r="D102" s="676" t="str">
        <f t="shared" ref="D102:L102" si="19">D103&amp;"(含)"&amp;"-"&amp;E103</f>
        <v>100000(含)-200000</v>
      </c>
      <c r="E102" s="676" t="str">
        <f t="shared" si="19"/>
        <v>200000(含)-300000</v>
      </c>
      <c r="F102" s="676" t="str">
        <f t="shared" si="19"/>
        <v>300000(含)-400000</v>
      </c>
      <c r="G102" s="676" t="str">
        <f t="shared" si="19"/>
        <v>400000(含)-500000</v>
      </c>
      <c r="H102" s="676" t="str">
        <f t="shared" si="19"/>
        <v>500000(含)-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v>0</v>
      </c>
      <c r="D103" s="698">
        <v>100000</v>
      </c>
      <c r="E103" s="698">
        <v>200000</v>
      </c>
      <c r="F103" s="698">
        <v>300000</v>
      </c>
      <c r="G103" s="698">
        <v>400000</v>
      </c>
      <c r="H103" s="698">
        <v>500000</v>
      </c>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v>100</v>
      </c>
      <c r="D104" s="639">
        <v>101</v>
      </c>
      <c r="E104" s="639">
        <v>102</v>
      </c>
      <c r="F104" s="639">
        <v>103</v>
      </c>
      <c r="G104" s="639">
        <v>104</v>
      </c>
      <c r="H104" s="639">
        <v>105</v>
      </c>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3670" t="s">
        <v>3713</v>
      </c>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3669" t="s">
        <v>3715</v>
      </c>
      <c r="D107" s="686" t="s">
        <v>3704</v>
      </c>
      <c r="E107" s="686" t="s">
        <v>3703</v>
      </c>
      <c r="F107" s="686" t="s">
        <v>3716</v>
      </c>
      <c r="G107" s="686" t="s">
        <v>3717</v>
      </c>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3670" t="s">
        <v>3714</v>
      </c>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3670" t="s">
        <v>3718</v>
      </c>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3670" t="s">
        <v>3696</v>
      </c>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3670" t="s">
        <v>3720</v>
      </c>
      <c r="D122" s="3670" t="s">
        <v>3721</v>
      </c>
      <c r="E122" s="3670" t="s">
        <v>3722</v>
      </c>
      <c r="F122" s="3669" t="s">
        <v>3724</v>
      </c>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98.5</v>
      </c>
      <c r="E123" s="647">
        <f t="shared" si="25"/>
        <v>97</v>
      </c>
      <c r="F123" s="647">
        <f t="shared" si="25"/>
        <v>95.5</v>
      </c>
      <c r="G123" s="647">
        <f t="shared" si="25"/>
        <v>94</v>
      </c>
      <c r="H123" s="647">
        <f t="shared" si="25"/>
        <v>92.5</v>
      </c>
      <c r="I123" s="647">
        <f t="shared" si="25"/>
        <v>91</v>
      </c>
      <c r="J123" s="647">
        <f t="shared" si="25"/>
        <v>89.5</v>
      </c>
      <c r="K123" s="647">
        <f t="shared" si="25"/>
        <v>88</v>
      </c>
      <c r="L123" s="647">
        <f t="shared" si="25"/>
        <v>86.5</v>
      </c>
      <c r="M123" s="647">
        <f t="shared" si="25"/>
        <v>85</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71" t="s">
        <v>471</v>
      </c>
      <c r="D4" s="3872"/>
      <c r="E4" s="3893" t="s">
        <v>472</v>
      </c>
      <c r="F4" s="3894"/>
      <c r="G4" s="3871" t="s">
        <v>473</v>
      </c>
      <c r="H4" s="3872"/>
      <c r="I4" s="3871" t="s">
        <v>474</v>
      </c>
      <c r="J4" s="3872"/>
      <c r="K4" s="484" t="s">
        <v>475</v>
      </c>
      <c r="L4" s="1856"/>
      <c r="M4" s="1857"/>
      <c r="N4" s="1857"/>
      <c r="O4" s="1857"/>
      <c r="P4" s="3873" t="s">
        <v>476</v>
      </c>
      <c r="Q4" s="3874"/>
      <c r="R4" s="3857" t="s">
        <v>472</v>
      </c>
      <c r="S4" s="3858"/>
      <c r="T4" s="3857" t="s">
        <v>473</v>
      </c>
      <c r="U4" s="3858"/>
      <c r="V4" s="3879" t="s">
        <v>474</v>
      </c>
      <c r="W4" s="3879"/>
      <c r="X4" s="1380"/>
      <c r="Y4" s="3857" t="s">
        <v>476</v>
      </c>
      <c r="Z4" s="3858"/>
      <c r="AA4" s="3852" t="s">
        <v>472</v>
      </c>
      <c r="AB4" s="3879" t="s">
        <v>473</v>
      </c>
      <c r="AC4" s="3852" t="s">
        <v>474</v>
      </c>
    </row>
    <row r="5" spans="1:29" ht="15">
      <c r="A5" s="485"/>
      <c r="B5" s="486"/>
      <c r="C5" s="3882" t="s">
        <v>2192</v>
      </c>
      <c r="D5" s="3883"/>
      <c r="E5" s="3895" t="s">
        <v>2193</v>
      </c>
      <c r="F5" s="3896"/>
      <c r="G5" s="3882" t="s">
        <v>2194</v>
      </c>
      <c r="H5" s="3883"/>
      <c r="I5" s="3882" t="s">
        <v>2195</v>
      </c>
      <c r="J5" s="3883"/>
      <c r="K5" s="484"/>
      <c r="L5" s="1856"/>
      <c r="M5" s="1857"/>
      <c r="N5" s="1857"/>
      <c r="O5" s="1857"/>
      <c r="P5" s="3875"/>
      <c r="Q5" s="3876"/>
      <c r="R5" s="3859"/>
      <c r="S5" s="3860"/>
      <c r="T5" s="3859"/>
      <c r="U5" s="3860"/>
      <c r="V5" s="3879"/>
      <c r="W5" s="3879"/>
      <c r="X5" s="1380"/>
      <c r="Y5" s="3859"/>
      <c r="Z5" s="3860"/>
      <c r="AA5" s="3853"/>
      <c r="AB5" s="3879"/>
      <c r="AC5" s="3853"/>
    </row>
    <row r="6" spans="1:29" ht="15.75" thickBot="1">
      <c r="A6" s="487"/>
      <c r="B6" s="488"/>
      <c r="C6" s="3880" t="s">
        <v>2196</v>
      </c>
      <c r="D6" s="3881"/>
      <c r="E6" s="3897" t="s">
        <v>2196</v>
      </c>
      <c r="F6" s="3898"/>
      <c r="G6" s="3880" t="s">
        <v>2196</v>
      </c>
      <c r="H6" s="3881"/>
      <c r="I6" s="3880" t="s">
        <v>2196</v>
      </c>
      <c r="J6" s="3881"/>
      <c r="K6" s="484" t="s">
        <v>477</v>
      </c>
      <c r="L6" s="1856"/>
      <c r="M6" s="1857"/>
      <c r="N6" s="1857"/>
      <c r="O6" s="1857"/>
      <c r="P6" s="3877"/>
      <c r="Q6" s="3878"/>
      <c r="R6" s="3859"/>
      <c r="S6" s="3860"/>
      <c r="T6" s="3861"/>
      <c r="U6" s="3862"/>
      <c r="V6" s="3879"/>
      <c r="W6" s="3879"/>
      <c r="X6" s="1380"/>
      <c r="Y6" s="3861"/>
      <c r="Z6" s="3862"/>
      <c r="AA6" s="3854"/>
      <c r="AB6" s="3879"/>
      <c r="AC6" s="3854"/>
    </row>
    <row r="7" spans="1:29" s="1118" customFormat="1" ht="15.75" thickBot="1">
      <c r="A7" s="2392"/>
      <c r="B7" s="2399" t="s">
        <v>478</v>
      </c>
      <c r="C7" s="489">
        <f>'数据-取费表'!B2</f>
        <v>45028</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55" t="s">
        <v>479</v>
      </c>
      <c r="Q7" s="3864"/>
      <c r="R7" s="1381" t="s">
        <v>5</v>
      </c>
      <c r="S7" s="1382">
        <f t="shared" ref="S7:S15" si="0">F7</f>
        <v>0</v>
      </c>
      <c r="T7" s="1381" t="s">
        <v>5</v>
      </c>
      <c r="U7" s="1382">
        <f t="shared" ref="U7:U15" si="1">H7</f>
        <v>0</v>
      </c>
      <c r="V7" s="1381" t="s">
        <v>5</v>
      </c>
      <c r="W7" s="1382">
        <f t="shared" ref="W7:W15" si="2">J7</f>
        <v>0</v>
      </c>
      <c r="X7" s="1383"/>
      <c r="Y7" s="3855" t="s">
        <v>479</v>
      </c>
      <c r="Z7" s="3856"/>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55" t="s">
        <v>482</v>
      </c>
      <c r="Q8" s="3856"/>
      <c r="R8" s="1381" t="s">
        <v>5</v>
      </c>
      <c r="S8" s="1382">
        <f t="shared" si="0"/>
        <v>0</v>
      </c>
      <c r="T8" s="1381" t="s">
        <v>5</v>
      </c>
      <c r="U8" s="1382">
        <f t="shared" si="1"/>
        <v>0</v>
      </c>
      <c r="V8" s="1381" t="s">
        <v>5</v>
      </c>
      <c r="W8" s="1382">
        <f t="shared" si="2"/>
        <v>0</v>
      </c>
      <c r="X8" s="1383"/>
      <c r="Y8" s="3855" t="s">
        <v>482</v>
      </c>
      <c r="Z8" s="3856"/>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63" t="s">
        <v>484</v>
      </c>
      <c r="Q9" s="1050" t="str">
        <f t="shared" ref="Q9:Q15" si="6">B9</f>
        <v>用途</v>
      </c>
      <c r="R9" s="1381" t="s">
        <v>5</v>
      </c>
      <c r="S9" s="1382">
        <f t="shared" si="0"/>
        <v>100</v>
      </c>
      <c r="T9" s="1381" t="s">
        <v>5</v>
      </c>
      <c r="U9" s="1382">
        <f t="shared" si="1"/>
        <v>100</v>
      </c>
      <c r="V9" s="1381" t="s">
        <v>5</v>
      </c>
      <c r="W9" s="1382">
        <f t="shared" si="2"/>
        <v>100</v>
      </c>
      <c r="X9" s="1383"/>
      <c r="Y9" s="3811"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63"/>
      <c r="Q10" s="1050" t="str">
        <f t="shared" si="6"/>
        <v>土地使用年限（年）</v>
      </c>
      <c r="R10" s="1381" t="s">
        <v>5</v>
      </c>
      <c r="S10" s="1382">
        <f t="shared" si="0"/>
        <v>100</v>
      </c>
      <c r="T10" s="1381" t="s">
        <v>5</v>
      </c>
      <c r="U10" s="1382">
        <f t="shared" si="1"/>
        <v>100</v>
      </c>
      <c r="V10" s="1381" t="s">
        <v>5</v>
      </c>
      <c r="W10" s="1382">
        <f t="shared" si="2"/>
        <v>100</v>
      </c>
      <c r="X10" s="1383"/>
      <c r="Y10" s="381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63"/>
      <c r="Q11" s="1050" t="str">
        <f t="shared" si="6"/>
        <v>容积率</v>
      </c>
      <c r="R11" s="1381" t="s">
        <v>5</v>
      </c>
      <c r="S11" s="1382" t="e">
        <f t="shared" si="0"/>
        <v>#N/A</v>
      </c>
      <c r="T11" s="1381" t="s">
        <v>5</v>
      </c>
      <c r="U11" s="1382" t="e">
        <f t="shared" si="1"/>
        <v>#N/A</v>
      </c>
      <c r="V11" s="1381" t="s">
        <v>5</v>
      </c>
      <c r="W11" s="1382" t="e">
        <f t="shared" si="2"/>
        <v>#N/A</v>
      </c>
      <c r="X11" s="1383"/>
      <c r="Y11" s="381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63"/>
      <c r="Q12" s="1050">
        <f t="shared" si="6"/>
        <v>111</v>
      </c>
      <c r="R12" s="1381" t="s">
        <v>5</v>
      </c>
      <c r="S12" s="1382">
        <f t="shared" si="0"/>
        <v>100</v>
      </c>
      <c r="T12" s="1381" t="s">
        <v>5</v>
      </c>
      <c r="U12" s="1382">
        <f t="shared" si="1"/>
        <v>100</v>
      </c>
      <c r="V12" s="1381" t="s">
        <v>5</v>
      </c>
      <c r="W12" s="1382">
        <f t="shared" si="2"/>
        <v>100</v>
      </c>
      <c r="X12" s="1383"/>
      <c r="Y12" s="3811"/>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63"/>
      <c r="Q13" s="1050">
        <f t="shared" si="6"/>
        <v>111</v>
      </c>
      <c r="R13" s="1381" t="s">
        <v>5</v>
      </c>
      <c r="S13" s="1382">
        <f t="shared" si="0"/>
        <v>100</v>
      </c>
      <c r="T13" s="1381" t="s">
        <v>5</v>
      </c>
      <c r="U13" s="1382">
        <f t="shared" si="1"/>
        <v>100</v>
      </c>
      <c r="V13" s="1381" t="s">
        <v>5</v>
      </c>
      <c r="W13" s="1382">
        <f t="shared" si="2"/>
        <v>100</v>
      </c>
      <c r="X13" s="1383"/>
      <c r="Y13" s="3811"/>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63"/>
      <c r="Q14" s="1050">
        <f t="shared" si="6"/>
        <v>111</v>
      </c>
      <c r="R14" s="1381" t="s">
        <v>5</v>
      </c>
      <c r="S14" s="1382">
        <f t="shared" si="0"/>
        <v>100</v>
      </c>
      <c r="T14" s="1381" t="s">
        <v>5</v>
      </c>
      <c r="U14" s="1382">
        <f t="shared" si="1"/>
        <v>100</v>
      </c>
      <c r="V14" s="1381" t="s">
        <v>5</v>
      </c>
      <c r="W14" s="1382">
        <f t="shared" si="2"/>
        <v>100</v>
      </c>
      <c r="X14" s="1383"/>
      <c r="Y14" s="3811"/>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65" t="s">
        <v>489</v>
      </c>
      <c r="Q15" s="1385" t="str">
        <f t="shared" si="6"/>
        <v>商业繁华度</v>
      </c>
      <c r="R15" s="1386" t="s">
        <v>5</v>
      </c>
      <c r="S15" s="1387">
        <f t="shared" si="0"/>
        <v>100</v>
      </c>
      <c r="T15" s="1386" t="s">
        <v>5</v>
      </c>
      <c r="U15" s="1387">
        <f t="shared" si="1"/>
        <v>100</v>
      </c>
      <c r="V15" s="1386" t="s">
        <v>5</v>
      </c>
      <c r="W15" s="1387">
        <f t="shared" si="2"/>
        <v>100</v>
      </c>
      <c r="X15" s="1380"/>
      <c r="Y15" s="3865"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66"/>
      <c r="Q16" s="1385"/>
      <c r="R16" s="1386"/>
      <c r="S16" s="1387"/>
      <c r="T16" s="1386"/>
      <c r="U16" s="1387"/>
      <c r="V16" s="1386"/>
      <c r="W16" s="1387"/>
      <c r="X16" s="1380"/>
      <c r="Y16" s="3866"/>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66"/>
      <c r="Q17" s="1385" t="str">
        <f>B17</f>
        <v>交通便捷度</v>
      </c>
      <c r="R17" s="1386" t="s">
        <v>5</v>
      </c>
      <c r="S17" s="1387">
        <f>F17</f>
        <v>100</v>
      </c>
      <c r="T17" s="1386" t="s">
        <v>5</v>
      </c>
      <c r="U17" s="1387">
        <f>H17</f>
        <v>100</v>
      </c>
      <c r="V17" s="1386" t="s">
        <v>5</v>
      </c>
      <c r="W17" s="1387">
        <f>J17</f>
        <v>100</v>
      </c>
      <c r="X17" s="1380"/>
      <c r="Y17" s="386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66"/>
      <c r="Q18" s="1385"/>
      <c r="R18" s="1386"/>
      <c r="S18" s="1387"/>
      <c r="T18" s="1386"/>
      <c r="U18" s="1387"/>
      <c r="V18" s="1386"/>
      <c r="W18" s="1387"/>
      <c r="X18" s="1380"/>
      <c r="Y18" s="3866"/>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66"/>
      <c r="Q19" s="1385" t="str">
        <f>B19</f>
        <v>公共配套设施</v>
      </c>
      <c r="R19" s="1386" t="s">
        <v>5</v>
      </c>
      <c r="S19" s="1387">
        <f>F19</f>
        <v>100</v>
      </c>
      <c r="T19" s="1386" t="s">
        <v>5</v>
      </c>
      <c r="U19" s="1387">
        <f>H19</f>
        <v>100</v>
      </c>
      <c r="V19" s="1386" t="s">
        <v>5</v>
      </c>
      <c r="W19" s="1387">
        <f>J19</f>
        <v>100</v>
      </c>
      <c r="X19" s="1380"/>
      <c r="Y19" s="386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66"/>
      <c r="Q20" s="1385"/>
      <c r="R20" s="1386"/>
      <c r="S20" s="1387"/>
      <c r="T20" s="1386"/>
      <c r="U20" s="1387"/>
      <c r="V20" s="1386"/>
      <c r="W20" s="1387"/>
      <c r="X20" s="1380"/>
      <c r="Y20" s="3866"/>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66"/>
      <c r="Q21" s="2193" t="str">
        <f>B21</f>
        <v>基础设施水平</v>
      </c>
      <c r="R21" s="1386" t="s">
        <v>5</v>
      </c>
      <c r="S21" s="1387">
        <f>F21</f>
        <v>100</v>
      </c>
      <c r="T21" s="1386" t="s">
        <v>5</v>
      </c>
      <c r="U21" s="1387">
        <f>H21</f>
        <v>100</v>
      </c>
      <c r="V21" s="1386" t="s">
        <v>5</v>
      </c>
      <c r="W21" s="1387">
        <f>J21</f>
        <v>100</v>
      </c>
      <c r="X21" s="2195"/>
      <c r="Y21" s="3866"/>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66"/>
      <c r="Q22" s="2193"/>
      <c r="R22" s="1386"/>
      <c r="S22" s="1387"/>
      <c r="T22" s="1386"/>
      <c r="U22" s="1387"/>
      <c r="V22" s="1386"/>
      <c r="W22" s="1387"/>
      <c r="X22" s="2195"/>
      <c r="Y22" s="3866"/>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66"/>
      <c r="Q23" s="1385" t="str">
        <f>B23</f>
        <v>自然及人文环境</v>
      </c>
      <c r="R23" s="1386" t="s">
        <v>5</v>
      </c>
      <c r="S23" s="1387">
        <f>F23</f>
        <v>100</v>
      </c>
      <c r="T23" s="1386" t="s">
        <v>5</v>
      </c>
      <c r="U23" s="1387">
        <f>H23</f>
        <v>100</v>
      </c>
      <c r="V23" s="1386" t="s">
        <v>5</v>
      </c>
      <c r="W23" s="1387">
        <f>J23</f>
        <v>100</v>
      </c>
      <c r="X23" s="1380"/>
      <c r="Y23" s="386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66"/>
      <c r="Q24" s="1385"/>
      <c r="R24" s="1386"/>
      <c r="S24" s="1387"/>
      <c r="T24" s="1386"/>
      <c r="U24" s="1387"/>
      <c r="V24" s="1386"/>
      <c r="W24" s="1387"/>
      <c r="X24" s="1380"/>
      <c r="Y24" s="3866"/>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66"/>
      <c r="Q25" s="1385" t="str">
        <f t="shared" ref="Q25:Q46" si="8">B25</f>
        <v>临街状况</v>
      </c>
      <c r="R25" s="1386" t="s">
        <v>5</v>
      </c>
      <c r="S25" s="1387">
        <f>F25</f>
        <v>100</v>
      </c>
      <c r="T25" s="1386" t="s">
        <v>5</v>
      </c>
      <c r="U25" s="1387">
        <f>H25</f>
        <v>100</v>
      </c>
      <c r="V25" s="1386" t="s">
        <v>5</v>
      </c>
      <c r="W25" s="1387">
        <f>J25</f>
        <v>100</v>
      </c>
      <c r="X25" s="1380"/>
      <c r="Y25" s="3866"/>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66"/>
      <c r="Q26" s="1385" t="str">
        <f t="shared" si="8"/>
        <v>平面位置/可视性</v>
      </c>
      <c r="R26" s="1386" t="s">
        <v>5</v>
      </c>
      <c r="S26" s="1387">
        <f>F26</f>
        <v>100</v>
      </c>
      <c r="T26" s="1386" t="s">
        <v>5</v>
      </c>
      <c r="U26" s="1387">
        <f>H26</f>
        <v>100</v>
      </c>
      <c r="V26" s="1386" t="s">
        <v>5</v>
      </c>
      <c r="W26" s="1387">
        <f>J26</f>
        <v>100</v>
      </c>
      <c r="X26" s="1380"/>
      <c r="Y26" s="3866"/>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66"/>
      <c r="Q27" s="1050" t="str">
        <f t="shared" si="8"/>
        <v>人流量</v>
      </c>
      <c r="R27" s="1381" t="s">
        <v>5</v>
      </c>
      <c r="S27" s="1382">
        <f>F27</f>
        <v>100</v>
      </c>
      <c r="T27" s="1381" t="s">
        <v>5</v>
      </c>
      <c r="U27" s="1382">
        <f>H27</f>
        <v>100</v>
      </c>
      <c r="V27" s="1381" t="s">
        <v>5</v>
      </c>
      <c r="W27" s="1382">
        <f>J27</f>
        <v>100</v>
      </c>
      <c r="X27" s="1383"/>
      <c r="Y27" s="3866"/>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66"/>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66"/>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66"/>
      <c r="Q29" s="1385">
        <f t="shared" si="8"/>
        <v>111</v>
      </c>
      <c r="R29" s="1386" t="s">
        <v>5</v>
      </c>
      <c r="S29" s="1387">
        <f t="shared" si="9"/>
        <v>100</v>
      </c>
      <c r="T29" s="1386" t="s">
        <v>5</v>
      </c>
      <c r="U29" s="1387">
        <f t="shared" si="10"/>
        <v>100</v>
      </c>
      <c r="V29" s="1386" t="s">
        <v>5</v>
      </c>
      <c r="W29" s="1387">
        <f t="shared" si="11"/>
        <v>100</v>
      </c>
      <c r="X29" s="1380"/>
      <c r="Y29" s="386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66"/>
      <c r="Q30" s="1385">
        <f t="shared" si="8"/>
        <v>111</v>
      </c>
      <c r="R30" s="1386" t="s">
        <v>5</v>
      </c>
      <c r="S30" s="1387">
        <f t="shared" si="9"/>
        <v>100</v>
      </c>
      <c r="T30" s="1386" t="s">
        <v>5</v>
      </c>
      <c r="U30" s="1387">
        <f t="shared" si="10"/>
        <v>100</v>
      </c>
      <c r="V30" s="1386" t="s">
        <v>5</v>
      </c>
      <c r="W30" s="1387">
        <f t="shared" si="11"/>
        <v>100</v>
      </c>
      <c r="X30" s="1380"/>
      <c r="Y30" s="3866"/>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66"/>
      <c r="Q31" s="1385">
        <f t="shared" si="8"/>
        <v>111</v>
      </c>
      <c r="R31" s="1386" t="s">
        <v>5</v>
      </c>
      <c r="S31" s="1387">
        <f t="shared" si="9"/>
        <v>100</v>
      </c>
      <c r="T31" s="1386" t="s">
        <v>5</v>
      </c>
      <c r="U31" s="1387">
        <f t="shared" si="10"/>
        <v>100</v>
      </c>
      <c r="V31" s="1386" t="s">
        <v>5</v>
      </c>
      <c r="W31" s="1387">
        <f t="shared" si="11"/>
        <v>100</v>
      </c>
      <c r="X31" s="1380"/>
      <c r="Y31" s="3866"/>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67" t="s">
        <v>499</v>
      </c>
      <c r="Q32" s="1385" t="str">
        <f t="shared" si="8"/>
        <v>商业类型</v>
      </c>
      <c r="R32" s="1386" t="s">
        <v>5</v>
      </c>
      <c r="S32" s="1387">
        <f t="shared" si="9"/>
        <v>100</v>
      </c>
      <c r="T32" s="1386" t="s">
        <v>5</v>
      </c>
      <c r="U32" s="1387">
        <f t="shared" si="10"/>
        <v>100</v>
      </c>
      <c r="V32" s="1386" t="s">
        <v>5</v>
      </c>
      <c r="W32" s="1387">
        <f t="shared" si="11"/>
        <v>100</v>
      </c>
      <c r="X32" s="1380"/>
      <c r="Y32" s="3868"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68"/>
      <c r="Q33" s="1414" t="str">
        <f t="shared" si="8"/>
        <v>项目建筑规模</v>
      </c>
      <c r="R33" s="1390" t="s">
        <v>5</v>
      </c>
      <c r="S33" s="1391" t="e">
        <f t="shared" si="9"/>
        <v>#N/A</v>
      </c>
      <c r="T33" s="1390" t="s">
        <v>5</v>
      </c>
      <c r="U33" s="1391" t="e">
        <f t="shared" si="10"/>
        <v>#N/A</v>
      </c>
      <c r="V33" s="1390" t="s">
        <v>5</v>
      </c>
      <c r="W33" s="1391" t="e">
        <f t="shared" si="11"/>
        <v>#N/A</v>
      </c>
      <c r="X33" s="1392"/>
      <c r="Y33" s="386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68"/>
      <c r="Q34" s="1385" t="str">
        <f t="shared" si="8"/>
        <v>建筑结构</v>
      </c>
      <c r="R34" s="1386" t="s">
        <v>5</v>
      </c>
      <c r="S34" s="1387">
        <f t="shared" si="9"/>
        <v>100</v>
      </c>
      <c r="T34" s="1386" t="s">
        <v>5</v>
      </c>
      <c r="U34" s="1387">
        <f t="shared" si="10"/>
        <v>100</v>
      </c>
      <c r="V34" s="1386" t="s">
        <v>5</v>
      </c>
      <c r="W34" s="1387">
        <f t="shared" si="11"/>
        <v>100</v>
      </c>
      <c r="X34" s="1380"/>
      <c r="Y34" s="3868"/>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68"/>
      <c r="Q35" s="1385" t="str">
        <f t="shared" si="8"/>
        <v>公共部分装修</v>
      </c>
      <c r="R35" s="1386" t="s">
        <v>5</v>
      </c>
      <c r="S35" s="1387">
        <f t="shared" si="9"/>
        <v>100</v>
      </c>
      <c r="T35" s="1386" t="s">
        <v>5</v>
      </c>
      <c r="U35" s="1387">
        <f t="shared" si="10"/>
        <v>100</v>
      </c>
      <c r="V35" s="1386" t="s">
        <v>5</v>
      </c>
      <c r="W35" s="1387">
        <f t="shared" si="11"/>
        <v>100</v>
      </c>
      <c r="X35" s="1380"/>
      <c r="Y35" s="3868"/>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68"/>
      <c r="Q36" s="1385" t="str">
        <f t="shared" si="8"/>
        <v>成新度</v>
      </c>
      <c r="R36" s="1386" t="s">
        <v>5</v>
      </c>
      <c r="S36" s="1387" t="e">
        <f t="shared" si="9"/>
        <v>#N/A</v>
      </c>
      <c r="T36" s="1386" t="s">
        <v>5</v>
      </c>
      <c r="U36" s="1387" t="e">
        <f t="shared" si="10"/>
        <v>#N/A</v>
      </c>
      <c r="V36" s="1386" t="s">
        <v>5</v>
      </c>
      <c r="W36" s="1387" t="e">
        <f t="shared" si="11"/>
        <v>#N/A</v>
      </c>
      <c r="X36" s="1380"/>
      <c r="Y36" s="3868"/>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68"/>
      <c r="Q37" s="1050" t="str">
        <f t="shared" si="8"/>
        <v>市政基础设施</v>
      </c>
      <c r="R37" s="1381" t="s">
        <v>5</v>
      </c>
      <c r="S37" s="1382">
        <f t="shared" si="9"/>
        <v>100</v>
      </c>
      <c r="T37" s="1381" t="s">
        <v>5</v>
      </c>
      <c r="U37" s="1382">
        <f t="shared" si="10"/>
        <v>100</v>
      </c>
      <c r="V37" s="1381" t="s">
        <v>5</v>
      </c>
      <c r="W37" s="1382">
        <f t="shared" si="11"/>
        <v>100</v>
      </c>
      <c r="X37" s="1383"/>
      <c r="Y37" s="3868"/>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68" t="s">
        <v>706</v>
      </c>
      <c r="Q38" s="1385" t="str">
        <f t="shared" si="8"/>
        <v>业态</v>
      </c>
      <c r="R38" s="1386" t="s">
        <v>5</v>
      </c>
      <c r="S38" s="1387">
        <f t="shared" si="9"/>
        <v>100</v>
      </c>
      <c r="T38" s="1386" t="s">
        <v>5</v>
      </c>
      <c r="U38" s="1387">
        <f t="shared" si="10"/>
        <v>100</v>
      </c>
      <c r="V38" s="1386" t="s">
        <v>5</v>
      </c>
      <c r="W38" s="1387">
        <f t="shared" si="11"/>
        <v>100</v>
      </c>
      <c r="X38" s="1380"/>
      <c r="Y38" s="3868"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68"/>
      <c r="Q39" s="1385" t="str">
        <f t="shared" si="8"/>
        <v>层高</v>
      </c>
      <c r="R39" s="1386" t="s">
        <v>5</v>
      </c>
      <c r="S39" s="1387">
        <f t="shared" si="9"/>
        <v>100</v>
      </c>
      <c r="T39" s="1386" t="s">
        <v>5</v>
      </c>
      <c r="U39" s="1387">
        <f t="shared" si="10"/>
        <v>100</v>
      </c>
      <c r="V39" s="1386" t="s">
        <v>5</v>
      </c>
      <c r="W39" s="1387">
        <f t="shared" si="11"/>
        <v>100</v>
      </c>
      <c r="X39" s="1380"/>
      <c r="Y39" s="3868"/>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68"/>
      <c r="Q40" s="1385" t="str">
        <f t="shared" si="8"/>
        <v>单套建筑面积</v>
      </c>
      <c r="R40" s="1386" t="s">
        <v>5</v>
      </c>
      <c r="S40" s="1387">
        <f t="shared" si="9"/>
        <v>100</v>
      </c>
      <c r="T40" s="1386" t="s">
        <v>5</v>
      </c>
      <c r="U40" s="1387">
        <f t="shared" si="10"/>
        <v>100</v>
      </c>
      <c r="V40" s="1386" t="s">
        <v>5</v>
      </c>
      <c r="W40" s="1387">
        <f t="shared" si="11"/>
        <v>100</v>
      </c>
      <c r="X40" s="1380"/>
      <c r="Y40" s="3868"/>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68"/>
      <c r="Q41" s="1414" t="str">
        <f t="shared" si="8"/>
        <v>进深比</v>
      </c>
      <c r="R41" s="1390" t="s">
        <v>5</v>
      </c>
      <c r="S41" s="1391">
        <f t="shared" si="9"/>
        <v>100</v>
      </c>
      <c r="T41" s="1390" t="s">
        <v>5</v>
      </c>
      <c r="U41" s="1391">
        <f t="shared" si="10"/>
        <v>100</v>
      </c>
      <c r="V41" s="1390" t="s">
        <v>5</v>
      </c>
      <c r="W41" s="1391">
        <f t="shared" si="11"/>
        <v>100</v>
      </c>
      <c r="X41" s="1392"/>
      <c r="Y41" s="3868"/>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68"/>
      <c r="Q42" s="1385" t="str">
        <f t="shared" si="8"/>
        <v>内部装修</v>
      </c>
      <c r="R42" s="1386" t="s">
        <v>5</v>
      </c>
      <c r="S42" s="1387">
        <f t="shared" si="9"/>
        <v>100</v>
      </c>
      <c r="T42" s="1386" t="s">
        <v>5</v>
      </c>
      <c r="U42" s="1387">
        <f t="shared" si="10"/>
        <v>100</v>
      </c>
      <c r="V42" s="1386" t="s">
        <v>5</v>
      </c>
      <c r="W42" s="1387">
        <f t="shared" si="11"/>
        <v>100</v>
      </c>
      <c r="X42" s="1380"/>
      <c r="Y42" s="3868"/>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68"/>
      <c r="Q43" s="1385" t="str">
        <f t="shared" si="8"/>
        <v>内部装修维护情况</v>
      </c>
      <c r="R43" s="1386" t="s">
        <v>5</v>
      </c>
      <c r="S43" s="1387">
        <f t="shared" si="9"/>
        <v>100</v>
      </c>
      <c r="T43" s="1386" t="s">
        <v>5</v>
      </c>
      <c r="U43" s="1387">
        <f t="shared" si="10"/>
        <v>100</v>
      </c>
      <c r="V43" s="1386" t="s">
        <v>5</v>
      </c>
      <c r="W43" s="1387">
        <f t="shared" si="11"/>
        <v>100</v>
      </c>
      <c r="X43" s="1380"/>
      <c r="Y43" s="386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68"/>
      <c r="Q44" s="1050">
        <f t="shared" si="8"/>
        <v>111</v>
      </c>
      <c r="R44" s="1381" t="s">
        <v>5</v>
      </c>
      <c r="S44" s="1382">
        <f t="shared" si="9"/>
        <v>100</v>
      </c>
      <c r="T44" s="1381" t="s">
        <v>5</v>
      </c>
      <c r="U44" s="1382">
        <f t="shared" si="10"/>
        <v>100</v>
      </c>
      <c r="V44" s="1381" t="s">
        <v>5</v>
      </c>
      <c r="W44" s="1382">
        <f t="shared" si="11"/>
        <v>100</v>
      </c>
      <c r="X44" s="1383"/>
      <c r="Y44" s="386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68"/>
      <c r="Q45" s="1385">
        <f t="shared" si="8"/>
        <v>111</v>
      </c>
      <c r="R45" s="1386" t="s">
        <v>5</v>
      </c>
      <c r="S45" s="1387">
        <f t="shared" si="9"/>
        <v>100</v>
      </c>
      <c r="T45" s="1386" t="s">
        <v>5</v>
      </c>
      <c r="U45" s="1387">
        <f t="shared" si="10"/>
        <v>100</v>
      </c>
      <c r="V45" s="1386" t="s">
        <v>5</v>
      </c>
      <c r="W45" s="1387">
        <f t="shared" si="11"/>
        <v>100</v>
      </c>
      <c r="X45" s="1380"/>
      <c r="Y45" s="3868"/>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78"/>
      <c r="Q46" s="1385">
        <f t="shared" si="8"/>
        <v>111</v>
      </c>
      <c r="R46" s="1386" t="s">
        <v>5</v>
      </c>
      <c r="S46" s="1387">
        <f t="shared" si="9"/>
        <v>100</v>
      </c>
      <c r="T46" s="1386" t="s">
        <v>5</v>
      </c>
      <c r="U46" s="1387">
        <f t="shared" si="10"/>
        <v>100</v>
      </c>
      <c r="V46" s="1386" t="s">
        <v>5</v>
      </c>
      <c r="W46" s="1387">
        <f t="shared" si="11"/>
        <v>100</v>
      </c>
      <c r="X46" s="1380"/>
      <c r="Y46" s="3978"/>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63" t="str">
        <f>A47</f>
        <v>成交单价（元/平方米）</v>
      </c>
      <c r="Q47" s="3863"/>
      <c r="R47" s="3977">
        <f>E47</f>
        <v>0</v>
      </c>
      <c r="S47" s="3977"/>
      <c r="T47" s="3977">
        <f>G47</f>
        <v>0</v>
      </c>
      <c r="U47" s="3977"/>
      <c r="V47" s="3977">
        <f>I47</f>
        <v>0</v>
      </c>
      <c r="W47" s="3977"/>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63" t="str">
        <f>A48</f>
        <v>比较价格（元/平方米）</v>
      </c>
      <c r="Q48" s="3863"/>
      <c r="R48" s="3977" t="e">
        <f>IF(F1="售价",ROUND(PRODUCT(R47,AA7:AA46),0),ROUND(PRODUCT(R47,AA7:AA46),1))</f>
        <v>#DIV/0!</v>
      </c>
      <c r="S48" s="3977"/>
      <c r="T48" s="3977" t="e">
        <f>IF(F1="售价",ROUND(PRODUCT(T47,AB7:AB46),0),ROUND(PRODUCT(T47,AB7:AB46),1))</f>
        <v>#DIV/0!</v>
      </c>
      <c r="U48" s="3977"/>
      <c r="V48" s="3977" t="e">
        <f>IF(F1="售价",ROUND(PRODUCT(V47,AC7:AC46),0),ROUND(PRODUCT(V47,AC7:AC46),1))</f>
        <v>#DIV/0!</v>
      </c>
      <c r="W48" s="3977"/>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69" t="str">
        <f>A49</f>
        <v>估价对象XX用房的比较价格（楼面单价，元/平方米）</v>
      </c>
      <c r="Q49" s="3870"/>
      <c r="R49" s="3976" t="e">
        <f>IF(F1="售价",ROUND(IF(D48="简单平均",AVERAGE(R48:V48),R48*F48+T48*H48+V48*J48),0),ROUND(IF(D48="简单平均",AVERAGE(R48:V48),R48*F48+T48*H48+V48*J48),1))</f>
        <v>#DIV/0!</v>
      </c>
      <c r="S49" s="3976"/>
      <c r="T49" s="3976"/>
      <c r="U49" s="3976"/>
      <c r="V49" s="3976"/>
      <c r="W49" s="397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2023-4</v>
      </c>
      <c r="D58" s="2284">
        <f>EDATE(C58,-1)</f>
        <v>44986</v>
      </c>
      <c r="E58" s="2284">
        <f t="shared" ref="E58:O58" si="13">EDATE(D58,-1)</f>
        <v>44958</v>
      </c>
      <c r="F58" s="2284">
        <f t="shared" si="13"/>
        <v>44927</v>
      </c>
      <c r="G58" s="2284">
        <f t="shared" si="13"/>
        <v>44896</v>
      </c>
      <c r="H58" s="2284">
        <f t="shared" si="13"/>
        <v>44866</v>
      </c>
      <c r="I58" s="2284">
        <f t="shared" si="13"/>
        <v>44835</v>
      </c>
      <c r="J58" s="2284">
        <f t="shared" si="13"/>
        <v>44805</v>
      </c>
      <c r="K58" s="2284">
        <f t="shared" si="13"/>
        <v>44774</v>
      </c>
      <c r="L58" s="2284">
        <f t="shared" si="13"/>
        <v>44743</v>
      </c>
      <c r="M58" s="2284">
        <f t="shared" si="13"/>
        <v>44713</v>
      </c>
      <c r="N58" s="2284">
        <f t="shared" si="13"/>
        <v>44682</v>
      </c>
      <c r="O58" s="2284">
        <f t="shared" si="13"/>
        <v>44652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71" t="s">
        <v>471</v>
      </c>
      <c r="D4" s="3872"/>
      <c r="E4" s="3893" t="s">
        <v>472</v>
      </c>
      <c r="F4" s="3894"/>
      <c r="G4" s="3871" t="s">
        <v>473</v>
      </c>
      <c r="H4" s="3872"/>
      <c r="I4" s="3871" t="s">
        <v>474</v>
      </c>
      <c r="J4" s="3872"/>
      <c r="K4" s="484" t="s">
        <v>475</v>
      </c>
      <c r="L4" s="1856"/>
      <c r="M4" s="1857"/>
      <c r="N4" s="1857"/>
      <c r="O4" s="1857"/>
      <c r="P4" s="3979" t="s">
        <v>476</v>
      </c>
      <c r="Q4" s="3874"/>
      <c r="R4" s="3857" t="s">
        <v>472</v>
      </c>
      <c r="S4" s="3858"/>
      <c r="T4" s="3857" t="s">
        <v>473</v>
      </c>
      <c r="U4" s="3858"/>
      <c r="V4" s="3879" t="s">
        <v>474</v>
      </c>
      <c r="W4" s="3879"/>
      <c r="X4" s="1380"/>
      <c r="Y4" s="3857" t="s">
        <v>476</v>
      </c>
      <c r="Z4" s="3858"/>
      <c r="AA4" s="3852" t="s">
        <v>472</v>
      </c>
      <c r="AB4" s="3852" t="s">
        <v>473</v>
      </c>
      <c r="AC4" s="3852" t="s">
        <v>474</v>
      </c>
    </row>
    <row r="5" spans="1:29" ht="15">
      <c r="A5" s="485"/>
      <c r="B5" s="486"/>
      <c r="C5" s="3882" t="s">
        <v>2192</v>
      </c>
      <c r="D5" s="3883"/>
      <c r="E5" s="3895" t="s">
        <v>2193</v>
      </c>
      <c r="F5" s="3896"/>
      <c r="G5" s="3882" t="s">
        <v>2194</v>
      </c>
      <c r="H5" s="3883"/>
      <c r="I5" s="3882" t="s">
        <v>2195</v>
      </c>
      <c r="J5" s="3883"/>
      <c r="K5" s="484"/>
      <c r="L5" s="1856"/>
      <c r="M5" s="1857"/>
      <c r="N5" s="1857"/>
      <c r="O5" s="1857"/>
      <c r="P5" s="3980"/>
      <c r="Q5" s="3876"/>
      <c r="R5" s="3859"/>
      <c r="S5" s="3860"/>
      <c r="T5" s="3859"/>
      <c r="U5" s="3860"/>
      <c r="V5" s="3879"/>
      <c r="W5" s="3879"/>
      <c r="X5" s="1380"/>
      <c r="Y5" s="3859"/>
      <c r="Z5" s="3860"/>
      <c r="AA5" s="3853"/>
      <c r="AB5" s="3853"/>
      <c r="AC5" s="3853"/>
    </row>
    <row r="6" spans="1:29" ht="15.75" thickBot="1">
      <c r="A6" s="487"/>
      <c r="B6" s="488"/>
      <c r="C6" s="3880" t="s">
        <v>2196</v>
      </c>
      <c r="D6" s="3881"/>
      <c r="E6" s="3897" t="s">
        <v>2196</v>
      </c>
      <c r="F6" s="3898"/>
      <c r="G6" s="3880" t="s">
        <v>2196</v>
      </c>
      <c r="H6" s="3881"/>
      <c r="I6" s="3880" t="s">
        <v>2196</v>
      </c>
      <c r="J6" s="3881"/>
      <c r="K6" s="484" t="s">
        <v>477</v>
      </c>
      <c r="L6" s="1856"/>
      <c r="M6" s="1857"/>
      <c r="N6" s="1857"/>
      <c r="O6" s="1857"/>
      <c r="P6" s="3981"/>
      <c r="Q6" s="3878"/>
      <c r="R6" s="3859"/>
      <c r="S6" s="3860"/>
      <c r="T6" s="3861"/>
      <c r="U6" s="3862"/>
      <c r="V6" s="3879"/>
      <c r="W6" s="3879"/>
      <c r="X6" s="1380"/>
      <c r="Y6" s="3861"/>
      <c r="Z6" s="3862"/>
      <c r="AA6" s="3854"/>
      <c r="AB6" s="3854"/>
      <c r="AC6" s="3854"/>
    </row>
    <row r="7" spans="1:29" s="1118" customFormat="1" ht="15.75" thickBot="1">
      <c r="A7" s="2392"/>
      <c r="B7" s="2399" t="s">
        <v>478</v>
      </c>
      <c r="C7" s="489">
        <f>'数据-取费表'!B2</f>
        <v>45028</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64" t="s">
        <v>479</v>
      </c>
      <c r="Q7" s="3864"/>
      <c r="R7" s="1381" t="s">
        <v>5</v>
      </c>
      <c r="S7" s="1382">
        <f t="shared" ref="S7:S15" si="0">F7</f>
        <v>0</v>
      </c>
      <c r="T7" s="1381" t="s">
        <v>5</v>
      </c>
      <c r="U7" s="1382">
        <f t="shared" ref="U7:U15" si="1">H7</f>
        <v>0</v>
      </c>
      <c r="V7" s="1381" t="s">
        <v>5</v>
      </c>
      <c r="W7" s="1382">
        <f t="shared" ref="W7:W15" si="2">J7</f>
        <v>0</v>
      </c>
      <c r="X7" s="1383"/>
      <c r="Y7" s="3855" t="s">
        <v>479</v>
      </c>
      <c r="Z7" s="3856"/>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64" t="s">
        <v>482</v>
      </c>
      <c r="Q8" s="3856"/>
      <c r="R8" s="1381" t="s">
        <v>5</v>
      </c>
      <c r="S8" s="1382">
        <f t="shared" si="0"/>
        <v>0</v>
      </c>
      <c r="T8" s="1381" t="s">
        <v>5</v>
      </c>
      <c r="U8" s="1382">
        <f t="shared" si="1"/>
        <v>0</v>
      </c>
      <c r="V8" s="1381" t="s">
        <v>5</v>
      </c>
      <c r="W8" s="1382">
        <f t="shared" si="2"/>
        <v>0</v>
      </c>
      <c r="X8" s="1383"/>
      <c r="Y8" s="3855" t="s">
        <v>482</v>
      </c>
      <c r="Z8" s="3856"/>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63" t="s">
        <v>484</v>
      </c>
      <c r="Q9" s="1050" t="str">
        <f t="shared" ref="Q9:Q15" si="6">B9</f>
        <v>用途</v>
      </c>
      <c r="R9" s="1381" t="s">
        <v>5</v>
      </c>
      <c r="S9" s="1382">
        <f t="shared" si="0"/>
        <v>100</v>
      </c>
      <c r="T9" s="1381" t="s">
        <v>5</v>
      </c>
      <c r="U9" s="1382">
        <f t="shared" si="1"/>
        <v>100</v>
      </c>
      <c r="V9" s="1381" t="s">
        <v>5</v>
      </c>
      <c r="W9" s="1382">
        <f t="shared" si="2"/>
        <v>100</v>
      </c>
      <c r="X9" s="1383"/>
      <c r="Y9" s="3811"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63"/>
      <c r="Q10" s="1050" t="str">
        <f t="shared" si="6"/>
        <v>土地使用年限（年）</v>
      </c>
      <c r="R10" s="1381" t="s">
        <v>5</v>
      </c>
      <c r="S10" s="1382">
        <f t="shared" si="0"/>
        <v>100</v>
      </c>
      <c r="T10" s="1381" t="s">
        <v>5</v>
      </c>
      <c r="U10" s="1382">
        <f t="shared" si="1"/>
        <v>100</v>
      </c>
      <c r="V10" s="1381" t="s">
        <v>5</v>
      </c>
      <c r="W10" s="1382">
        <f t="shared" si="2"/>
        <v>100</v>
      </c>
      <c r="X10" s="1383"/>
      <c r="Y10" s="381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63"/>
      <c r="Q11" s="1050" t="str">
        <f t="shared" si="6"/>
        <v>容积率</v>
      </c>
      <c r="R11" s="1381" t="s">
        <v>5</v>
      </c>
      <c r="S11" s="1382" t="e">
        <f t="shared" si="0"/>
        <v>#N/A</v>
      </c>
      <c r="T11" s="1381" t="s">
        <v>5</v>
      </c>
      <c r="U11" s="1382" t="e">
        <f t="shared" si="1"/>
        <v>#N/A</v>
      </c>
      <c r="V11" s="1381" t="s">
        <v>5</v>
      </c>
      <c r="W11" s="1382" t="e">
        <f t="shared" si="2"/>
        <v>#N/A</v>
      </c>
      <c r="X11" s="1383"/>
      <c r="Y11" s="381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63"/>
      <c r="Q12" s="1050">
        <f t="shared" si="6"/>
        <v>111</v>
      </c>
      <c r="R12" s="1381" t="s">
        <v>5</v>
      </c>
      <c r="S12" s="1382">
        <f t="shared" si="0"/>
        <v>100</v>
      </c>
      <c r="T12" s="1381" t="s">
        <v>5</v>
      </c>
      <c r="U12" s="1382">
        <f t="shared" si="1"/>
        <v>100</v>
      </c>
      <c r="V12" s="1381" t="s">
        <v>5</v>
      </c>
      <c r="W12" s="1382">
        <f t="shared" si="2"/>
        <v>100</v>
      </c>
      <c r="X12" s="1383"/>
      <c r="Y12" s="3811"/>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63"/>
      <c r="Q13" s="1050">
        <f t="shared" si="6"/>
        <v>111</v>
      </c>
      <c r="R13" s="1381" t="s">
        <v>5</v>
      </c>
      <c r="S13" s="1382">
        <f t="shared" si="0"/>
        <v>100</v>
      </c>
      <c r="T13" s="1381" t="s">
        <v>5</v>
      </c>
      <c r="U13" s="1382">
        <f t="shared" si="1"/>
        <v>100</v>
      </c>
      <c r="V13" s="1381" t="s">
        <v>5</v>
      </c>
      <c r="W13" s="1382">
        <f t="shared" si="2"/>
        <v>100</v>
      </c>
      <c r="X13" s="1383"/>
      <c r="Y13" s="3811"/>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63"/>
      <c r="Q14" s="1050">
        <f t="shared" si="6"/>
        <v>111</v>
      </c>
      <c r="R14" s="1381" t="s">
        <v>5</v>
      </c>
      <c r="S14" s="1382">
        <f t="shared" si="0"/>
        <v>100</v>
      </c>
      <c r="T14" s="1381" t="s">
        <v>5</v>
      </c>
      <c r="U14" s="1382">
        <f t="shared" si="1"/>
        <v>100</v>
      </c>
      <c r="V14" s="1381" t="s">
        <v>5</v>
      </c>
      <c r="W14" s="1382">
        <f t="shared" si="2"/>
        <v>100</v>
      </c>
      <c r="X14" s="1383"/>
      <c r="Y14" s="3811"/>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65" t="s">
        <v>489</v>
      </c>
      <c r="Q15" s="1385" t="str">
        <f t="shared" si="6"/>
        <v>办公集聚程度</v>
      </c>
      <c r="R15" s="1386" t="s">
        <v>5</v>
      </c>
      <c r="S15" s="1387">
        <f t="shared" si="0"/>
        <v>100</v>
      </c>
      <c r="T15" s="1386" t="s">
        <v>5</v>
      </c>
      <c r="U15" s="1387">
        <f t="shared" si="1"/>
        <v>100</v>
      </c>
      <c r="V15" s="1386" t="s">
        <v>5</v>
      </c>
      <c r="W15" s="1387">
        <f t="shared" si="2"/>
        <v>100</v>
      </c>
      <c r="X15" s="1380"/>
      <c r="Y15" s="3865"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66"/>
      <c r="Q16" s="1385"/>
      <c r="R16" s="1386"/>
      <c r="S16" s="1387"/>
      <c r="T16" s="1386"/>
      <c r="U16" s="1387"/>
      <c r="V16" s="1386"/>
      <c r="W16" s="1387"/>
      <c r="X16" s="1380"/>
      <c r="Y16" s="3866"/>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66"/>
      <c r="Q17" s="1385" t="str">
        <f>B17</f>
        <v>交通便捷度</v>
      </c>
      <c r="R17" s="1386" t="s">
        <v>5</v>
      </c>
      <c r="S17" s="1387">
        <f>F17</f>
        <v>100</v>
      </c>
      <c r="T17" s="1386" t="s">
        <v>5</v>
      </c>
      <c r="U17" s="1387">
        <f>H17</f>
        <v>100</v>
      </c>
      <c r="V17" s="1386" t="s">
        <v>5</v>
      </c>
      <c r="W17" s="1387">
        <f>J17</f>
        <v>100</v>
      </c>
      <c r="X17" s="1380"/>
      <c r="Y17" s="3866"/>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66"/>
      <c r="Q18" s="1385"/>
      <c r="R18" s="1386"/>
      <c r="S18" s="1387"/>
      <c r="T18" s="1386"/>
      <c r="U18" s="1387"/>
      <c r="V18" s="1386"/>
      <c r="W18" s="1387"/>
      <c r="X18" s="1380"/>
      <c r="Y18" s="3866"/>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66"/>
      <c r="Q19" s="1385" t="str">
        <f>B19</f>
        <v>公共配套设施</v>
      </c>
      <c r="R19" s="1386" t="s">
        <v>5</v>
      </c>
      <c r="S19" s="1387">
        <f>F19</f>
        <v>100</v>
      </c>
      <c r="T19" s="1386" t="s">
        <v>5</v>
      </c>
      <c r="U19" s="1387">
        <f>H19</f>
        <v>100</v>
      </c>
      <c r="V19" s="1386" t="s">
        <v>5</v>
      </c>
      <c r="W19" s="1387">
        <f>J19</f>
        <v>100</v>
      </c>
      <c r="X19" s="1380"/>
      <c r="Y19" s="3866"/>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66"/>
      <c r="Q20" s="1385"/>
      <c r="R20" s="1386"/>
      <c r="S20" s="1387"/>
      <c r="T20" s="1386"/>
      <c r="U20" s="1387"/>
      <c r="V20" s="1386"/>
      <c r="W20" s="1387"/>
      <c r="X20" s="1380"/>
      <c r="Y20" s="3866"/>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66"/>
      <c r="Q21" s="2193" t="str">
        <f>B21</f>
        <v>基础设施水平</v>
      </c>
      <c r="R21" s="1386" t="s">
        <v>5</v>
      </c>
      <c r="S21" s="1387">
        <f>F21</f>
        <v>100</v>
      </c>
      <c r="T21" s="1386" t="s">
        <v>5</v>
      </c>
      <c r="U21" s="1387">
        <f>H21</f>
        <v>100</v>
      </c>
      <c r="V21" s="1386" t="s">
        <v>5</v>
      </c>
      <c r="W21" s="1387">
        <f>J21</f>
        <v>100</v>
      </c>
      <c r="X21" s="2195"/>
      <c r="Y21" s="3866"/>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66"/>
      <c r="Q22" s="2193"/>
      <c r="R22" s="1386"/>
      <c r="S22" s="1387"/>
      <c r="T22" s="1386"/>
      <c r="U22" s="1387"/>
      <c r="V22" s="1386"/>
      <c r="W22" s="1387"/>
      <c r="X22" s="2195"/>
      <c r="Y22" s="3866"/>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66"/>
      <c r="Q23" s="1385" t="str">
        <f>B23</f>
        <v>环境质量</v>
      </c>
      <c r="R23" s="1386" t="s">
        <v>5</v>
      </c>
      <c r="S23" s="1387">
        <f>F23</f>
        <v>100</v>
      </c>
      <c r="T23" s="1386" t="s">
        <v>5</v>
      </c>
      <c r="U23" s="1387">
        <f>H23</f>
        <v>100</v>
      </c>
      <c r="V23" s="1386" t="s">
        <v>5</v>
      </c>
      <c r="W23" s="1387">
        <f>J23</f>
        <v>100</v>
      </c>
      <c r="X23" s="1380"/>
      <c r="Y23" s="3866"/>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66"/>
      <c r="Q24" s="1385"/>
      <c r="R24" s="1386"/>
      <c r="S24" s="1387"/>
      <c r="T24" s="1386"/>
      <c r="U24" s="1387"/>
      <c r="V24" s="1386"/>
      <c r="W24" s="1387"/>
      <c r="X24" s="1380"/>
      <c r="Y24" s="3866"/>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66"/>
      <c r="Q25" s="1385" t="str">
        <f>B25</f>
        <v>毗邻道路的类型与等级</v>
      </c>
      <c r="R25" s="1386" t="s">
        <v>5</v>
      </c>
      <c r="S25" s="1387">
        <f>F25</f>
        <v>100</v>
      </c>
      <c r="T25" s="1386" t="s">
        <v>5</v>
      </c>
      <c r="U25" s="1387">
        <f>H25</f>
        <v>100</v>
      </c>
      <c r="V25" s="1386" t="s">
        <v>5</v>
      </c>
      <c r="W25" s="1387">
        <f>J25</f>
        <v>100</v>
      </c>
      <c r="X25" s="1380"/>
      <c r="Y25" s="3866"/>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66"/>
      <c r="Q26" s="1385"/>
      <c r="R26" s="1386"/>
      <c r="S26" s="1387"/>
      <c r="T26" s="1386"/>
      <c r="U26" s="1387"/>
      <c r="V26" s="1386"/>
      <c r="W26" s="1387"/>
      <c r="X26" s="1380"/>
      <c r="Y26" s="3866"/>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66"/>
      <c r="Q27" s="1385" t="str">
        <f t="shared" ref="Q27:Q47" si="8">B27</f>
        <v>楼层</v>
      </c>
      <c r="R27" s="1386" t="s">
        <v>5</v>
      </c>
      <c r="S27" s="1387">
        <f>F27</f>
        <v>100</v>
      </c>
      <c r="T27" s="1386" t="s">
        <v>5</v>
      </c>
      <c r="U27" s="1387">
        <f>H27</f>
        <v>100</v>
      </c>
      <c r="V27" s="1386" t="s">
        <v>5</v>
      </c>
      <c r="W27" s="1387">
        <f>J27</f>
        <v>100</v>
      </c>
      <c r="X27" s="1380"/>
      <c r="Y27" s="3866"/>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66"/>
      <c r="Q28" s="1050" t="str">
        <f t="shared" si="8"/>
        <v>朝向</v>
      </c>
      <c r="R28" s="1381" t="s">
        <v>5</v>
      </c>
      <c r="S28" s="1382">
        <f>F28</f>
        <v>100</v>
      </c>
      <c r="T28" s="1381" t="s">
        <v>5</v>
      </c>
      <c r="U28" s="1382">
        <f>H28</f>
        <v>100</v>
      </c>
      <c r="V28" s="1381" t="s">
        <v>5</v>
      </c>
      <c r="W28" s="1382">
        <f>J28</f>
        <v>100</v>
      </c>
      <c r="X28" s="1383"/>
      <c r="Y28" s="3866"/>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66"/>
      <c r="Q29" s="1385">
        <f t="shared" si="8"/>
        <v>111</v>
      </c>
      <c r="R29" s="1386" t="s">
        <v>5</v>
      </c>
      <c r="S29" s="1387">
        <f t="shared" ref="S29:S47" si="9">F29</f>
        <v>100</v>
      </c>
      <c r="T29" s="1386" t="s">
        <v>5</v>
      </c>
      <c r="U29" s="1387">
        <f t="shared" ref="U29:U47" si="10">H29</f>
        <v>100</v>
      </c>
      <c r="V29" s="1386" t="s">
        <v>5</v>
      </c>
      <c r="W29" s="1387">
        <f t="shared" ref="W29:W47" si="11">J29</f>
        <v>100</v>
      </c>
      <c r="X29" s="1380"/>
      <c r="Y29" s="3866"/>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66"/>
      <c r="Q30" s="1385">
        <f t="shared" si="8"/>
        <v>111</v>
      </c>
      <c r="R30" s="1386" t="s">
        <v>5</v>
      </c>
      <c r="S30" s="1387">
        <f t="shared" si="9"/>
        <v>100</v>
      </c>
      <c r="T30" s="1386" t="s">
        <v>5</v>
      </c>
      <c r="U30" s="1387">
        <f t="shared" si="10"/>
        <v>100</v>
      </c>
      <c r="V30" s="1386" t="s">
        <v>5</v>
      </c>
      <c r="W30" s="1387">
        <f t="shared" si="11"/>
        <v>100</v>
      </c>
      <c r="X30" s="1380"/>
      <c r="Y30" s="3866"/>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66"/>
      <c r="Q31" s="1385">
        <f t="shared" si="8"/>
        <v>111</v>
      </c>
      <c r="R31" s="1386" t="s">
        <v>5</v>
      </c>
      <c r="S31" s="1387">
        <f t="shared" si="9"/>
        <v>100</v>
      </c>
      <c r="T31" s="1386" t="s">
        <v>5</v>
      </c>
      <c r="U31" s="1387">
        <f t="shared" si="10"/>
        <v>100</v>
      </c>
      <c r="V31" s="1386" t="s">
        <v>5</v>
      </c>
      <c r="W31" s="1387">
        <f t="shared" si="11"/>
        <v>100</v>
      </c>
      <c r="X31" s="1380"/>
      <c r="Y31" s="3866"/>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66"/>
      <c r="Q32" s="1385">
        <f t="shared" si="8"/>
        <v>111</v>
      </c>
      <c r="R32" s="1386" t="s">
        <v>5</v>
      </c>
      <c r="S32" s="1387">
        <f t="shared" si="9"/>
        <v>100</v>
      </c>
      <c r="T32" s="1386" t="s">
        <v>5</v>
      </c>
      <c r="U32" s="1387">
        <f t="shared" si="10"/>
        <v>100</v>
      </c>
      <c r="V32" s="1386" t="s">
        <v>5</v>
      </c>
      <c r="W32" s="1387">
        <f t="shared" si="11"/>
        <v>100</v>
      </c>
      <c r="X32" s="1380"/>
      <c r="Y32" s="3866"/>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67" t="s">
        <v>499</v>
      </c>
      <c r="Q33" s="1385" t="str">
        <f t="shared" si="8"/>
        <v>建筑类型</v>
      </c>
      <c r="R33" s="1386" t="s">
        <v>5</v>
      </c>
      <c r="S33" s="1387">
        <f t="shared" si="9"/>
        <v>100</v>
      </c>
      <c r="T33" s="1386" t="s">
        <v>5</v>
      </c>
      <c r="U33" s="1387">
        <f t="shared" si="10"/>
        <v>100</v>
      </c>
      <c r="V33" s="1386" t="s">
        <v>5</v>
      </c>
      <c r="W33" s="1387">
        <f t="shared" si="11"/>
        <v>100</v>
      </c>
      <c r="X33" s="1380"/>
      <c r="Y33" s="3868"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68"/>
      <c r="Q34" s="1414" t="str">
        <f t="shared" si="8"/>
        <v>项目建筑规模</v>
      </c>
      <c r="R34" s="1390" t="s">
        <v>5</v>
      </c>
      <c r="S34" s="1391" t="e">
        <f t="shared" si="9"/>
        <v>#N/A</v>
      </c>
      <c r="T34" s="1390" t="s">
        <v>5</v>
      </c>
      <c r="U34" s="1391" t="e">
        <f t="shared" si="10"/>
        <v>#N/A</v>
      </c>
      <c r="V34" s="1390" t="s">
        <v>5</v>
      </c>
      <c r="W34" s="1391" t="e">
        <f t="shared" si="11"/>
        <v>#N/A</v>
      </c>
      <c r="X34" s="1392"/>
      <c r="Y34" s="3868"/>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68"/>
      <c r="Q35" s="1385" t="str">
        <f t="shared" si="8"/>
        <v>建筑结构</v>
      </c>
      <c r="R35" s="1386" t="s">
        <v>5</v>
      </c>
      <c r="S35" s="1387">
        <f t="shared" si="9"/>
        <v>100</v>
      </c>
      <c r="T35" s="1386" t="s">
        <v>5</v>
      </c>
      <c r="U35" s="1387">
        <f t="shared" si="10"/>
        <v>100</v>
      </c>
      <c r="V35" s="1386" t="s">
        <v>5</v>
      </c>
      <c r="W35" s="1387">
        <f t="shared" si="11"/>
        <v>100</v>
      </c>
      <c r="X35" s="1380"/>
      <c r="Y35" s="3868"/>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68"/>
      <c r="Q36" s="1385" t="str">
        <f t="shared" si="8"/>
        <v>公共部分装修</v>
      </c>
      <c r="R36" s="1386" t="s">
        <v>5</v>
      </c>
      <c r="S36" s="1387">
        <f t="shared" si="9"/>
        <v>100</v>
      </c>
      <c r="T36" s="1386" t="s">
        <v>5</v>
      </c>
      <c r="U36" s="1387">
        <f t="shared" si="10"/>
        <v>100</v>
      </c>
      <c r="V36" s="1386" t="s">
        <v>5</v>
      </c>
      <c r="W36" s="1387">
        <f t="shared" si="11"/>
        <v>100</v>
      </c>
      <c r="X36" s="1380"/>
      <c r="Y36" s="3868"/>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68"/>
      <c r="Q37" s="1385" t="str">
        <f t="shared" si="8"/>
        <v>成新度</v>
      </c>
      <c r="R37" s="1386" t="s">
        <v>5</v>
      </c>
      <c r="S37" s="1387" t="e">
        <f t="shared" si="9"/>
        <v>#N/A</v>
      </c>
      <c r="T37" s="1386" t="s">
        <v>5</v>
      </c>
      <c r="U37" s="1387" t="e">
        <f t="shared" si="10"/>
        <v>#N/A</v>
      </c>
      <c r="V37" s="1386" t="s">
        <v>5</v>
      </c>
      <c r="W37" s="1387" t="e">
        <f t="shared" si="11"/>
        <v>#N/A</v>
      </c>
      <c r="X37" s="1380"/>
      <c r="Y37" s="3868"/>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68"/>
      <c r="Q38" s="1050" t="str">
        <f t="shared" si="8"/>
        <v>写字楼等级</v>
      </c>
      <c r="R38" s="1381" t="s">
        <v>5</v>
      </c>
      <c r="S38" s="1382">
        <f t="shared" si="9"/>
        <v>100</v>
      </c>
      <c r="T38" s="1381" t="s">
        <v>5</v>
      </c>
      <c r="U38" s="1382">
        <f t="shared" si="10"/>
        <v>100</v>
      </c>
      <c r="V38" s="1381" t="s">
        <v>5</v>
      </c>
      <c r="W38" s="1382">
        <f t="shared" si="11"/>
        <v>100</v>
      </c>
      <c r="X38" s="1383"/>
      <c r="Y38" s="3868"/>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68" t="s">
        <v>499</v>
      </c>
      <c r="Q39" s="1385" t="str">
        <f t="shared" si="8"/>
        <v>物业管理</v>
      </c>
      <c r="R39" s="1386" t="s">
        <v>5</v>
      </c>
      <c r="S39" s="1387">
        <f t="shared" si="9"/>
        <v>100</v>
      </c>
      <c r="T39" s="1386" t="s">
        <v>5</v>
      </c>
      <c r="U39" s="1387">
        <f t="shared" si="10"/>
        <v>100</v>
      </c>
      <c r="V39" s="1386" t="s">
        <v>5</v>
      </c>
      <c r="W39" s="1387">
        <f t="shared" si="11"/>
        <v>100</v>
      </c>
      <c r="X39" s="1380"/>
      <c r="Y39" s="3868"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68"/>
      <c r="Q40" s="1385" t="str">
        <f t="shared" si="8"/>
        <v>市政基础设施</v>
      </c>
      <c r="R40" s="1386" t="s">
        <v>5</v>
      </c>
      <c r="S40" s="1387">
        <f t="shared" si="9"/>
        <v>100</v>
      </c>
      <c r="T40" s="1386" t="s">
        <v>5</v>
      </c>
      <c r="U40" s="1387">
        <f t="shared" si="10"/>
        <v>100</v>
      </c>
      <c r="V40" s="1386" t="s">
        <v>5</v>
      </c>
      <c r="W40" s="1387">
        <f t="shared" si="11"/>
        <v>100</v>
      </c>
      <c r="X40" s="1380"/>
      <c r="Y40" s="3868"/>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68"/>
      <c r="Q41" s="1385" t="str">
        <f t="shared" si="8"/>
        <v>层高</v>
      </c>
      <c r="R41" s="1386" t="s">
        <v>5</v>
      </c>
      <c r="S41" s="1387">
        <f t="shared" si="9"/>
        <v>100</v>
      </c>
      <c r="T41" s="1386" t="s">
        <v>5</v>
      </c>
      <c r="U41" s="1387">
        <f t="shared" si="10"/>
        <v>100</v>
      </c>
      <c r="V41" s="1386" t="s">
        <v>5</v>
      </c>
      <c r="W41" s="1387">
        <f t="shared" si="11"/>
        <v>100</v>
      </c>
      <c r="X41" s="1380"/>
      <c r="Y41" s="3868"/>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68"/>
      <c r="Q42" s="1414" t="str">
        <f t="shared" si="8"/>
        <v>单套建筑面积</v>
      </c>
      <c r="R42" s="1390" t="s">
        <v>5</v>
      </c>
      <c r="S42" s="1391">
        <f t="shared" si="9"/>
        <v>100</v>
      </c>
      <c r="T42" s="1390" t="s">
        <v>5</v>
      </c>
      <c r="U42" s="1391">
        <f t="shared" si="10"/>
        <v>100</v>
      </c>
      <c r="V42" s="1390" t="s">
        <v>5</v>
      </c>
      <c r="W42" s="1391">
        <f t="shared" si="11"/>
        <v>100</v>
      </c>
      <c r="X42" s="1392"/>
      <c r="Y42" s="3868"/>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68"/>
      <c r="Q43" s="1385" t="str">
        <f t="shared" si="8"/>
        <v>内部装修</v>
      </c>
      <c r="R43" s="1386" t="s">
        <v>5</v>
      </c>
      <c r="S43" s="1387">
        <f t="shared" si="9"/>
        <v>100</v>
      </c>
      <c r="T43" s="1386" t="s">
        <v>5</v>
      </c>
      <c r="U43" s="1387">
        <f t="shared" si="10"/>
        <v>100</v>
      </c>
      <c r="V43" s="1386" t="s">
        <v>5</v>
      </c>
      <c r="W43" s="1387">
        <f t="shared" si="11"/>
        <v>100</v>
      </c>
      <c r="X43" s="1380"/>
      <c r="Y43" s="3868"/>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68"/>
      <c r="Q44" s="1385" t="str">
        <f t="shared" si="8"/>
        <v>内部装修维护情况</v>
      </c>
      <c r="R44" s="1386" t="s">
        <v>5</v>
      </c>
      <c r="S44" s="1387">
        <f t="shared" si="9"/>
        <v>100</v>
      </c>
      <c r="T44" s="1386" t="s">
        <v>5</v>
      </c>
      <c r="U44" s="1387">
        <f t="shared" si="10"/>
        <v>100</v>
      </c>
      <c r="V44" s="1386" t="s">
        <v>5</v>
      </c>
      <c r="W44" s="1387">
        <f t="shared" si="11"/>
        <v>100</v>
      </c>
      <c r="X44" s="1380"/>
      <c r="Y44" s="3868"/>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68"/>
      <c r="Q45" s="1050">
        <f t="shared" si="8"/>
        <v>111</v>
      </c>
      <c r="R45" s="1381" t="s">
        <v>5</v>
      </c>
      <c r="S45" s="1382">
        <f t="shared" si="9"/>
        <v>100</v>
      </c>
      <c r="T45" s="1381" t="s">
        <v>5</v>
      </c>
      <c r="U45" s="1382">
        <f t="shared" si="10"/>
        <v>100</v>
      </c>
      <c r="V45" s="1381" t="s">
        <v>5</v>
      </c>
      <c r="W45" s="1382">
        <f t="shared" si="11"/>
        <v>100</v>
      </c>
      <c r="X45" s="1383"/>
      <c r="Y45" s="3868"/>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68"/>
      <c r="Q46" s="1385">
        <f t="shared" si="8"/>
        <v>111</v>
      </c>
      <c r="R46" s="1386" t="s">
        <v>5</v>
      </c>
      <c r="S46" s="1387">
        <f t="shared" si="9"/>
        <v>100</v>
      </c>
      <c r="T46" s="1386" t="s">
        <v>5</v>
      </c>
      <c r="U46" s="1387">
        <f t="shared" si="10"/>
        <v>100</v>
      </c>
      <c r="V46" s="1386" t="s">
        <v>5</v>
      </c>
      <c r="W46" s="1387">
        <f t="shared" si="11"/>
        <v>100</v>
      </c>
      <c r="X46" s="1380"/>
      <c r="Y46" s="3868"/>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78"/>
      <c r="Q47" s="1385">
        <f t="shared" si="8"/>
        <v>111</v>
      </c>
      <c r="R47" s="1386" t="s">
        <v>5</v>
      </c>
      <c r="S47" s="1387">
        <f t="shared" si="9"/>
        <v>100</v>
      </c>
      <c r="T47" s="1386" t="s">
        <v>5</v>
      </c>
      <c r="U47" s="1387">
        <f t="shared" si="10"/>
        <v>100</v>
      </c>
      <c r="V47" s="1386" t="s">
        <v>5</v>
      </c>
      <c r="W47" s="1387">
        <f t="shared" si="11"/>
        <v>100</v>
      </c>
      <c r="X47" s="1380"/>
      <c r="Y47" s="3978"/>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70" t="str">
        <f>A48</f>
        <v>成交单价（元/平方米）</v>
      </c>
      <c r="Q48" s="3863"/>
      <c r="R48" s="3977">
        <f>E48</f>
        <v>0</v>
      </c>
      <c r="S48" s="3977"/>
      <c r="T48" s="3977">
        <f>G48</f>
        <v>0</v>
      </c>
      <c r="U48" s="3977"/>
      <c r="V48" s="3977">
        <f>I48</f>
        <v>0</v>
      </c>
      <c r="W48" s="3977"/>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70" t="str">
        <f>A49</f>
        <v>比较价格（元/平方米）</v>
      </c>
      <c r="Q49" s="3863"/>
      <c r="R49" s="3977" t="e">
        <f>IF(F1="售价",ROUND(PRODUCT(R48,AA7:AA47),0),ROUND(PRODUCT(R48,AA7:AA47),1))</f>
        <v>#DIV/0!</v>
      </c>
      <c r="S49" s="3977"/>
      <c r="T49" s="3977" t="e">
        <f>IF(F1="售价",ROUND(PRODUCT(T48,AB7:AB47),0),ROUND(PRODUCT(T48,AB7:AB47),1))</f>
        <v>#DIV/0!</v>
      </c>
      <c r="U49" s="3977"/>
      <c r="V49" s="3977" t="e">
        <f>IF(F1="售价",ROUND(PRODUCT(V48,AC7:AC47),0),ROUND(PRODUCT(V48,AC7:AC47),1))</f>
        <v>#DIV/0!</v>
      </c>
      <c r="W49" s="3977"/>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82" t="str">
        <f>A50</f>
        <v>估价对象XX用房的比较价格（楼面单价，元/平方米）</v>
      </c>
      <c r="Q50" s="3870"/>
      <c r="R50" s="3976" t="e">
        <f>IF(F1="售价",ROUND(IF(D49="简单平均",AVERAGE(R49:V49),R49*F49+T49*H49+V49*J49),0),ROUND(IF(D49="简单平均",AVERAGE(R49:V49),R49*F49+T49*H49+V49*J49),1))</f>
        <v>#DIV/0!</v>
      </c>
      <c r="S50" s="3976"/>
      <c r="T50" s="3976"/>
      <c r="U50" s="3976"/>
      <c r="V50" s="3976"/>
      <c r="W50" s="3976"/>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2023-4</v>
      </c>
      <c r="D59" s="2284">
        <f>EDATE(C59,-1)</f>
        <v>44986</v>
      </c>
      <c r="E59" s="2284">
        <f t="shared" ref="E59:O59" si="13">EDATE(D59,-1)</f>
        <v>44958</v>
      </c>
      <c r="F59" s="2284">
        <f t="shared" si="13"/>
        <v>44927</v>
      </c>
      <c r="G59" s="2284">
        <f t="shared" si="13"/>
        <v>44896</v>
      </c>
      <c r="H59" s="2284">
        <f t="shared" si="13"/>
        <v>44866</v>
      </c>
      <c r="I59" s="2284">
        <f t="shared" si="13"/>
        <v>44835</v>
      </c>
      <c r="J59" s="2284">
        <f t="shared" si="13"/>
        <v>44805</v>
      </c>
      <c r="K59" s="2284">
        <f t="shared" si="13"/>
        <v>44774</v>
      </c>
      <c r="L59" s="2284">
        <f t="shared" si="13"/>
        <v>44743</v>
      </c>
      <c r="M59" s="2284">
        <f t="shared" si="13"/>
        <v>44713</v>
      </c>
      <c r="N59" s="2284">
        <f t="shared" si="13"/>
        <v>44682</v>
      </c>
      <c r="O59" s="2284">
        <f t="shared" si="13"/>
        <v>44652</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71" t="s">
        <v>471</v>
      </c>
      <c r="D4" s="3872"/>
      <c r="E4" s="3893" t="s">
        <v>472</v>
      </c>
      <c r="F4" s="3894"/>
      <c r="G4" s="3871" t="s">
        <v>473</v>
      </c>
      <c r="H4" s="3872"/>
      <c r="I4" s="3871" t="s">
        <v>474</v>
      </c>
      <c r="J4" s="3872"/>
      <c r="K4" s="484" t="s">
        <v>475</v>
      </c>
      <c r="L4" s="1856"/>
      <c r="M4" s="1857"/>
      <c r="N4" s="1857"/>
      <c r="O4" s="1857"/>
      <c r="P4" s="3873" t="s">
        <v>476</v>
      </c>
      <c r="Q4" s="3874"/>
      <c r="R4" s="3857" t="s">
        <v>472</v>
      </c>
      <c r="S4" s="3858"/>
      <c r="T4" s="3857" t="s">
        <v>473</v>
      </c>
      <c r="U4" s="3858"/>
      <c r="V4" s="3879" t="s">
        <v>474</v>
      </c>
      <c r="W4" s="3879"/>
      <c r="X4" s="1380"/>
      <c r="Y4" s="3857" t="s">
        <v>476</v>
      </c>
      <c r="Z4" s="3858"/>
      <c r="AA4" s="3852" t="s">
        <v>472</v>
      </c>
      <c r="AB4" s="3853" t="s">
        <v>473</v>
      </c>
      <c r="AC4" s="3852" t="s">
        <v>474</v>
      </c>
    </row>
    <row r="5" spans="1:29" ht="15">
      <c r="A5" s="485"/>
      <c r="B5" s="486"/>
      <c r="C5" s="3882" t="s">
        <v>2192</v>
      </c>
      <c r="D5" s="3883"/>
      <c r="E5" s="3895" t="s">
        <v>2193</v>
      </c>
      <c r="F5" s="3896"/>
      <c r="G5" s="3882" t="s">
        <v>2194</v>
      </c>
      <c r="H5" s="3883"/>
      <c r="I5" s="3882" t="s">
        <v>2195</v>
      </c>
      <c r="J5" s="3883"/>
      <c r="K5" s="484"/>
      <c r="L5" s="1856"/>
      <c r="M5" s="1857"/>
      <c r="N5" s="1857"/>
      <c r="O5" s="1857"/>
      <c r="P5" s="3875"/>
      <c r="Q5" s="3876"/>
      <c r="R5" s="3859"/>
      <c r="S5" s="3860"/>
      <c r="T5" s="3859"/>
      <c r="U5" s="3860"/>
      <c r="V5" s="3879"/>
      <c r="W5" s="3879"/>
      <c r="X5" s="1380"/>
      <c r="Y5" s="3859"/>
      <c r="Z5" s="3860"/>
      <c r="AA5" s="3853"/>
      <c r="AB5" s="3853"/>
      <c r="AC5" s="3853"/>
    </row>
    <row r="6" spans="1:29" ht="15.75" thickBot="1">
      <c r="A6" s="487"/>
      <c r="B6" s="488"/>
      <c r="C6" s="3880" t="s">
        <v>2196</v>
      </c>
      <c r="D6" s="3881"/>
      <c r="E6" s="3897" t="s">
        <v>2196</v>
      </c>
      <c r="F6" s="3898"/>
      <c r="G6" s="3880" t="s">
        <v>2196</v>
      </c>
      <c r="H6" s="3881"/>
      <c r="I6" s="3880" t="s">
        <v>2196</v>
      </c>
      <c r="J6" s="3881"/>
      <c r="K6" s="484" t="s">
        <v>477</v>
      </c>
      <c r="L6" s="1856"/>
      <c r="M6" s="1857"/>
      <c r="N6" s="1857"/>
      <c r="O6" s="1857"/>
      <c r="P6" s="3877"/>
      <c r="Q6" s="3878"/>
      <c r="R6" s="3859"/>
      <c r="S6" s="3860"/>
      <c r="T6" s="3861"/>
      <c r="U6" s="3862"/>
      <c r="V6" s="3879"/>
      <c r="W6" s="3879"/>
      <c r="X6" s="1380"/>
      <c r="Y6" s="3861"/>
      <c r="Z6" s="3862"/>
      <c r="AA6" s="3854"/>
      <c r="AB6" s="3854"/>
      <c r="AC6" s="3854"/>
    </row>
    <row r="7" spans="1:29" s="1118" customFormat="1" ht="15.75" thickBot="1">
      <c r="A7" s="2392"/>
      <c r="B7" s="2399" t="s">
        <v>478</v>
      </c>
      <c r="C7" s="489">
        <f>'数据-取费表'!B2</f>
        <v>45028</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55" t="s">
        <v>479</v>
      </c>
      <c r="Q7" s="3864"/>
      <c r="R7" s="1381" t="s">
        <v>5</v>
      </c>
      <c r="S7" s="1382">
        <f t="shared" ref="S7:S15" si="0">F7</f>
        <v>0</v>
      </c>
      <c r="T7" s="1381" t="s">
        <v>5</v>
      </c>
      <c r="U7" s="1382">
        <f t="shared" ref="U7:U15" si="1">H7</f>
        <v>0</v>
      </c>
      <c r="V7" s="1381" t="s">
        <v>5</v>
      </c>
      <c r="W7" s="1382">
        <f t="shared" ref="W7:W15" si="2">J7</f>
        <v>0</v>
      </c>
      <c r="X7" s="1383"/>
      <c r="Y7" s="3855" t="s">
        <v>479</v>
      </c>
      <c r="Z7" s="3856"/>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55" t="s">
        <v>482</v>
      </c>
      <c r="Q8" s="3856"/>
      <c r="R8" s="1381" t="s">
        <v>5</v>
      </c>
      <c r="S8" s="1382">
        <f t="shared" si="0"/>
        <v>0</v>
      </c>
      <c r="T8" s="1381" t="s">
        <v>5</v>
      </c>
      <c r="U8" s="1382">
        <f t="shared" si="1"/>
        <v>0</v>
      </c>
      <c r="V8" s="1381" t="s">
        <v>5</v>
      </c>
      <c r="W8" s="1382">
        <f t="shared" si="2"/>
        <v>0</v>
      </c>
      <c r="X8" s="1383"/>
      <c r="Y8" s="3855" t="s">
        <v>482</v>
      </c>
      <c r="Z8" s="3856"/>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63" t="s">
        <v>484</v>
      </c>
      <c r="Q9" s="1050" t="str">
        <f t="shared" ref="Q9:Q15" si="6">B9</f>
        <v>用途</v>
      </c>
      <c r="R9" s="1381" t="s">
        <v>5</v>
      </c>
      <c r="S9" s="1382">
        <f t="shared" si="0"/>
        <v>100</v>
      </c>
      <c r="T9" s="1381" t="s">
        <v>5</v>
      </c>
      <c r="U9" s="1382">
        <f t="shared" si="1"/>
        <v>100</v>
      </c>
      <c r="V9" s="1381" t="s">
        <v>5</v>
      </c>
      <c r="W9" s="1382">
        <f t="shared" si="2"/>
        <v>100</v>
      </c>
      <c r="X9" s="1383"/>
      <c r="Y9" s="3811"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63"/>
      <c r="Q10" s="1050" t="str">
        <f t="shared" si="6"/>
        <v>土地使用年限（年）</v>
      </c>
      <c r="R10" s="1381" t="s">
        <v>5</v>
      </c>
      <c r="S10" s="1382">
        <f t="shared" si="0"/>
        <v>100</v>
      </c>
      <c r="T10" s="1381" t="s">
        <v>5</v>
      </c>
      <c r="U10" s="1382">
        <f t="shared" si="1"/>
        <v>100</v>
      </c>
      <c r="V10" s="1381" t="s">
        <v>5</v>
      </c>
      <c r="W10" s="1382">
        <f t="shared" si="2"/>
        <v>100</v>
      </c>
      <c r="X10" s="1383"/>
      <c r="Y10" s="381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63"/>
      <c r="Q11" s="1050" t="str">
        <f t="shared" si="6"/>
        <v>容积率</v>
      </c>
      <c r="R11" s="1381" t="s">
        <v>5</v>
      </c>
      <c r="S11" s="1382" t="e">
        <f t="shared" si="0"/>
        <v>#N/A</v>
      </c>
      <c r="T11" s="1381" t="s">
        <v>5</v>
      </c>
      <c r="U11" s="1382" t="e">
        <f t="shared" si="1"/>
        <v>#N/A</v>
      </c>
      <c r="V11" s="1381" t="s">
        <v>5</v>
      </c>
      <c r="W11" s="1382" t="e">
        <f t="shared" si="2"/>
        <v>#N/A</v>
      </c>
      <c r="X11" s="1383"/>
      <c r="Y11" s="381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63"/>
      <c r="Q12" s="1050">
        <f t="shared" si="6"/>
        <v>111</v>
      </c>
      <c r="R12" s="1381" t="s">
        <v>5</v>
      </c>
      <c r="S12" s="1382">
        <f t="shared" si="0"/>
        <v>100</v>
      </c>
      <c r="T12" s="1381" t="s">
        <v>5</v>
      </c>
      <c r="U12" s="1382">
        <f t="shared" si="1"/>
        <v>100</v>
      </c>
      <c r="V12" s="1381" t="s">
        <v>5</v>
      </c>
      <c r="W12" s="1382">
        <f t="shared" si="2"/>
        <v>100</v>
      </c>
      <c r="X12" s="1383"/>
      <c r="Y12" s="3811"/>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63"/>
      <c r="Q13" s="1050">
        <f t="shared" si="6"/>
        <v>111</v>
      </c>
      <c r="R13" s="1381" t="s">
        <v>5</v>
      </c>
      <c r="S13" s="1382">
        <f t="shared" si="0"/>
        <v>100</v>
      </c>
      <c r="T13" s="1381" t="s">
        <v>5</v>
      </c>
      <c r="U13" s="1382">
        <f t="shared" si="1"/>
        <v>100</v>
      </c>
      <c r="V13" s="1381" t="s">
        <v>5</v>
      </c>
      <c r="W13" s="1382">
        <f t="shared" si="2"/>
        <v>100</v>
      </c>
      <c r="X13" s="1383"/>
      <c r="Y13" s="3811"/>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63"/>
      <c r="Q14" s="1050">
        <f t="shared" si="6"/>
        <v>111</v>
      </c>
      <c r="R14" s="1381" t="s">
        <v>5</v>
      </c>
      <c r="S14" s="1382">
        <f t="shared" si="0"/>
        <v>100</v>
      </c>
      <c r="T14" s="1381" t="s">
        <v>5</v>
      </c>
      <c r="U14" s="1382">
        <f t="shared" si="1"/>
        <v>100</v>
      </c>
      <c r="V14" s="1381" t="s">
        <v>5</v>
      </c>
      <c r="W14" s="1382">
        <f t="shared" si="2"/>
        <v>100</v>
      </c>
      <c r="X14" s="1383"/>
      <c r="Y14" s="3811"/>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65" t="s">
        <v>489</v>
      </c>
      <c r="Q15" s="1385" t="str">
        <f t="shared" si="6"/>
        <v>产业集聚程度</v>
      </c>
      <c r="R15" s="1386" t="s">
        <v>5</v>
      </c>
      <c r="S15" s="1387">
        <f t="shared" si="0"/>
        <v>100</v>
      </c>
      <c r="T15" s="1386" t="s">
        <v>5</v>
      </c>
      <c r="U15" s="1387">
        <f t="shared" si="1"/>
        <v>100</v>
      </c>
      <c r="V15" s="1386" t="s">
        <v>5</v>
      </c>
      <c r="W15" s="1387">
        <f t="shared" si="2"/>
        <v>100</v>
      </c>
      <c r="X15" s="1380"/>
      <c r="Y15" s="3865"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66"/>
      <c r="Q16" s="1385"/>
      <c r="R16" s="1386"/>
      <c r="S16" s="1387"/>
      <c r="T16" s="1386"/>
      <c r="U16" s="1387"/>
      <c r="V16" s="1386"/>
      <c r="W16" s="1387"/>
      <c r="X16" s="1380"/>
      <c r="Y16" s="3866"/>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66"/>
      <c r="Q17" s="1385" t="str">
        <f>B17</f>
        <v>交通便捷度</v>
      </c>
      <c r="R17" s="1386" t="s">
        <v>5</v>
      </c>
      <c r="S17" s="1387">
        <f>F17</f>
        <v>100</v>
      </c>
      <c r="T17" s="1386" t="s">
        <v>5</v>
      </c>
      <c r="U17" s="1387">
        <f>H17</f>
        <v>100</v>
      </c>
      <c r="V17" s="1386" t="s">
        <v>5</v>
      </c>
      <c r="W17" s="1387">
        <f>J17</f>
        <v>100</v>
      </c>
      <c r="X17" s="1380"/>
      <c r="Y17" s="386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66"/>
      <c r="Q18" s="1385"/>
      <c r="R18" s="1386"/>
      <c r="S18" s="1387"/>
      <c r="T18" s="1386"/>
      <c r="U18" s="1387"/>
      <c r="V18" s="1386"/>
      <c r="W18" s="1387"/>
      <c r="X18" s="1380"/>
      <c r="Y18" s="3866"/>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66"/>
      <c r="Q19" s="1385" t="str">
        <f>B19</f>
        <v>公共配套设施</v>
      </c>
      <c r="R19" s="1386" t="s">
        <v>5</v>
      </c>
      <c r="S19" s="1387">
        <f>F19</f>
        <v>100</v>
      </c>
      <c r="T19" s="1386" t="s">
        <v>5</v>
      </c>
      <c r="U19" s="1387">
        <f>H19</f>
        <v>100</v>
      </c>
      <c r="V19" s="1386" t="s">
        <v>5</v>
      </c>
      <c r="W19" s="1387">
        <f>J19</f>
        <v>100</v>
      </c>
      <c r="X19" s="1380"/>
      <c r="Y19" s="3866"/>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66"/>
      <c r="Q20" s="1385"/>
      <c r="R20" s="1386"/>
      <c r="S20" s="1387"/>
      <c r="T20" s="1386"/>
      <c r="U20" s="1387"/>
      <c r="V20" s="1386"/>
      <c r="W20" s="1387"/>
      <c r="X20" s="1380"/>
      <c r="Y20" s="3866"/>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66"/>
      <c r="Q21" s="2193" t="str">
        <f>B21</f>
        <v>基础设施水平</v>
      </c>
      <c r="R21" s="1386" t="s">
        <v>5</v>
      </c>
      <c r="S21" s="1387">
        <f>F21</f>
        <v>100</v>
      </c>
      <c r="T21" s="1386" t="s">
        <v>5</v>
      </c>
      <c r="U21" s="1387">
        <f>H21</f>
        <v>100</v>
      </c>
      <c r="V21" s="1386" t="s">
        <v>5</v>
      </c>
      <c r="W21" s="1387">
        <f>J21</f>
        <v>100</v>
      </c>
      <c r="X21" s="2195"/>
      <c r="Y21" s="3866"/>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66"/>
      <c r="Q22" s="2193"/>
      <c r="R22" s="1386"/>
      <c r="S22" s="1387"/>
      <c r="T22" s="1386"/>
      <c r="U22" s="1387"/>
      <c r="V22" s="1386"/>
      <c r="W22" s="1387"/>
      <c r="X22" s="2195"/>
      <c r="Y22" s="3866"/>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66"/>
      <c r="Q23" s="1385" t="str">
        <f>B23</f>
        <v>环境质量</v>
      </c>
      <c r="R23" s="1386" t="s">
        <v>5</v>
      </c>
      <c r="S23" s="1387">
        <f>F23</f>
        <v>100</v>
      </c>
      <c r="T23" s="1386" t="s">
        <v>5</v>
      </c>
      <c r="U23" s="1387">
        <f>H23</f>
        <v>100</v>
      </c>
      <c r="V23" s="1386" t="s">
        <v>5</v>
      </c>
      <c r="W23" s="1387">
        <f>J23</f>
        <v>100</v>
      </c>
      <c r="X23" s="1380"/>
      <c r="Y23" s="3866"/>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66"/>
      <c r="Q24" s="1385"/>
      <c r="R24" s="1386"/>
      <c r="S24" s="1387"/>
      <c r="T24" s="1386"/>
      <c r="U24" s="1387"/>
      <c r="V24" s="1386"/>
      <c r="W24" s="1387"/>
      <c r="X24" s="1380"/>
      <c r="Y24" s="3866"/>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66"/>
      <c r="Q25" s="1385">
        <f>B25</f>
        <v>111</v>
      </c>
      <c r="R25" s="1386" t="s">
        <v>5</v>
      </c>
      <c r="S25" s="1387">
        <f>F25</f>
        <v>100</v>
      </c>
      <c r="T25" s="1386" t="s">
        <v>5</v>
      </c>
      <c r="U25" s="1387">
        <f>H25</f>
        <v>100</v>
      </c>
      <c r="V25" s="1386" t="s">
        <v>5</v>
      </c>
      <c r="W25" s="1387">
        <f>J25</f>
        <v>100</v>
      </c>
      <c r="X25" s="1380"/>
      <c r="Y25" s="3866"/>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66"/>
      <c r="Q26" s="1385">
        <f t="shared" ref="Q26:Q40" si="8">B26</f>
        <v>111</v>
      </c>
      <c r="R26" s="1386" t="s">
        <v>5</v>
      </c>
      <c r="S26" s="1387">
        <f>F26</f>
        <v>100</v>
      </c>
      <c r="T26" s="1386" t="s">
        <v>5</v>
      </c>
      <c r="U26" s="1387">
        <f>H26</f>
        <v>100</v>
      </c>
      <c r="V26" s="1386" t="s">
        <v>5</v>
      </c>
      <c r="W26" s="1387">
        <f>J26</f>
        <v>100</v>
      </c>
      <c r="X26" s="1380"/>
      <c r="Y26" s="3866"/>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66"/>
      <c r="Q27" s="1050">
        <f t="shared" si="8"/>
        <v>111</v>
      </c>
      <c r="R27" s="1381" t="s">
        <v>5</v>
      </c>
      <c r="S27" s="1382">
        <f>F27</f>
        <v>100</v>
      </c>
      <c r="T27" s="1381" t="s">
        <v>5</v>
      </c>
      <c r="U27" s="1382">
        <f>H27</f>
        <v>100</v>
      </c>
      <c r="V27" s="1381" t="s">
        <v>5</v>
      </c>
      <c r="W27" s="1382">
        <f>J27</f>
        <v>100</v>
      </c>
      <c r="X27" s="1383"/>
      <c r="Y27" s="3866"/>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66"/>
      <c r="Q28" s="1385">
        <f t="shared" si="8"/>
        <v>111</v>
      </c>
      <c r="R28" s="1386" t="s">
        <v>5</v>
      </c>
      <c r="S28" s="1387">
        <f t="shared" ref="S28:S40" si="9">F28</f>
        <v>100</v>
      </c>
      <c r="T28" s="1386" t="s">
        <v>5</v>
      </c>
      <c r="U28" s="1387">
        <f t="shared" ref="U28:U40" si="10">H28</f>
        <v>100</v>
      </c>
      <c r="V28" s="1386" t="s">
        <v>5</v>
      </c>
      <c r="W28" s="1387">
        <f t="shared" ref="W28:W40" si="11">J28</f>
        <v>100</v>
      </c>
      <c r="X28" s="1380"/>
      <c r="Y28" s="3866"/>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67" t="s">
        <v>499</v>
      </c>
      <c r="Q29" s="1385" t="str">
        <f t="shared" si="8"/>
        <v>建筑类型</v>
      </c>
      <c r="R29" s="1386" t="s">
        <v>5</v>
      </c>
      <c r="S29" s="1387">
        <f t="shared" si="9"/>
        <v>100</v>
      </c>
      <c r="T29" s="1386" t="s">
        <v>5</v>
      </c>
      <c r="U29" s="1387">
        <f t="shared" si="10"/>
        <v>100</v>
      </c>
      <c r="V29" s="1386" t="s">
        <v>5</v>
      </c>
      <c r="W29" s="1387">
        <f t="shared" si="11"/>
        <v>100</v>
      </c>
      <c r="X29" s="1380"/>
      <c r="Y29" s="3868"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68"/>
      <c r="Q30" s="1414" t="str">
        <f t="shared" si="8"/>
        <v>项目建筑规模</v>
      </c>
      <c r="R30" s="1390" t="s">
        <v>5</v>
      </c>
      <c r="S30" s="1391" t="e">
        <f t="shared" si="9"/>
        <v>#N/A</v>
      </c>
      <c r="T30" s="1390" t="s">
        <v>5</v>
      </c>
      <c r="U30" s="1391" t="e">
        <f t="shared" si="10"/>
        <v>#N/A</v>
      </c>
      <c r="V30" s="1390" t="s">
        <v>5</v>
      </c>
      <c r="W30" s="1391" t="e">
        <f t="shared" si="11"/>
        <v>#N/A</v>
      </c>
      <c r="X30" s="1392"/>
      <c r="Y30" s="3868"/>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68"/>
      <c r="Q31" s="1385" t="str">
        <f t="shared" si="8"/>
        <v>建筑结构</v>
      </c>
      <c r="R31" s="1386" t="s">
        <v>5</v>
      </c>
      <c r="S31" s="1387">
        <f t="shared" si="9"/>
        <v>100</v>
      </c>
      <c r="T31" s="1386" t="s">
        <v>5</v>
      </c>
      <c r="U31" s="1387">
        <f t="shared" si="10"/>
        <v>100</v>
      </c>
      <c r="V31" s="1386" t="s">
        <v>5</v>
      </c>
      <c r="W31" s="1387">
        <f t="shared" si="11"/>
        <v>100</v>
      </c>
      <c r="X31" s="1380"/>
      <c r="Y31" s="3868"/>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68"/>
      <c r="Q32" s="1385" t="str">
        <f t="shared" si="8"/>
        <v>公共部分装修</v>
      </c>
      <c r="R32" s="1386" t="s">
        <v>5</v>
      </c>
      <c r="S32" s="1387">
        <f t="shared" si="9"/>
        <v>100</v>
      </c>
      <c r="T32" s="1386" t="s">
        <v>5</v>
      </c>
      <c r="U32" s="1387">
        <f t="shared" si="10"/>
        <v>100</v>
      </c>
      <c r="V32" s="1386" t="s">
        <v>5</v>
      </c>
      <c r="W32" s="1387">
        <f t="shared" si="11"/>
        <v>100</v>
      </c>
      <c r="X32" s="1380"/>
      <c r="Y32" s="3868"/>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68"/>
      <c r="Q33" s="1385" t="str">
        <f t="shared" si="8"/>
        <v>成新度</v>
      </c>
      <c r="R33" s="1386" t="s">
        <v>5</v>
      </c>
      <c r="S33" s="1387" t="e">
        <f t="shared" si="9"/>
        <v>#N/A</v>
      </c>
      <c r="T33" s="1386" t="s">
        <v>5</v>
      </c>
      <c r="U33" s="1387" t="e">
        <f t="shared" si="10"/>
        <v>#N/A</v>
      </c>
      <c r="V33" s="1386" t="s">
        <v>5</v>
      </c>
      <c r="W33" s="1387" t="e">
        <f t="shared" si="11"/>
        <v>#N/A</v>
      </c>
      <c r="X33" s="1380"/>
      <c r="Y33" s="3868"/>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68"/>
      <c r="Q34" s="1050" t="str">
        <f t="shared" si="8"/>
        <v>物业管理</v>
      </c>
      <c r="R34" s="1381" t="s">
        <v>5</v>
      </c>
      <c r="S34" s="1382">
        <f t="shared" si="9"/>
        <v>100</v>
      </c>
      <c r="T34" s="1381" t="s">
        <v>5</v>
      </c>
      <c r="U34" s="1382">
        <f t="shared" si="10"/>
        <v>100</v>
      </c>
      <c r="V34" s="1381" t="s">
        <v>5</v>
      </c>
      <c r="W34" s="1382">
        <f t="shared" si="11"/>
        <v>100</v>
      </c>
      <c r="X34" s="1383"/>
      <c r="Y34" s="3868"/>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68" t="s">
        <v>499</v>
      </c>
      <c r="Q35" s="1385" t="str">
        <f t="shared" si="8"/>
        <v>市政基础设施</v>
      </c>
      <c r="R35" s="1386" t="s">
        <v>5</v>
      </c>
      <c r="S35" s="1387">
        <f t="shared" si="9"/>
        <v>100</v>
      </c>
      <c r="T35" s="1386" t="s">
        <v>5</v>
      </c>
      <c r="U35" s="1387">
        <f t="shared" si="10"/>
        <v>100</v>
      </c>
      <c r="V35" s="1386" t="s">
        <v>5</v>
      </c>
      <c r="W35" s="1387">
        <f t="shared" si="11"/>
        <v>100</v>
      </c>
      <c r="X35" s="1380"/>
      <c r="Y35" s="3868"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68"/>
      <c r="Q36" s="1385" t="str">
        <f t="shared" si="8"/>
        <v>内部装修</v>
      </c>
      <c r="R36" s="1386" t="s">
        <v>5</v>
      </c>
      <c r="S36" s="1387">
        <f t="shared" si="9"/>
        <v>100</v>
      </c>
      <c r="T36" s="1386" t="s">
        <v>5</v>
      </c>
      <c r="U36" s="1387">
        <f t="shared" si="10"/>
        <v>100</v>
      </c>
      <c r="V36" s="1386" t="s">
        <v>5</v>
      </c>
      <c r="W36" s="1387">
        <f t="shared" si="11"/>
        <v>100</v>
      </c>
      <c r="X36" s="1380"/>
      <c r="Y36" s="3868"/>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68"/>
      <c r="Q37" s="1385" t="str">
        <f t="shared" si="8"/>
        <v>内部装修状况</v>
      </c>
      <c r="R37" s="1386" t="s">
        <v>5</v>
      </c>
      <c r="S37" s="1387">
        <f t="shared" si="9"/>
        <v>100</v>
      </c>
      <c r="T37" s="1386" t="s">
        <v>5</v>
      </c>
      <c r="U37" s="1387">
        <f t="shared" si="10"/>
        <v>100</v>
      </c>
      <c r="V37" s="1386" t="s">
        <v>5</v>
      </c>
      <c r="W37" s="1387">
        <f t="shared" si="11"/>
        <v>100</v>
      </c>
      <c r="X37" s="1380"/>
      <c r="Y37" s="3868"/>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68"/>
      <c r="Q38" s="1414">
        <f t="shared" si="8"/>
        <v>111</v>
      </c>
      <c r="R38" s="1390" t="s">
        <v>5</v>
      </c>
      <c r="S38" s="1391">
        <f t="shared" si="9"/>
        <v>100</v>
      </c>
      <c r="T38" s="1390" t="s">
        <v>5</v>
      </c>
      <c r="U38" s="1391">
        <f t="shared" si="10"/>
        <v>100</v>
      </c>
      <c r="V38" s="1390" t="s">
        <v>5</v>
      </c>
      <c r="W38" s="1391">
        <f t="shared" si="11"/>
        <v>100</v>
      </c>
      <c r="X38" s="1392"/>
      <c r="Y38" s="3868"/>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68"/>
      <c r="Q39" s="1385">
        <f t="shared" si="8"/>
        <v>111</v>
      </c>
      <c r="R39" s="1386" t="s">
        <v>5</v>
      </c>
      <c r="S39" s="1387">
        <f t="shared" si="9"/>
        <v>100</v>
      </c>
      <c r="T39" s="1386" t="s">
        <v>5</v>
      </c>
      <c r="U39" s="1387">
        <f t="shared" si="10"/>
        <v>100</v>
      </c>
      <c r="V39" s="1386" t="s">
        <v>5</v>
      </c>
      <c r="W39" s="1387">
        <f t="shared" si="11"/>
        <v>100</v>
      </c>
      <c r="X39" s="1380"/>
      <c r="Y39" s="3868"/>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78"/>
      <c r="Q40" s="1385">
        <f t="shared" si="8"/>
        <v>111</v>
      </c>
      <c r="R40" s="1386" t="s">
        <v>5</v>
      </c>
      <c r="S40" s="1387">
        <f t="shared" si="9"/>
        <v>100</v>
      </c>
      <c r="T40" s="1386" t="s">
        <v>5</v>
      </c>
      <c r="U40" s="1387">
        <f t="shared" si="10"/>
        <v>100</v>
      </c>
      <c r="V40" s="1386" t="s">
        <v>5</v>
      </c>
      <c r="W40" s="1387">
        <f t="shared" si="11"/>
        <v>100</v>
      </c>
      <c r="X40" s="1380"/>
      <c r="Y40" s="3978"/>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63" t="str">
        <f>A41</f>
        <v>成交单价（元/平方米）</v>
      </c>
      <c r="Q41" s="3863"/>
      <c r="R41" s="3977">
        <f>E41</f>
        <v>0</v>
      </c>
      <c r="S41" s="3977"/>
      <c r="T41" s="3977">
        <f>G41</f>
        <v>0</v>
      </c>
      <c r="U41" s="3977"/>
      <c r="V41" s="3977">
        <f>I41</f>
        <v>0</v>
      </c>
      <c r="W41" s="3977"/>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63" t="str">
        <f>A42</f>
        <v>比较价格（元/平方米）</v>
      </c>
      <c r="Q42" s="3863"/>
      <c r="R42" s="3977" t="e">
        <f>IF(F1="售价",ROUND(PRODUCT(R41,AA7:AA40),0),ROUND(PRODUCT(R41,AA7:AA40),1))</f>
        <v>#DIV/0!</v>
      </c>
      <c r="S42" s="3977"/>
      <c r="T42" s="3977" t="e">
        <f>IF(F1="售价",ROUND(PRODUCT(T41,AB7:AB40),0),ROUND(PRODUCT(T41,AB7:AB40),1))</f>
        <v>#DIV/0!</v>
      </c>
      <c r="U42" s="3977"/>
      <c r="V42" s="3977" t="e">
        <f>IF(F1="售价",ROUND(PRODUCT(V41,AC7:AC40),0),ROUND(PRODUCT(V41,AC7:AC40),1))</f>
        <v>#DIV/0!</v>
      </c>
      <c r="W42" s="3977"/>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69" t="str">
        <f>A43</f>
        <v>估价对象XX用房的比较价格（楼面单价，元/平方米）</v>
      </c>
      <c r="Q43" s="3870"/>
      <c r="R43" s="3976" t="e">
        <f>IF(F1="售价",ROUND(IF(D42="简单平均",AVERAGE(R42:V42),R42*F42+T42*H42+V42*J42),0),ROUND(IF(D42="简单平均",AVERAGE(R42:V42),R42*F42+T42*H42+V42*J42),1))</f>
        <v>#DIV/0!</v>
      </c>
      <c r="S43" s="3976"/>
      <c r="T43" s="3976"/>
      <c r="U43" s="3976"/>
      <c r="V43" s="3976"/>
      <c r="W43" s="3976"/>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2023-4</v>
      </c>
      <c r="D52" s="2284">
        <f>EDATE(C52,-1)</f>
        <v>44986</v>
      </c>
      <c r="E52" s="2284">
        <f t="shared" ref="E52:O52" si="13">EDATE(D52,-1)</f>
        <v>44958</v>
      </c>
      <c r="F52" s="2284">
        <f t="shared" si="13"/>
        <v>44927</v>
      </c>
      <c r="G52" s="2284">
        <f t="shared" si="13"/>
        <v>44896</v>
      </c>
      <c r="H52" s="2284">
        <f t="shared" si="13"/>
        <v>44866</v>
      </c>
      <c r="I52" s="2284">
        <f t="shared" si="13"/>
        <v>44835</v>
      </c>
      <c r="J52" s="2284">
        <f t="shared" si="13"/>
        <v>44805</v>
      </c>
      <c r="K52" s="2284">
        <f t="shared" si="13"/>
        <v>44774</v>
      </c>
      <c r="L52" s="2284">
        <f t="shared" si="13"/>
        <v>44743</v>
      </c>
      <c r="M52" s="2284">
        <f t="shared" si="13"/>
        <v>44713</v>
      </c>
      <c r="N52" s="2284">
        <f t="shared" si="13"/>
        <v>44682</v>
      </c>
      <c r="O52" s="2284">
        <f t="shared" si="13"/>
        <v>44652</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28084.68平方米。根据《建设工程规划许可证》[]、《出让合同》[]，估价对象规划建筑面积为56169.36平方米。</v>
      </c>
    </row>
    <row r="7" spans="1:4" ht="93.75">
      <c r="A7" s="2353" t="s">
        <v>2030</v>
      </c>
    </row>
    <row r="8" spans="1:4" ht="18.75">
      <c r="A8" s="1582" t="s">
        <v>1430</v>
      </c>
    </row>
    <row r="9" spans="1:4" ht="75">
      <c r="A9" s="15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2023年4月12日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根据《国有土地使用证》[]，估价对象（分摊）出让国有建设用地使用权面积为28084.68平方米。根据《建设工程规划许可证》[]、《出让合同》[]，估价对象规划建筑面积为56169.36平方米。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71" t="s">
        <v>738</v>
      </c>
      <c r="D4" s="3872"/>
      <c r="E4" s="3871" t="s">
        <v>739</v>
      </c>
      <c r="F4" s="3872"/>
      <c r="G4" s="3871" t="s">
        <v>740</v>
      </c>
      <c r="H4" s="3872"/>
      <c r="I4" s="3871" t="s">
        <v>741</v>
      </c>
      <c r="J4" s="3872"/>
      <c r="K4" s="484" t="s">
        <v>742</v>
      </c>
      <c r="L4" s="1856"/>
      <c r="M4" s="1857"/>
      <c r="N4" s="1857"/>
      <c r="O4" s="1857"/>
      <c r="P4" s="3873" t="s">
        <v>743</v>
      </c>
      <c r="Q4" s="3874"/>
      <c r="R4" s="3857" t="s">
        <v>739</v>
      </c>
      <c r="S4" s="3858"/>
      <c r="T4" s="3857" t="s">
        <v>740</v>
      </c>
      <c r="U4" s="3858"/>
      <c r="V4" s="3879" t="s">
        <v>741</v>
      </c>
      <c r="W4" s="3879"/>
      <c r="X4" s="1380"/>
      <c r="Y4" s="3857" t="s">
        <v>743</v>
      </c>
      <c r="Z4" s="3858"/>
      <c r="AA4" s="3852" t="s">
        <v>739</v>
      </c>
      <c r="AB4" s="3853" t="s">
        <v>740</v>
      </c>
      <c r="AC4" s="3852" t="s">
        <v>741</v>
      </c>
    </row>
    <row r="5" spans="1:29" ht="15">
      <c r="A5" s="485"/>
      <c r="B5" s="486"/>
      <c r="C5" s="3882" t="s">
        <v>2192</v>
      </c>
      <c r="D5" s="3883"/>
      <c r="E5" s="3882" t="s">
        <v>2193</v>
      </c>
      <c r="F5" s="3883"/>
      <c r="G5" s="3882" t="s">
        <v>2194</v>
      </c>
      <c r="H5" s="3883"/>
      <c r="I5" s="3882" t="s">
        <v>2195</v>
      </c>
      <c r="J5" s="3883"/>
      <c r="K5" s="484"/>
      <c r="L5" s="1856"/>
      <c r="M5" s="1857"/>
      <c r="N5" s="1857"/>
      <c r="O5" s="1857"/>
      <c r="P5" s="3875"/>
      <c r="Q5" s="3876"/>
      <c r="R5" s="3859"/>
      <c r="S5" s="3860"/>
      <c r="T5" s="3859"/>
      <c r="U5" s="3860"/>
      <c r="V5" s="3879"/>
      <c r="W5" s="3879"/>
      <c r="X5" s="1380"/>
      <c r="Y5" s="3859"/>
      <c r="Z5" s="3860"/>
      <c r="AA5" s="3853"/>
      <c r="AB5" s="3853"/>
      <c r="AC5" s="3853"/>
    </row>
    <row r="6" spans="1:29" ht="15.75" thickBot="1">
      <c r="A6" s="487"/>
      <c r="B6" s="488"/>
      <c r="C6" s="3880" t="s">
        <v>2196</v>
      </c>
      <c r="D6" s="3881"/>
      <c r="E6" s="3884" t="s">
        <v>2196</v>
      </c>
      <c r="F6" s="3885"/>
      <c r="G6" s="3880" t="s">
        <v>2196</v>
      </c>
      <c r="H6" s="3881"/>
      <c r="I6" s="3880" t="s">
        <v>2196</v>
      </c>
      <c r="J6" s="3881"/>
      <c r="K6" s="484" t="s">
        <v>477</v>
      </c>
      <c r="L6" s="1856"/>
      <c r="M6" s="1857"/>
      <c r="N6" s="1857"/>
      <c r="O6" s="1857"/>
      <c r="P6" s="3877"/>
      <c r="Q6" s="3878"/>
      <c r="R6" s="3859"/>
      <c r="S6" s="3860"/>
      <c r="T6" s="3861"/>
      <c r="U6" s="3862"/>
      <c r="V6" s="3879"/>
      <c r="W6" s="3879"/>
      <c r="X6" s="1380"/>
      <c r="Y6" s="3861"/>
      <c r="Z6" s="3862"/>
      <c r="AA6" s="3854"/>
      <c r="AB6" s="3854"/>
      <c r="AC6" s="3854"/>
    </row>
    <row r="7" spans="1:29" s="1118" customFormat="1" ht="15.75" thickBot="1">
      <c r="A7" s="2392"/>
      <c r="B7" s="2399" t="s">
        <v>478</v>
      </c>
      <c r="C7" s="489">
        <f>'数据-取费表'!B2</f>
        <v>45028</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55" t="s">
        <v>479</v>
      </c>
      <c r="Q7" s="3864"/>
      <c r="R7" s="1381" t="s">
        <v>5</v>
      </c>
      <c r="S7" s="1382">
        <f t="shared" ref="S7:S14" si="0">F7</f>
        <v>0</v>
      </c>
      <c r="T7" s="1381" t="s">
        <v>5</v>
      </c>
      <c r="U7" s="1382">
        <f t="shared" ref="U7:U14" si="1">H7</f>
        <v>0</v>
      </c>
      <c r="V7" s="1381" t="s">
        <v>5</v>
      </c>
      <c r="W7" s="1382">
        <f t="shared" ref="W7:W14" si="2">J7</f>
        <v>0</v>
      </c>
      <c r="X7" s="1383"/>
      <c r="Y7" s="3855" t="s">
        <v>479</v>
      </c>
      <c r="Z7" s="3856"/>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55" t="s">
        <v>482</v>
      </c>
      <c r="Q8" s="3856"/>
      <c r="R8" s="1381" t="s">
        <v>5</v>
      </c>
      <c r="S8" s="1382">
        <f t="shared" si="0"/>
        <v>0</v>
      </c>
      <c r="T8" s="1381" t="s">
        <v>5</v>
      </c>
      <c r="U8" s="1382">
        <f t="shared" si="1"/>
        <v>0</v>
      </c>
      <c r="V8" s="1381" t="s">
        <v>5</v>
      </c>
      <c r="W8" s="1382">
        <f t="shared" si="2"/>
        <v>0</v>
      </c>
      <c r="X8" s="1383"/>
      <c r="Y8" s="3855" t="s">
        <v>482</v>
      </c>
      <c r="Z8" s="3856"/>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63" t="s">
        <v>484</v>
      </c>
      <c r="Q9" s="1050" t="str">
        <f t="shared" ref="Q9:Q14" si="6">B9</f>
        <v>用途</v>
      </c>
      <c r="R9" s="1381" t="s">
        <v>5</v>
      </c>
      <c r="S9" s="1382">
        <f t="shared" si="0"/>
        <v>100</v>
      </c>
      <c r="T9" s="1381" t="s">
        <v>5</v>
      </c>
      <c r="U9" s="1382">
        <f t="shared" si="1"/>
        <v>100</v>
      </c>
      <c r="V9" s="1381" t="s">
        <v>5</v>
      </c>
      <c r="W9" s="1382">
        <f t="shared" si="2"/>
        <v>100</v>
      </c>
      <c r="X9" s="1383"/>
      <c r="Y9" s="3811"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63"/>
      <c r="Q10" s="1050" t="str">
        <f t="shared" si="6"/>
        <v>土地使用年限（年）</v>
      </c>
      <c r="R10" s="1381" t="s">
        <v>5</v>
      </c>
      <c r="S10" s="1382">
        <f t="shared" si="0"/>
        <v>100</v>
      </c>
      <c r="T10" s="1381" t="s">
        <v>5</v>
      </c>
      <c r="U10" s="1382">
        <f t="shared" si="1"/>
        <v>100</v>
      </c>
      <c r="V10" s="1381" t="s">
        <v>5</v>
      </c>
      <c r="W10" s="1382">
        <f t="shared" si="2"/>
        <v>100</v>
      </c>
      <c r="X10" s="1383"/>
      <c r="Y10" s="3811"/>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63"/>
      <c r="Q11" s="1050">
        <f t="shared" si="6"/>
        <v>111</v>
      </c>
      <c r="R11" s="1381" t="s">
        <v>5</v>
      </c>
      <c r="S11" s="1382">
        <f t="shared" si="0"/>
        <v>100</v>
      </c>
      <c r="T11" s="1381" t="s">
        <v>5</v>
      </c>
      <c r="U11" s="1382">
        <f t="shared" si="1"/>
        <v>100</v>
      </c>
      <c r="V11" s="1381" t="s">
        <v>5</v>
      </c>
      <c r="W11" s="1382">
        <f t="shared" si="2"/>
        <v>100</v>
      </c>
      <c r="X11" s="1383"/>
      <c r="Y11" s="3811"/>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63"/>
      <c r="Q12" s="1050">
        <f t="shared" si="6"/>
        <v>111</v>
      </c>
      <c r="R12" s="1381" t="s">
        <v>5</v>
      </c>
      <c r="S12" s="1382">
        <f t="shared" si="0"/>
        <v>100</v>
      </c>
      <c r="T12" s="1381" t="s">
        <v>5</v>
      </c>
      <c r="U12" s="1382">
        <f t="shared" si="1"/>
        <v>100</v>
      </c>
      <c r="V12" s="1381" t="s">
        <v>5</v>
      </c>
      <c r="W12" s="1382">
        <f t="shared" si="2"/>
        <v>100</v>
      </c>
      <c r="X12" s="1383"/>
      <c r="Y12" s="3811"/>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63"/>
      <c r="Q13" s="1050">
        <f t="shared" si="6"/>
        <v>111</v>
      </c>
      <c r="R13" s="1381" t="s">
        <v>5</v>
      </c>
      <c r="S13" s="1382">
        <f t="shared" si="0"/>
        <v>100</v>
      </c>
      <c r="T13" s="1381" t="s">
        <v>5</v>
      </c>
      <c r="U13" s="1382">
        <f t="shared" si="1"/>
        <v>100</v>
      </c>
      <c r="V13" s="1381" t="s">
        <v>5</v>
      </c>
      <c r="W13" s="1382">
        <f t="shared" si="2"/>
        <v>100</v>
      </c>
      <c r="X13" s="1383"/>
      <c r="Y13" s="3811"/>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65" t="s">
        <v>489</v>
      </c>
      <c r="Q14" s="1385" t="str">
        <f t="shared" si="6"/>
        <v>交通便捷度</v>
      </c>
      <c r="R14" s="1386" t="s">
        <v>5</v>
      </c>
      <c r="S14" s="1387">
        <f t="shared" si="0"/>
        <v>100</v>
      </c>
      <c r="T14" s="1386" t="s">
        <v>5</v>
      </c>
      <c r="U14" s="1387">
        <f t="shared" si="1"/>
        <v>100</v>
      </c>
      <c r="V14" s="1386" t="s">
        <v>5</v>
      </c>
      <c r="W14" s="1387">
        <f t="shared" si="2"/>
        <v>100</v>
      </c>
      <c r="X14" s="1380"/>
      <c r="Y14" s="3865"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66"/>
      <c r="Q15" s="1385"/>
      <c r="R15" s="1386"/>
      <c r="S15" s="1387"/>
      <c r="T15" s="1386"/>
      <c r="U15" s="1387"/>
      <c r="V15" s="1386"/>
      <c r="W15" s="1387"/>
      <c r="X15" s="1380"/>
      <c r="Y15" s="3866"/>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66"/>
      <c r="Q16" s="1385" t="str">
        <f>B16</f>
        <v>公共配套设施</v>
      </c>
      <c r="R16" s="1386" t="s">
        <v>5</v>
      </c>
      <c r="S16" s="1387">
        <f>F16</f>
        <v>100</v>
      </c>
      <c r="T16" s="1386" t="s">
        <v>5</v>
      </c>
      <c r="U16" s="1387">
        <f>H16</f>
        <v>100</v>
      </c>
      <c r="V16" s="1386" t="s">
        <v>5</v>
      </c>
      <c r="W16" s="1387">
        <f>J16</f>
        <v>100</v>
      </c>
      <c r="X16" s="1380"/>
      <c r="Y16" s="3866"/>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66"/>
      <c r="Q17" s="1385"/>
      <c r="R17" s="1386"/>
      <c r="S17" s="1387"/>
      <c r="T17" s="1386"/>
      <c r="U17" s="1387"/>
      <c r="V17" s="1386"/>
      <c r="W17" s="1387"/>
      <c r="X17" s="1380"/>
      <c r="Y17" s="3866"/>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66"/>
      <c r="Q18" s="2193" t="str">
        <f>B18</f>
        <v>基础设施水平</v>
      </c>
      <c r="R18" s="1386" t="s">
        <v>5</v>
      </c>
      <c r="S18" s="1387">
        <f>F18</f>
        <v>100</v>
      </c>
      <c r="T18" s="1386" t="s">
        <v>5</v>
      </c>
      <c r="U18" s="1387">
        <f>H18</f>
        <v>100</v>
      </c>
      <c r="V18" s="1386" t="s">
        <v>5</v>
      </c>
      <c r="W18" s="1387">
        <f>J18</f>
        <v>100</v>
      </c>
      <c r="X18" s="2195"/>
      <c r="Y18" s="3866"/>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66"/>
      <c r="Q19" s="2193"/>
      <c r="R19" s="1386"/>
      <c r="S19" s="1387"/>
      <c r="T19" s="1386"/>
      <c r="U19" s="1387"/>
      <c r="V19" s="1386"/>
      <c r="W19" s="1387"/>
      <c r="X19" s="2195"/>
      <c r="Y19" s="3866"/>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66"/>
      <c r="Q20" s="1385" t="str">
        <f>B20</f>
        <v>自然及人文环境</v>
      </c>
      <c r="R20" s="1386" t="s">
        <v>5</v>
      </c>
      <c r="S20" s="1387">
        <f>F20</f>
        <v>100</v>
      </c>
      <c r="T20" s="1386" t="s">
        <v>5</v>
      </c>
      <c r="U20" s="1387">
        <f>H20</f>
        <v>100</v>
      </c>
      <c r="V20" s="1386" t="s">
        <v>5</v>
      </c>
      <c r="W20" s="1387">
        <f>J20</f>
        <v>100</v>
      </c>
      <c r="X20" s="1380"/>
      <c r="Y20" s="3866"/>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66"/>
      <c r="Q21" s="1385"/>
      <c r="R21" s="1386"/>
      <c r="S21" s="1387"/>
      <c r="T21" s="1386"/>
      <c r="U21" s="1387"/>
      <c r="V21" s="1386"/>
      <c r="W21" s="1387"/>
      <c r="X21" s="1380"/>
      <c r="Y21" s="3866"/>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66"/>
      <c r="Q22" s="1385" t="str">
        <f>B22</f>
        <v>楼层</v>
      </c>
      <c r="R22" s="1386" t="s">
        <v>5</v>
      </c>
      <c r="S22" s="1387">
        <f>F22</f>
        <v>100</v>
      </c>
      <c r="T22" s="1386" t="s">
        <v>5</v>
      </c>
      <c r="U22" s="1387">
        <f>H22</f>
        <v>100</v>
      </c>
      <c r="V22" s="1386" t="s">
        <v>5</v>
      </c>
      <c r="W22" s="1387">
        <f>J22</f>
        <v>100</v>
      </c>
      <c r="X22" s="1380"/>
      <c r="Y22" s="3866"/>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66"/>
      <c r="Q23" s="1385">
        <f>B23</f>
        <v>111</v>
      </c>
      <c r="R23" s="1386" t="s">
        <v>5</v>
      </c>
      <c r="S23" s="1387">
        <f>F23</f>
        <v>100</v>
      </c>
      <c r="T23" s="1386" t="s">
        <v>5</v>
      </c>
      <c r="U23" s="1387">
        <f>H23</f>
        <v>100</v>
      </c>
      <c r="V23" s="1386" t="s">
        <v>5</v>
      </c>
      <c r="W23" s="1387">
        <f>J23</f>
        <v>100</v>
      </c>
      <c r="X23" s="1380"/>
      <c r="Y23" s="3866"/>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66"/>
      <c r="Q24" s="1385">
        <f t="shared" ref="Q24:Q36" si="8">B24</f>
        <v>111</v>
      </c>
      <c r="R24" s="1386" t="s">
        <v>5</v>
      </c>
      <c r="S24" s="1387">
        <f>F24</f>
        <v>100</v>
      </c>
      <c r="T24" s="1386" t="s">
        <v>5</v>
      </c>
      <c r="U24" s="1387">
        <f>H24</f>
        <v>100</v>
      </c>
      <c r="V24" s="1386" t="s">
        <v>5</v>
      </c>
      <c r="W24" s="1387">
        <f>J24</f>
        <v>100</v>
      </c>
      <c r="X24" s="1380"/>
      <c r="Y24" s="3866"/>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66"/>
      <c r="Q25" s="1050">
        <f t="shared" si="8"/>
        <v>111</v>
      </c>
      <c r="R25" s="1381" t="s">
        <v>5</v>
      </c>
      <c r="S25" s="1382">
        <f>F25</f>
        <v>100</v>
      </c>
      <c r="T25" s="1381" t="s">
        <v>5</v>
      </c>
      <c r="U25" s="1382">
        <f>H25</f>
        <v>100</v>
      </c>
      <c r="V25" s="1381" t="s">
        <v>5</v>
      </c>
      <c r="W25" s="1382">
        <f>J25</f>
        <v>100</v>
      </c>
      <c r="X25" s="1383"/>
      <c r="Y25" s="3866"/>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67"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68"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68"/>
      <c r="Q27" s="1414" t="str">
        <f t="shared" si="8"/>
        <v>项目停车位配比</v>
      </c>
      <c r="R27" s="1390" t="s">
        <v>5</v>
      </c>
      <c r="S27" s="1391">
        <f t="shared" si="9"/>
        <v>100</v>
      </c>
      <c r="T27" s="1390" t="s">
        <v>5</v>
      </c>
      <c r="U27" s="1391">
        <f t="shared" si="10"/>
        <v>100</v>
      </c>
      <c r="V27" s="1390" t="s">
        <v>5</v>
      </c>
      <c r="W27" s="1391">
        <f t="shared" si="11"/>
        <v>100</v>
      </c>
      <c r="X27" s="1392"/>
      <c r="Y27" s="3868"/>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68"/>
      <c r="Q28" s="1385" t="str">
        <f t="shared" si="8"/>
        <v>公共部分装修</v>
      </c>
      <c r="R28" s="1386" t="s">
        <v>5</v>
      </c>
      <c r="S28" s="1387">
        <f t="shared" si="9"/>
        <v>100</v>
      </c>
      <c r="T28" s="1386" t="s">
        <v>5</v>
      </c>
      <c r="U28" s="1387">
        <f t="shared" si="10"/>
        <v>100</v>
      </c>
      <c r="V28" s="1386" t="s">
        <v>5</v>
      </c>
      <c r="W28" s="1387">
        <f t="shared" si="11"/>
        <v>100</v>
      </c>
      <c r="X28" s="1380"/>
      <c r="Y28" s="3868"/>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68"/>
      <c r="Q29" s="1385" t="str">
        <f t="shared" si="8"/>
        <v>成新率</v>
      </c>
      <c r="R29" s="1386" t="s">
        <v>5</v>
      </c>
      <c r="S29" s="1387" t="e">
        <f t="shared" si="9"/>
        <v>#N/A</v>
      </c>
      <c r="T29" s="1386" t="s">
        <v>5</v>
      </c>
      <c r="U29" s="1387" t="e">
        <f t="shared" si="10"/>
        <v>#N/A</v>
      </c>
      <c r="V29" s="1386" t="s">
        <v>5</v>
      </c>
      <c r="W29" s="1387" t="e">
        <f t="shared" si="11"/>
        <v>#N/A</v>
      </c>
      <c r="X29" s="1380"/>
      <c r="Y29" s="3868"/>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68"/>
      <c r="Q30" s="1385" t="str">
        <f t="shared" si="8"/>
        <v>物业等级</v>
      </c>
      <c r="R30" s="1386" t="s">
        <v>5</v>
      </c>
      <c r="S30" s="1387">
        <f t="shared" si="9"/>
        <v>100</v>
      </c>
      <c r="T30" s="1386" t="s">
        <v>5</v>
      </c>
      <c r="U30" s="1387">
        <f t="shared" si="10"/>
        <v>100</v>
      </c>
      <c r="V30" s="1386" t="s">
        <v>5</v>
      </c>
      <c r="W30" s="1387">
        <f t="shared" si="11"/>
        <v>100</v>
      </c>
      <c r="X30" s="1380"/>
      <c r="Y30" s="3868"/>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68"/>
      <c r="Q31" s="1050" t="str">
        <f t="shared" si="8"/>
        <v>停车位面积</v>
      </c>
      <c r="R31" s="1381" t="s">
        <v>5</v>
      </c>
      <c r="S31" s="1382" t="e">
        <f t="shared" si="9"/>
        <v>#N/A</v>
      </c>
      <c r="T31" s="1381" t="s">
        <v>5</v>
      </c>
      <c r="U31" s="1382" t="e">
        <f t="shared" si="10"/>
        <v>#N/A</v>
      </c>
      <c r="V31" s="1381" t="s">
        <v>5</v>
      </c>
      <c r="W31" s="1382" t="e">
        <f t="shared" si="11"/>
        <v>#N/A</v>
      </c>
      <c r="X31" s="1383"/>
      <c r="Y31" s="3868"/>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68" t="s">
        <v>499</v>
      </c>
      <c r="Q32" s="1385" t="str">
        <f t="shared" si="8"/>
        <v>车位类型</v>
      </c>
      <c r="R32" s="1386" t="s">
        <v>5</v>
      </c>
      <c r="S32" s="1387">
        <f t="shared" si="9"/>
        <v>100</v>
      </c>
      <c r="T32" s="1386" t="s">
        <v>5</v>
      </c>
      <c r="U32" s="1387">
        <f t="shared" si="10"/>
        <v>100</v>
      </c>
      <c r="V32" s="1386" t="s">
        <v>5</v>
      </c>
      <c r="W32" s="1387">
        <f t="shared" si="11"/>
        <v>100</v>
      </c>
      <c r="X32" s="1380"/>
      <c r="Y32" s="3868"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68"/>
      <c r="Q33" s="1385" t="str">
        <f t="shared" si="8"/>
        <v>是否直接入户</v>
      </c>
      <c r="R33" s="1386" t="s">
        <v>5</v>
      </c>
      <c r="S33" s="1387">
        <f t="shared" si="9"/>
        <v>100</v>
      </c>
      <c r="T33" s="1386" t="s">
        <v>5</v>
      </c>
      <c r="U33" s="1387">
        <f t="shared" si="10"/>
        <v>100</v>
      </c>
      <c r="V33" s="1386" t="s">
        <v>5</v>
      </c>
      <c r="W33" s="1387">
        <f t="shared" si="11"/>
        <v>100</v>
      </c>
      <c r="X33" s="1380"/>
      <c r="Y33" s="3868"/>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68"/>
      <c r="Q34" s="1385">
        <f t="shared" si="8"/>
        <v>111</v>
      </c>
      <c r="R34" s="1386" t="s">
        <v>5</v>
      </c>
      <c r="S34" s="1387">
        <f t="shared" si="9"/>
        <v>100</v>
      </c>
      <c r="T34" s="1386" t="s">
        <v>5</v>
      </c>
      <c r="U34" s="1387">
        <f t="shared" si="10"/>
        <v>100</v>
      </c>
      <c r="V34" s="1386" t="s">
        <v>5</v>
      </c>
      <c r="W34" s="1387">
        <f t="shared" si="11"/>
        <v>100</v>
      </c>
      <c r="X34" s="1380"/>
      <c r="Y34" s="3868"/>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68"/>
      <c r="Q35" s="1414">
        <f t="shared" si="8"/>
        <v>111</v>
      </c>
      <c r="R35" s="1390" t="s">
        <v>5</v>
      </c>
      <c r="S35" s="1391">
        <f t="shared" si="9"/>
        <v>100</v>
      </c>
      <c r="T35" s="1390" t="s">
        <v>5</v>
      </c>
      <c r="U35" s="1391">
        <f t="shared" si="10"/>
        <v>100</v>
      </c>
      <c r="V35" s="1390" t="s">
        <v>5</v>
      </c>
      <c r="W35" s="1391">
        <f t="shared" si="11"/>
        <v>100</v>
      </c>
      <c r="X35" s="1392"/>
      <c r="Y35" s="3868"/>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68"/>
      <c r="Q36" s="1385">
        <f t="shared" si="8"/>
        <v>111</v>
      </c>
      <c r="R36" s="1386" t="s">
        <v>5</v>
      </c>
      <c r="S36" s="1387">
        <f t="shared" si="9"/>
        <v>100</v>
      </c>
      <c r="T36" s="1386" t="s">
        <v>5</v>
      </c>
      <c r="U36" s="1387">
        <f t="shared" si="10"/>
        <v>100</v>
      </c>
      <c r="V36" s="1386" t="s">
        <v>5</v>
      </c>
      <c r="W36" s="1387">
        <f t="shared" si="11"/>
        <v>100</v>
      </c>
      <c r="X36" s="1380"/>
      <c r="Y36" s="3868"/>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63" t="str">
        <f>A37</f>
        <v>成交单价</v>
      </c>
      <c r="Q37" s="3863"/>
      <c r="R37" s="3977">
        <f>E37</f>
        <v>0</v>
      </c>
      <c r="S37" s="3977"/>
      <c r="T37" s="3977">
        <f>G37</f>
        <v>0</v>
      </c>
      <c r="U37" s="3977"/>
      <c r="V37" s="3977">
        <f>I37</f>
        <v>0</v>
      </c>
      <c r="W37" s="3977"/>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63" t="str">
        <f>A38</f>
        <v>比较价格（元/平方米）</v>
      </c>
      <c r="Q38" s="3863"/>
      <c r="R38" s="3977" t="e">
        <f>IF(F1="售价",ROUND(PRODUCT(R37,AA7:AA36),0),ROUND(PRODUCT(R37,AA7:AA36),1))</f>
        <v>#DIV/0!</v>
      </c>
      <c r="S38" s="3977"/>
      <c r="T38" s="3977" t="e">
        <f>IF(F1="售价",ROUND(PRODUCT(T37,AB7:AB36),0),ROUND(PRODUCT(T37,AB7:AB36),1))</f>
        <v>#DIV/0!</v>
      </c>
      <c r="U38" s="3977"/>
      <c r="V38" s="3977" t="e">
        <f>IF(F1="售价",ROUND(PRODUCT(V37,AC7:AC36),0),ROUND(PRODUCT(V37,AC7:AC36),1))</f>
        <v>#DIV/0!</v>
      </c>
      <c r="W38" s="3977"/>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69" t="str">
        <f>A39</f>
        <v>估价对象XX用房的比较价格（楼面单价，元/平方米）</v>
      </c>
      <c r="Q39" s="3870"/>
      <c r="R39" s="3976" t="e">
        <f>IF(F1="售价",ROUND(IF(D38="简单平均",AVERAGE(R38:W38),R38*F38+T38*H38+V38*J38),0),ROUND(IF(D38="简单平均",AVERAGE(R38:V38),R38*F38+T38*H38+V38*J38),1))</f>
        <v>#DIV/0!</v>
      </c>
      <c r="S39" s="3976"/>
      <c r="T39" s="3976"/>
      <c r="U39" s="3976"/>
      <c r="V39" s="3976"/>
      <c r="W39" s="3976"/>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2023-4</v>
      </c>
      <c r="D48" s="2284">
        <f>EDATE(C48,-1)</f>
        <v>44986</v>
      </c>
      <c r="E48" s="2284">
        <f t="shared" ref="E48:O48" si="13">EDATE(D48,-1)</f>
        <v>44958</v>
      </c>
      <c r="F48" s="2284">
        <f t="shared" si="13"/>
        <v>44927</v>
      </c>
      <c r="G48" s="2284">
        <f t="shared" si="13"/>
        <v>44896</v>
      </c>
      <c r="H48" s="2284">
        <f t="shared" si="13"/>
        <v>44866</v>
      </c>
      <c r="I48" s="2284">
        <f t="shared" si="13"/>
        <v>44835</v>
      </c>
      <c r="J48" s="2284">
        <f t="shared" si="13"/>
        <v>44805</v>
      </c>
      <c r="K48" s="2284">
        <f t="shared" si="13"/>
        <v>44774</v>
      </c>
      <c r="L48" s="2284">
        <f t="shared" si="13"/>
        <v>44743</v>
      </c>
      <c r="M48" s="2284">
        <f t="shared" si="13"/>
        <v>44713</v>
      </c>
      <c r="N48" s="2284">
        <f t="shared" si="13"/>
        <v>44682</v>
      </c>
      <c r="O48" s="2284">
        <f t="shared" si="13"/>
        <v>44652</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20" sqref="F2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71" t="s">
        <v>738</v>
      </c>
      <c r="D4" s="3872"/>
      <c r="E4" s="3893" t="s">
        <v>739</v>
      </c>
      <c r="F4" s="3894"/>
      <c r="G4" s="3871" t="s">
        <v>740</v>
      </c>
      <c r="H4" s="3872"/>
      <c r="I4" s="3871" t="s">
        <v>741</v>
      </c>
      <c r="J4" s="3872"/>
      <c r="K4" s="484" t="s">
        <v>742</v>
      </c>
      <c r="L4" s="1856"/>
      <c r="M4" s="1857"/>
      <c r="N4" s="1857"/>
      <c r="O4" s="1857"/>
      <c r="P4" s="3873" t="s">
        <v>743</v>
      </c>
      <c r="Q4" s="3874"/>
      <c r="R4" s="3857" t="s">
        <v>739</v>
      </c>
      <c r="S4" s="3858"/>
      <c r="T4" s="3857" t="s">
        <v>740</v>
      </c>
      <c r="U4" s="3858"/>
      <c r="V4" s="3879" t="s">
        <v>741</v>
      </c>
      <c r="W4" s="3879"/>
      <c r="X4" s="1380"/>
      <c r="Y4" s="3857" t="s">
        <v>743</v>
      </c>
      <c r="Z4" s="3858"/>
      <c r="AA4" s="3852" t="s">
        <v>739</v>
      </c>
      <c r="AB4" s="3853" t="s">
        <v>740</v>
      </c>
      <c r="AC4" s="3852" t="s">
        <v>741</v>
      </c>
    </row>
    <row r="5" spans="1:29" ht="15">
      <c r="A5" s="485"/>
      <c r="B5" s="486"/>
      <c r="C5" s="3882" t="s">
        <v>2192</v>
      </c>
      <c r="D5" s="3883"/>
      <c r="E5" s="3895" t="s">
        <v>2193</v>
      </c>
      <c r="F5" s="3896"/>
      <c r="G5" s="3882" t="s">
        <v>2194</v>
      </c>
      <c r="H5" s="3883"/>
      <c r="I5" s="3882" t="s">
        <v>2195</v>
      </c>
      <c r="J5" s="3883"/>
      <c r="K5" s="484"/>
      <c r="L5" s="1856"/>
      <c r="M5" s="1857"/>
      <c r="N5" s="1857"/>
      <c r="O5" s="1857"/>
      <c r="P5" s="3875"/>
      <c r="Q5" s="3876"/>
      <c r="R5" s="3859"/>
      <c r="S5" s="3860"/>
      <c r="T5" s="3859"/>
      <c r="U5" s="3860"/>
      <c r="V5" s="3879"/>
      <c r="W5" s="3879"/>
      <c r="X5" s="1380"/>
      <c r="Y5" s="3859"/>
      <c r="Z5" s="3860"/>
      <c r="AA5" s="3853"/>
      <c r="AB5" s="3853"/>
      <c r="AC5" s="3853"/>
    </row>
    <row r="6" spans="1:29" ht="15.75" thickBot="1">
      <c r="A6" s="487"/>
      <c r="B6" s="488"/>
      <c r="C6" s="3880" t="s">
        <v>2196</v>
      </c>
      <c r="D6" s="3881"/>
      <c r="E6" s="3897" t="s">
        <v>2196</v>
      </c>
      <c r="F6" s="3898"/>
      <c r="G6" s="3880" t="s">
        <v>2196</v>
      </c>
      <c r="H6" s="3881"/>
      <c r="I6" s="3880" t="s">
        <v>2196</v>
      </c>
      <c r="J6" s="3881"/>
      <c r="K6" s="484" t="s">
        <v>477</v>
      </c>
      <c r="L6" s="1856"/>
      <c r="M6" s="1857"/>
      <c r="N6" s="1857"/>
      <c r="O6" s="1857"/>
      <c r="P6" s="3877"/>
      <c r="Q6" s="3878"/>
      <c r="R6" s="3859"/>
      <c r="S6" s="3860"/>
      <c r="T6" s="3861"/>
      <c r="U6" s="3862"/>
      <c r="V6" s="3879"/>
      <c r="W6" s="3879"/>
      <c r="X6" s="1380"/>
      <c r="Y6" s="3861"/>
      <c r="Z6" s="3862"/>
      <c r="AA6" s="3854"/>
      <c r="AB6" s="3854"/>
      <c r="AC6" s="3854"/>
    </row>
    <row r="7" spans="1:29" s="1118" customFormat="1" ht="15.75" thickBot="1">
      <c r="A7" s="2392"/>
      <c r="B7" s="2399" t="s">
        <v>478</v>
      </c>
      <c r="C7" s="489">
        <f>'数据-取费表'!B2</f>
        <v>45028</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55" t="s">
        <v>479</v>
      </c>
      <c r="Q7" s="3864"/>
      <c r="R7" s="1381" t="s">
        <v>5</v>
      </c>
      <c r="S7" s="1382">
        <f t="shared" ref="S7:S14" si="0">F7</f>
        <v>0</v>
      </c>
      <c r="T7" s="1381" t="s">
        <v>5</v>
      </c>
      <c r="U7" s="1382">
        <f t="shared" ref="U7:U14" si="1">H7</f>
        <v>0</v>
      </c>
      <c r="V7" s="1381" t="s">
        <v>5</v>
      </c>
      <c r="W7" s="1382">
        <f t="shared" ref="W7:W14" si="2">J7</f>
        <v>0</v>
      </c>
      <c r="X7" s="1383"/>
      <c r="Y7" s="3855" t="s">
        <v>479</v>
      </c>
      <c r="Z7" s="3856"/>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55" t="s">
        <v>482</v>
      </c>
      <c r="Q8" s="3856"/>
      <c r="R8" s="1381" t="s">
        <v>5</v>
      </c>
      <c r="S8" s="1382">
        <f t="shared" si="0"/>
        <v>0</v>
      </c>
      <c r="T8" s="1381" t="s">
        <v>5</v>
      </c>
      <c r="U8" s="1382">
        <f t="shared" si="1"/>
        <v>0</v>
      </c>
      <c r="V8" s="1381" t="s">
        <v>5</v>
      </c>
      <c r="W8" s="1382">
        <f t="shared" si="2"/>
        <v>0</v>
      </c>
      <c r="X8" s="1383"/>
      <c r="Y8" s="3855" t="s">
        <v>482</v>
      </c>
      <c r="Z8" s="3856"/>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63" t="s">
        <v>484</v>
      </c>
      <c r="Q9" s="1050" t="str">
        <f t="shared" ref="Q9:Q14" si="6">B9</f>
        <v>用途</v>
      </c>
      <c r="R9" s="1381" t="s">
        <v>5</v>
      </c>
      <c r="S9" s="1382">
        <f t="shared" si="0"/>
        <v>100</v>
      </c>
      <c r="T9" s="1381" t="s">
        <v>5</v>
      </c>
      <c r="U9" s="1382">
        <f t="shared" si="1"/>
        <v>100</v>
      </c>
      <c r="V9" s="1381" t="s">
        <v>5</v>
      </c>
      <c r="W9" s="1382">
        <f t="shared" si="2"/>
        <v>100</v>
      </c>
      <c r="X9" s="1383"/>
      <c r="Y9" s="3811"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63"/>
      <c r="Q10" s="1050" t="str">
        <f t="shared" si="6"/>
        <v>土地使用年限（年）</v>
      </c>
      <c r="R10" s="1381" t="s">
        <v>5</v>
      </c>
      <c r="S10" s="1382">
        <f t="shared" si="0"/>
        <v>100</v>
      </c>
      <c r="T10" s="1381" t="s">
        <v>5</v>
      </c>
      <c r="U10" s="1382">
        <f t="shared" si="1"/>
        <v>100</v>
      </c>
      <c r="V10" s="1381" t="s">
        <v>5</v>
      </c>
      <c r="W10" s="1382">
        <f t="shared" si="2"/>
        <v>100</v>
      </c>
      <c r="X10" s="1383"/>
      <c r="Y10" s="3811"/>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63"/>
      <c r="Q11" s="1050">
        <f t="shared" si="6"/>
        <v>111</v>
      </c>
      <c r="R11" s="1381" t="s">
        <v>5</v>
      </c>
      <c r="S11" s="1382">
        <f t="shared" si="0"/>
        <v>100</v>
      </c>
      <c r="T11" s="1381" t="s">
        <v>5</v>
      </c>
      <c r="U11" s="1382">
        <f t="shared" si="1"/>
        <v>100</v>
      </c>
      <c r="V11" s="1381" t="s">
        <v>5</v>
      </c>
      <c r="W11" s="1382">
        <f t="shared" si="2"/>
        <v>100</v>
      </c>
      <c r="X11" s="1383"/>
      <c r="Y11" s="3811"/>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63"/>
      <c r="Q12" s="1050">
        <f t="shared" si="6"/>
        <v>111</v>
      </c>
      <c r="R12" s="1381" t="s">
        <v>5</v>
      </c>
      <c r="S12" s="1382">
        <f t="shared" si="0"/>
        <v>100</v>
      </c>
      <c r="T12" s="1381" t="s">
        <v>5</v>
      </c>
      <c r="U12" s="1382">
        <f t="shared" si="1"/>
        <v>100</v>
      </c>
      <c r="V12" s="1381" t="s">
        <v>5</v>
      </c>
      <c r="W12" s="1382">
        <f t="shared" si="2"/>
        <v>100</v>
      </c>
      <c r="X12" s="1383"/>
      <c r="Y12" s="3811"/>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63"/>
      <c r="Q13" s="1050">
        <f t="shared" si="6"/>
        <v>111</v>
      </c>
      <c r="R13" s="1381" t="s">
        <v>5</v>
      </c>
      <c r="S13" s="1382">
        <f t="shared" si="0"/>
        <v>100</v>
      </c>
      <c r="T13" s="1381" t="s">
        <v>5</v>
      </c>
      <c r="U13" s="1382">
        <f t="shared" si="1"/>
        <v>100</v>
      </c>
      <c r="V13" s="1381" t="s">
        <v>5</v>
      </c>
      <c r="W13" s="1382">
        <f t="shared" si="2"/>
        <v>100</v>
      </c>
      <c r="X13" s="1383"/>
      <c r="Y13" s="3811"/>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65" t="s">
        <v>489</v>
      </c>
      <c r="Q14" s="1385" t="str">
        <f t="shared" si="6"/>
        <v>交通便捷度</v>
      </c>
      <c r="R14" s="1386" t="s">
        <v>5</v>
      </c>
      <c r="S14" s="1387">
        <f t="shared" si="0"/>
        <v>100</v>
      </c>
      <c r="T14" s="1386" t="s">
        <v>5</v>
      </c>
      <c r="U14" s="1387">
        <f t="shared" si="1"/>
        <v>100</v>
      </c>
      <c r="V14" s="1386" t="s">
        <v>5</v>
      </c>
      <c r="W14" s="1387">
        <f t="shared" si="2"/>
        <v>100</v>
      </c>
      <c r="X14" s="1380"/>
      <c r="Y14" s="3865"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66"/>
      <c r="Q15" s="1385"/>
      <c r="R15" s="1386"/>
      <c r="S15" s="1387"/>
      <c r="T15" s="1386"/>
      <c r="U15" s="1387"/>
      <c r="V15" s="1386"/>
      <c r="W15" s="1387"/>
      <c r="X15" s="1380"/>
      <c r="Y15" s="3866"/>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66"/>
      <c r="Q16" s="1385" t="str">
        <f>B16</f>
        <v>公共配套设施</v>
      </c>
      <c r="R16" s="1386" t="s">
        <v>5</v>
      </c>
      <c r="S16" s="1387">
        <f>F16</f>
        <v>100</v>
      </c>
      <c r="T16" s="1386" t="s">
        <v>5</v>
      </c>
      <c r="U16" s="1387">
        <f>H16</f>
        <v>100</v>
      </c>
      <c r="V16" s="1386" t="s">
        <v>5</v>
      </c>
      <c r="W16" s="1387">
        <f>J16</f>
        <v>100</v>
      </c>
      <c r="X16" s="1380"/>
      <c r="Y16" s="3866"/>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66"/>
      <c r="Q17" s="1385"/>
      <c r="R17" s="1386"/>
      <c r="S17" s="1387"/>
      <c r="T17" s="1386"/>
      <c r="U17" s="1387"/>
      <c r="V17" s="1386"/>
      <c r="W17" s="1387"/>
      <c r="X17" s="1380"/>
      <c r="Y17" s="3866"/>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66"/>
      <c r="Q18" s="2193" t="str">
        <f>B18</f>
        <v>基础设施水平</v>
      </c>
      <c r="R18" s="1386" t="s">
        <v>5</v>
      </c>
      <c r="S18" s="1387">
        <f>F18</f>
        <v>100</v>
      </c>
      <c r="T18" s="1386" t="s">
        <v>5</v>
      </c>
      <c r="U18" s="1387">
        <f>H18</f>
        <v>100</v>
      </c>
      <c r="V18" s="1386" t="s">
        <v>5</v>
      </c>
      <c r="W18" s="1387">
        <f>J18</f>
        <v>100</v>
      </c>
      <c r="X18" s="2195"/>
      <c r="Y18" s="3866"/>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66"/>
      <c r="Q19" s="2193"/>
      <c r="R19" s="1386"/>
      <c r="S19" s="1387"/>
      <c r="T19" s="1386"/>
      <c r="U19" s="1387"/>
      <c r="V19" s="1386"/>
      <c r="W19" s="1387"/>
      <c r="X19" s="2195"/>
      <c r="Y19" s="3866"/>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66"/>
      <c r="Q20" s="1385" t="str">
        <f>B20</f>
        <v>自然及人文环境</v>
      </c>
      <c r="R20" s="1386" t="s">
        <v>5</v>
      </c>
      <c r="S20" s="1387">
        <f>F20</f>
        <v>100</v>
      </c>
      <c r="T20" s="1386" t="s">
        <v>5</v>
      </c>
      <c r="U20" s="1387">
        <f>H20</f>
        <v>100</v>
      </c>
      <c r="V20" s="1386" t="s">
        <v>5</v>
      </c>
      <c r="W20" s="1387">
        <f>J20</f>
        <v>100</v>
      </c>
      <c r="X20" s="1380"/>
      <c r="Y20" s="3866"/>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66"/>
      <c r="Q21" s="1385"/>
      <c r="R21" s="1386"/>
      <c r="S21" s="1387"/>
      <c r="T21" s="1386"/>
      <c r="U21" s="1387"/>
      <c r="V21" s="1386"/>
      <c r="W21" s="1387"/>
      <c r="X21" s="1380"/>
      <c r="Y21" s="3866"/>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66"/>
      <c r="Q22" s="1385" t="str">
        <f>B22</f>
        <v>楼层</v>
      </c>
      <c r="R22" s="1386" t="s">
        <v>5</v>
      </c>
      <c r="S22" s="1387">
        <f>F22</f>
        <v>100</v>
      </c>
      <c r="T22" s="1386" t="s">
        <v>5</v>
      </c>
      <c r="U22" s="1387">
        <f>H22</f>
        <v>100</v>
      </c>
      <c r="V22" s="1386" t="s">
        <v>5</v>
      </c>
      <c r="W22" s="1387">
        <f>J22</f>
        <v>100</v>
      </c>
      <c r="X22" s="1380"/>
      <c r="Y22" s="3866"/>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66"/>
      <c r="Q23" s="1385">
        <f>B23</f>
        <v>111</v>
      </c>
      <c r="R23" s="1386" t="s">
        <v>5</v>
      </c>
      <c r="S23" s="1387">
        <f>F23</f>
        <v>100</v>
      </c>
      <c r="T23" s="1386" t="s">
        <v>5</v>
      </c>
      <c r="U23" s="1387">
        <f>H23</f>
        <v>100</v>
      </c>
      <c r="V23" s="1386" t="s">
        <v>5</v>
      </c>
      <c r="W23" s="1387">
        <f>J23</f>
        <v>100</v>
      </c>
      <c r="X23" s="1380"/>
      <c r="Y23" s="3866"/>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66"/>
      <c r="Q24" s="1385">
        <f t="shared" ref="Q24:Q34" si="8">B24</f>
        <v>111</v>
      </c>
      <c r="R24" s="1386" t="s">
        <v>5</v>
      </c>
      <c r="S24" s="1387">
        <f>F24</f>
        <v>100</v>
      </c>
      <c r="T24" s="1386" t="s">
        <v>5</v>
      </c>
      <c r="U24" s="1387">
        <f>H24</f>
        <v>100</v>
      </c>
      <c r="V24" s="1386" t="s">
        <v>5</v>
      </c>
      <c r="W24" s="1387">
        <f>J24</f>
        <v>100</v>
      </c>
      <c r="X24" s="1380"/>
      <c r="Y24" s="3866"/>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66"/>
      <c r="Q25" s="1050">
        <f t="shared" si="8"/>
        <v>111</v>
      </c>
      <c r="R25" s="1381" t="s">
        <v>5</v>
      </c>
      <c r="S25" s="1382">
        <f>F25</f>
        <v>100</v>
      </c>
      <c r="T25" s="1381" t="s">
        <v>5</v>
      </c>
      <c r="U25" s="1382">
        <f>H25</f>
        <v>100</v>
      </c>
      <c r="V25" s="1381" t="s">
        <v>5</v>
      </c>
      <c r="W25" s="1382">
        <f>J25</f>
        <v>100</v>
      </c>
      <c r="X25" s="1383"/>
      <c r="Y25" s="3866"/>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67"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68"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68"/>
      <c r="Q27" s="1414" t="str">
        <f t="shared" si="8"/>
        <v>成新率</v>
      </c>
      <c r="R27" s="1390" t="s">
        <v>5</v>
      </c>
      <c r="S27" s="1391" t="e">
        <f t="shared" si="9"/>
        <v>#N/A</v>
      </c>
      <c r="T27" s="1390" t="s">
        <v>5</v>
      </c>
      <c r="U27" s="1391" t="e">
        <f t="shared" si="10"/>
        <v>#N/A</v>
      </c>
      <c r="V27" s="1390" t="s">
        <v>5</v>
      </c>
      <c r="W27" s="1391" t="e">
        <f t="shared" si="11"/>
        <v>#N/A</v>
      </c>
      <c r="X27" s="1392"/>
      <c r="Y27" s="3868"/>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68"/>
      <c r="Q28" s="1385" t="str">
        <f t="shared" si="8"/>
        <v>物业等级</v>
      </c>
      <c r="R28" s="1386" t="s">
        <v>5</v>
      </c>
      <c r="S28" s="1387">
        <f t="shared" si="9"/>
        <v>100</v>
      </c>
      <c r="T28" s="1386" t="s">
        <v>5</v>
      </c>
      <c r="U28" s="1387">
        <f t="shared" si="10"/>
        <v>100</v>
      </c>
      <c r="V28" s="1386" t="s">
        <v>5</v>
      </c>
      <c r="W28" s="1387">
        <f t="shared" si="11"/>
        <v>100</v>
      </c>
      <c r="X28" s="1380"/>
      <c r="Y28" s="3868"/>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68"/>
      <c r="Q29" s="1385" t="str">
        <f t="shared" si="8"/>
        <v>有无电梯</v>
      </c>
      <c r="R29" s="1386" t="s">
        <v>5</v>
      </c>
      <c r="S29" s="1387">
        <f t="shared" si="9"/>
        <v>100</v>
      </c>
      <c r="T29" s="1386" t="s">
        <v>5</v>
      </c>
      <c r="U29" s="1387">
        <f t="shared" si="10"/>
        <v>100</v>
      </c>
      <c r="V29" s="1386" t="s">
        <v>5</v>
      </c>
      <c r="W29" s="1387">
        <f t="shared" si="11"/>
        <v>100</v>
      </c>
      <c r="X29" s="1380"/>
      <c r="Y29" s="3868"/>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68"/>
      <c r="Q30" s="1385" t="str">
        <f t="shared" si="8"/>
        <v>建筑面积</v>
      </c>
      <c r="R30" s="1386" t="s">
        <v>5</v>
      </c>
      <c r="S30" s="1387" t="e">
        <f t="shared" si="9"/>
        <v>#N/A</v>
      </c>
      <c r="T30" s="1386" t="s">
        <v>5</v>
      </c>
      <c r="U30" s="1387" t="e">
        <f t="shared" si="10"/>
        <v>#N/A</v>
      </c>
      <c r="V30" s="1386" t="s">
        <v>5</v>
      </c>
      <c r="W30" s="1387" t="e">
        <f t="shared" si="11"/>
        <v>#N/A</v>
      </c>
      <c r="X30" s="1380"/>
      <c r="Y30" s="3868"/>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68"/>
      <c r="Q31" s="1050" t="str">
        <f t="shared" si="8"/>
        <v>是否封闭</v>
      </c>
      <c r="R31" s="1381" t="s">
        <v>5</v>
      </c>
      <c r="S31" s="1382">
        <f t="shared" si="9"/>
        <v>100</v>
      </c>
      <c r="T31" s="1381" t="s">
        <v>5</v>
      </c>
      <c r="U31" s="1382">
        <f t="shared" si="10"/>
        <v>100</v>
      </c>
      <c r="V31" s="1381" t="s">
        <v>5</v>
      </c>
      <c r="W31" s="1382">
        <f t="shared" si="11"/>
        <v>100</v>
      </c>
      <c r="X31" s="1383"/>
      <c r="Y31" s="3868"/>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68" t="s">
        <v>499</v>
      </c>
      <c r="Q32" s="1385">
        <f t="shared" si="8"/>
        <v>111</v>
      </c>
      <c r="R32" s="1386" t="s">
        <v>5</v>
      </c>
      <c r="S32" s="1387">
        <f t="shared" si="9"/>
        <v>100</v>
      </c>
      <c r="T32" s="1386" t="s">
        <v>5</v>
      </c>
      <c r="U32" s="1387">
        <f t="shared" si="10"/>
        <v>100</v>
      </c>
      <c r="V32" s="1386" t="s">
        <v>5</v>
      </c>
      <c r="W32" s="1387">
        <f t="shared" si="11"/>
        <v>100</v>
      </c>
      <c r="X32" s="1380"/>
      <c r="Y32" s="3868"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68"/>
      <c r="Q33" s="1385">
        <f t="shared" si="8"/>
        <v>111</v>
      </c>
      <c r="R33" s="1386" t="s">
        <v>5</v>
      </c>
      <c r="S33" s="1387">
        <f t="shared" si="9"/>
        <v>100</v>
      </c>
      <c r="T33" s="1386" t="s">
        <v>5</v>
      </c>
      <c r="U33" s="1387">
        <f t="shared" si="10"/>
        <v>100</v>
      </c>
      <c r="V33" s="1386" t="s">
        <v>5</v>
      </c>
      <c r="W33" s="1387">
        <f t="shared" si="11"/>
        <v>100</v>
      </c>
      <c r="X33" s="1380"/>
      <c r="Y33" s="3868"/>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68"/>
      <c r="Q34" s="1385">
        <f t="shared" si="8"/>
        <v>111</v>
      </c>
      <c r="R34" s="1386" t="s">
        <v>5</v>
      </c>
      <c r="S34" s="1387">
        <f t="shared" si="9"/>
        <v>100</v>
      </c>
      <c r="T34" s="1386" t="s">
        <v>5</v>
      </c>
      <c r="U34" s="1387">
        <f t="shared" si="10"/>
        <v>100</v>
      </c>
      <c r="V34" s="1386" t="s">
        <v>5</v>
      </c>
      <c r="W34" s="1387">
        <f t="shared" si="11"/>
        <v>100</v>
      </c>
      <c r="X34" s="1380"/>
      <c r="Y34" s="3868"/>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63" t="str">
        <f>A35</f>
        <v>成交单价（元/平方米）</v>
      </c>
      <c r="Q35" s="3863"/>
      <c r="R35" s="3977">
        <f>E35</f>
        <v>0</v>
      </c>
      <c r="S35" s="3977"/>
      <c r="T35" s="3977">
        <f>G35</f>
        <v>0</v>
      </c>
      <c r="U35" s="3977"/>
      <c r="V35" s="3977">
        <f>I35</f>
        <v>0</v>
      </c>
      <c r="W35" s="3977"/>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63" t="str">
        <f>A36</f>
        <v>比较价格（元/平方米）</v>
      </c>
      <c r="Q36" s="3863"/>
      <c r="R36" s="3977" t="e">
        <f>IF(F1="售价",ROUND(PRODUCT(R35,AA7:AA34),0),ROUND(PRODUCT(R35,AA7:AA34),1))</f>
        <v>#DIV/0!</v>
      </c>
      <c r="S36" s="3977"/>
      <c r="T36" s="3977" t="e">
        <f>IF(F1="售价",ROUND(PRODUCT(T35,AB7:AB34),0),ROUND(PRODUCT(T35,AB7:AB34),1))</f>
        <v>#DIV/0!</v>
      </c>
      <c r="U36" s="3977"/>
      <c r="V36" s="3977" t="e">
        <f>IF(F1="售价",ROUND(PRODUCT(V35,AC7:AC34),0),ROUND(PRODUCT(V35,AC7:AC34),1))</f>
        <v>#DIV/0!</v>
      </c>
      <c r="W36" s="3977"/>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69" t="str">
        <f>A37</f>
        <v>估价对象XX用房的比较价格（楼面单价，元/平方米）</v>
      </c>
      <c r="Q37" s="3870"/>
      <c r="R37" s="3976" t="e">
        <f>IF(F1="售价",ROUND(IF(D36="简单平均",AVERAGE(R36:W36),R36*F36+T36*H36+V36*J36),0),ROUND(IF(D36="简单平均",AVERAGE(R36:V36),R36*F36+T36*H36+V36*J36),1))</f>
        <v>#DIV/0!</v>
      </c>
      <c r="S37" s="3976"/>
      <c r="T37" s="3976"/>
      <c r="U37" s="3976"/>
      <c r="V37" s="3976"/>
      <c r="W37" s="3976"/>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2023-4</v>
      </c>
      <c r="D46" s="2284">
        <f>EDATE(C46,-1)</f>
        <v>44986</v>
      </c>
      <c r="E46" s="2284">
        <f t="shared" ref="E46:O46" si="13">EDATE(D46,-1)</f>
        <v>44958</v>
      </c>
      <c r="F46" s="2284">
        <f t="shared" si="13"/>
        <v>44927</v>
      </c>
      <c r="G46" s="2284">
        <f t="shared" si="13"/>
        <v>44896</v>
      </c>
      <c r="H46" s="2284">
        <f t="shared" si="13"/>
        <v>44866</v>
      </c>
      <c r="I46" s="2284">
        <f t="shared" si="13"/>
        <v>44835</v>
      </c>
      <c r="J46" s="2284">
        <f t="shared" si="13"/>
        <v>44805</v>
      </c>
      <c r="K46" s="2284">
        <f t="shared" si="13"/>
        <v>44774</v>
      </c>
      <c r="L46" s="2284">
        <f t="shared" si="13"/>
        <v>44743</v>
      </c>
      <c r="M46" s="2284">
        <f t="shared" si="13"/>
        <v>44713</v>
      </c>
      <c r="N46" s="2284">
        <f t="shared" si="13"/>
        <v>44682</v>
      </c>
      <c r="O46" s="2284">
        <f t="shared" si="13"/>
        <v>44652</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20" sqref="F20"/>
      <selection pane="bottomLeft" activeCell="F20" sqref="F20"/>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86" t="s">
        <v>1661</v>
      </c>
      <c r="D1" s="3987"/>
      <c r="E1" s="3987"/>
      <c r="F1" s="3987"/>
      <c r="G1" s="3987"/>
      <c r="H1" s="3987"/>
      <c r="I1" s="3987"/>
      <c r="J1" s="3987"/>
      <c r="K1" s="3987"/>
      <c r="L1" s="3987"/>
      <c r="M1" s="3987"/>
      <c r="N1" s="3987"/>
      <c r="O1" s="3987"/>
      <c r="P1" s="3987"/>
      <c r="Q1" s="3987"/>
      <c r="R1" s="3987"/>
      <c r="S1" s="3988"/>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83" t="s">
        <v>14</v>
      </c>
      <c r="D22" s="3984"/>
      <c r="E22" s="3984"/>
      <c r="F22" s="3984"/>
      <c r="G22" s="3984"/>
      <c r="H22" s="3984"/>
      <c r="I22" s="3984"/>
      <c r="J22" s="3984"/>
      <c r="K22" s="3984"/>
      <c r="L22" s="3984"/>
      <c r="M22" s="3984"/>
      <c r="N22" s="3984"/>
      <c r="O22" s="3984"/>
      <c r="P22" s="3984"/>
      <c r="Q22" s="3985"/>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45028</v>
      </c>
      <c r="H1" s="2417">
        <f>IF(C1&gt;C13,0,MATCH(C1,C$13:C$109,-1))+IF(SUMIF(C13:C109,C1,D13:D109)=0,13,12)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2</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1"/>
  <sheetViews>
    <sheetView zoomScaleNormal="100" workbookViewId="0">
      <pane xSplit="2" ySplit="1" topLeftCell="D8" activePane="bottomRight" state="frozen"/>
      <selection pane="topRight" activeCell="C1" sqref="C1"/>
      <selection pane="bottomLeft" activeCell="A2" sqref="A2"/>
      <selection pane="bottomRight" activeCell="AA40" sqref="AA40"/>
    </sheetView>
  </sheetViews>
  <sheetFormatPr defaultRowHeight="12"/>
  <cols>
    <col min="1" max="1" width="20" style="3664" customWidth="1"/>
    <col min="2" max="2" width="20" style="3664" hidden="1" customWidth="1"/>
    <col min="3" max="3" width="12.375" style="3664" customWidth="1"/>
    <col min="4" max="4" width="10.625" style="3664" customWidth="1"/>
    <col min="5" max="5" width="10.625" style="3664" hidden="1" customWidth="1"/>
    <col min="6" max="6" width="20" style="3664" hidden="1" customWidth="1"/>
    <col min="7" max="7" width="11.375" style="3664" customWidth="1"/>
    <col min="8" max="8" width="12.5" style="3664" customWidth="1"/>
    <col min="9" max="9" width="20" style="3664" customWidth="1"/>
    <col min="10" max="10" width="20" style="3664" hidden="1" customWidth="1"/>
    <col min="11" max="11" width="20" style="3664" customWidth="1"/>
    <col min="12" max="12" width="20" style="3664" hidden="1" customWidth="1"/>
    <col min="13" max="13" width="10.25" style="3664" customWidth="1"/>
    <col min="14" max="14" width="20" style="3664" hidden="1" customWidth="1"/>
    <col min="15" max="15" width="20" style="3664" customWidth="1"/>
    <col min="16" max="26" width="20" style="3664" hidden="1" customWidth="1"/>
    <col min="27" max="27" width="12.375" style="3664" customWidth="1"/>
    <col min="28" max="29" width="20" style="3664" hidden="1" customWidth="1"/>
    <col min="30" max="30" width="20" style="3664" customWidth="1"/>
    <col min="31" max="35" width="20" style="3664" hidden="1" customWidth="1"/>
    <col min="36" max="36" width="11.25" style="3664" customWidth="1"/>
    <col min="37" max="37" width="20" style="3664" hidden="1" customWidth="1"/>
    <col min="38" max="38" width="10" style="3664" customWidth="1"/>
    <col min="39" max="39" width="20" style="3664" hidden="1" customWidth="1"/>
    <col min="40" max="40" width="9.25" style="3664" customWidth="1"/>
    <col min="41" max="42" width="20" style="3664" hidden="1" customWidth="1"/>
    <col min="43" max="43" width="8.625" style="3664" customWidth="1"/>
    <col min="44" max="44" width="20" style="3664" customWidth="1"/>
    <col min="45" max="51" width="20" style="3664" hidden="1" customWidth="1"/>
    <col min="52" max="16384" width="9" style="3664"/>
  </cols>
  <sheetData>
    <row r="1" spans="1:50">
      <c r="A1" s="3664" t="s">
        <v>3284</v>
      </c>
      <c r="B1" s="3664" t="s">
        <v>3285</v>
      </c>
      <c r="C1" s="3664" t="s">
        <v>3286</v>
      </c>
      <c r="D1" s="3664" t="s">
        <v>3287</v>
      </c>
      <c r="E1" s="3664" t="s">
        <v>3288</v>
      </c>
      <c r="F1" s="3664" t="s">
        <v>3289</v>
      </c>
      <c r="G1" s="3664" t="s">
        <v>3290</v>
      </c>
      <c r="H1" s="3664" t="s">
        <v>3291</v>
      </c>
      <c r="I1" s="3664" t="s">
        <v>1550</v>
      </c>
      <c r="J1" s="3664" t="s">
        <v>3292</v>
      </c>
      <c r="K1" s="3664" t="s">
        <v>3293</v>
      </c>
      <c r="L1" s="3664" t="s">
        <v>3294</v>
      </c>
      <c r="M1" s="3664" t="s">
        <v>3295</v>
      </c>
      <c r="N1" s="3664" t="s">
        <v>3296</v>
      </c>
      <c r="O1" s="3664" t="s">
        <v>3297</v>
      </c>
      <c r="P1" s="3664" t="s">
        <v>3298</v>
      </c>
      <c r="Q1" s="3664" t="s">
        <v>3299</v>
      </c>
      <c r="R1" s="3664" t="s">
        <v>3300</v>
      </c>
      <c r="S1" s="3664" t="s">
        <v>3301</v>
      </c>
      <c r="T1" s="3664" t="s">
        <v>3302</v>
      </c>
      <c r="U1" s="3664" t="s">
        <v>3303</v>
      </c>
      <c r="V1" s="3664" t="s">
        <v>3304</v>
      </c>
      <c r="W1" s="3664" t="s">
        <v>3305</v>
      </c>
      <c r="X1" s="3664" t="s">
        <v>3306</v>
      </c>
      <c r="Y1" s="3664" t="s">
        <v>3307</v>
      </c>
      <c r="Z1" s="3664" t="s">
        <v>3308</v>
      </c>
      <c r="AA1" s="3664" t="s">
        <v>3309</v>
      </c>
      <c r="AB1" s="3664" t="s">
        <v>3310</v>
      </c>
      <c r="AC1" s="3664" t="s">
        <v>3311</v>
      </c>
      <c r="AD1" s="3664" t="s">
        <v>3312</v>
      </c>
      <c r="AE1" s="3664" t="s">
        <v>3313</v>
      </c>
      <c r="AF1" s="3664" t="s">
        <v>3314</v>
      </c>
      <c r="AG1" s="3664" t="s">
        <v>3315</v>
      </c>
      <c r="AH1" s="3664" t="s">
        <v>3316</v>
      </c>
      <c r="AI1" s="3664" t="s">
        <v>3317</v>
      </c>
      <c r="AJ1" s="3664" t="s">
        <v>3318</v>
      </c>
      <c r="AK1" s="3664" t="s">
        <v>3319</v>
      </c>
      <c r="AL1" s="3664" t="s">
        <v>3320</v>
      </c>
      <c r="AM1" s="3664" t="s">
        <v>3321</v>
      </c>
      <c r="AN1" s="3664" t="s">
        <v>3322</v>
      </c>
      <c r="AO1" s="3664" t="s">
        <v>3323</v>
      </c>
      <c r="AP1" s="3664" t="s">
        <v>3324</v>
      </c>
      <c r="AQ1" s="3664" t="s">
        <v>3325</v>
      </c>
      <c r="AR1" s="3664" t="s">
        <v>3326</v>
      </c>
      <c r="AS1" s="3664" t="s">
        <v>3327</v>
      </c>
      <c r="AT1" s="3664" t="s">
        <v>3328</v>
      </c>
      <c r="AU1" s="3664" t="s">
        <v>3329</v>
      </c>
      <c r="AV1" s="3664" t="s">
        <v>3330</v>
      </c>
      <c r="AW1" s="3664" t="s">
        <v>3331</v>
      </c>
      <c r="AX1" s="3664" t="s">
        <v>3332</v>
      </c>
    </row>
    <row r="2" spans="1:50">
      <c r="A2" s="3664" t="s">
        <v>3333</v>
      </c>
      <c r="B2" s="3664" t="s">
        <v>3334</v>
      </c>
      <c r="C2" s="3664" t="s">
        <v>3335</v>
      </c>
      <c r="D2" s="3664" t="s">
        <v>3336</v>
      </c>
      <c r="E2" s="3664" t="s">
        <v>3337</v>
      </c>
      <c r="F2" s="3664" t="s">
        <v>3338</v>
      </c>
      <c r="G2" s="3664">
        <v>56503.14</v>
      </c>
      <c r="H2" s="3664">
        <v>101705.65</v>
      </c>
      <c r="I2" s="3664" t="s">
        <v>3339</v>
      </c>
      <c r="J2" s="3664" t="s">
        <v>3340</v>
      </c>
      <c r="K2" s="3664" t="s">
        <v>3341</v>
      </c>
      <c r="L2" s="3664" t="s">
        <v>3342</v>
      </c>
      <c r="M2" s="3664" t="s">
        <v>3343</v>
      </c>
      <c r="N2" s="3664" t="s">
        <v>3344</v>
      </c>
      <c r="O2" s="3664" t="s">
        <v>3345</v>
      </c>
      <c r="P2" s="3664" t="s">
        <v>3346</v>
      </c>
      <c r="Q2" s="3664" t="s">
        <v>3346</v>
      </c>
      <c r="R2" s="3664" t="s">
        <v>3346</v>
      </c>
      <c r="S2" s="3664" t="s">
        <v>3346</v>
      </c>
      <c r="T2" s="3664" t="s">
        <v>3346</v>
      </c>
      <c r="U2" s="3664" t="s">
        <v>3346</v>
      </c>
      <c r="V2" s="3664">
        <v>0</v>
      </c>
      <c r="W2" s="3664">
        <v>0</v>
      </c>
      <c r="X2" s="3665">
        <v>44882.000497685185</v>
      </c>
      <c r="Y2" s="3665">
        <v>44903.000497685185</v>
      </c>
      <c r="Z2" s="3665">
        <v>44910.000497685185</v>
      </c>
      <c r="AA2" s="3665">
        <v>44910.000497685185</v>
      </c>
      <c r="AB2" s="3664" t="s">
        <v>3347</v>
      </c>
      <c r="AC2" s="3664" t="s">
        <v>3348</v>
      </c>
      <c r="AD2" s="3664" t="s">
        <v>3349</v>
      </c>
      <c r="AE2" s="3664" t="s">
        <v>3350</v>
      </c>
      <c r="AF2" s="3664" t="s">
        <v>3351</v>
      </c>
      <c r="AG2" s="3664">
        <v>24917.88</v>
      </c>
      <c r="AH2" s="3664">
        <v>7475</v>
      </c>
      <c r="AI2" s="3664" t="s">
        <v>3352</v>
      </c>
      <c r="AJ2" s="3664">
        <v>24917.88</v>
      </c>
      <c r="AK2" s="3664">
        <v>294</v>
      </c>
      <c r="AL2" s="3664">
        <v>294</v>
      </c>
      <c r="AM2" s="3664">
        <v>2450</v>
      </c>
      <c r="AN2" s="3664">
        <v>2450</v>
      </c>
      <c r="AO2" s="3664" t="s">
        <v>3346</v>
      </c>
      <c r="AP2" s="3664" t="s">
        <v>3346</v>
      </c>
      <c r="AQ2" s="3664">
        <v>0</v>
      </c>
      <c r="AR2" s="3664" t="s">
        <v>3353</v>
      </c>
      <c r="AS2" s="3664" t="s">
        <v>3343</v>
      </c>
      <c r="AT2" s="3664" t="s">
        <v>3346</v>
      </c>
      <c r="AU2" s="3664" t="s">
        <v>3343</v>
      </c>
      <c r="AV2" s="3664" t="s">
        <v>3346</v>
      </c>
      <c r="AW2" s="3664" t="s">
        <v>3346</v>
      </c>
      <c r="AX2" s="3664" t="s">
        <v>3346</v>
      </c>
    </row>
    <row r="3" spans="1:50">
      <c r="A3" s="3664" t="s">
        <v>3354</v>
      </c>
      <c r="B3" s="3664" t="s">
        <v>3334</v>
      </c>
      <c r="C3" s="3664" t="s">
        <v>3355</v>
      </c>
      <c r="D3" s="3664" t="s">
        <v>3336</v>
      </c>
      <c r="E3" s="3664" t="s">
        <v>3356</v>
      </c>
      <c r="F3" s="3664" t="s">
        <v>3338</v>
      </c>
      <c r="G3" s="3664">
        <v>73333.95</v>
      </c>
      <c r="H3" s="3664">
        <v>146667.9</v>
      </c>
      <c r="I3" s="3664" t="s">
        <v>3357</v>
      </c>
      <c r="J3" s="3664" t="s">
        <v>3340</v>
      </c>
      <c r="K3" s="3664" t="s">
        <v>3358</v>
      </c>
      <c r="L3" s="3664" t="s">
        <v>3342</v>
      </c>
      <c r="M3" s="3664" t="s">
        <v>3343</v>
      </c>
      <c r="N3" s="3664" t="s">
        <v>3344</v>
      </c>
      <c r="O3" s="3664" t="s">
        <v>3359</v>
      </c>
      <c r="P3" s="3664" t="s">
        <v>3346</v>
      </c>
      <c r="Q3" s="3664" t="s">
        <v>3346</v>
      </c>
      <c r="R3" s="3664" t="s">
        <v>3346</v>
      </c>
      <c r="S3" s="3664" t="s">
        <v>3346</v>
      </c>
      <c r="T3" s="3664" t="s">
        <v>3346</v>
      </c>
      <c r="U3" s="3664" t="s">
        <v>3346</v>
      </c>
      <c r="V3" s="3664">
        <v>0</v>
      </c>
      <c r="W3" s="3664">
        <v>0</v>
      </c>
      <c r="X3" s="3665">
        <v>44882.000497685185</v>
      </c>
      <c r="Y3" s="3665">
        <v>44903.000497685185</v>
      </c>
      <c r="Z3" s="3665">
        <v>44910.000497685185</v>
      </c>
      <c r="AA3" s="3665">
        <v>44910.000497685185</v>
      </c>
      <c r="AB3" s="3664" t="s">
        <v>3347</v>
      </c>
      <c r="AC3" s="3664" t="s">
        <v>3348</v>
      </c>
      <c r="AD3" s="3664" t="s">
        <v>3349</v>
      </c>
      <c r="AE3" s="3664" t="s">
        <v>3350</v>
      </c>
      <c r="AF3" s="3664" t="s">
        <v>3351</v>
      </c>
      <c r="AG3" s="3664">
        <v>35420.300000000003</v>
      </c>
      <c r="AH3" s="3664">
        <v>10626</v>
      </c>
      <c r="AI3" s="3664" t="s">
        <v>3352</v>
      </c>
      <c r="AJ3" s="3664">
        <v>35420.300000000003</v>
      </c>
      <c r="AK3" s="3664">
        <v>322</v>
      </c>
      <c r="AL3" s="3664">
        <v>322</v>
      </c>
      <c r="AM3" s="3664">
        <v>2415</v>
      </c>
      <c r="AN3" s="3664">
        <v>2415</v>
      </c>
      <c r="AO3" s="3664" t="s">
        <v>3346</v>
      </c>
      <c r="AP3" s="3664" t="s">
        <v>3346</v>
      </c>
      <c r="AQ3" s="3664">
        <v>0</v>
      </c>
      <c r="AR3" s="3664" t="s">
        <v>3353</v>
      </c>
      <c r="AS3" s="3664" t="s">
        <v>3343</v>
      </c>
      <c r="AT3" s="3664" t="s">
        <v>3346</v>
      </c>
      <c r="AU3" s="3664" t="s">
        <v>3343</v>
      </c>
      <c r="AV3" s="3664" t="s">
        <v>3346</v>
      </c>
      <c r="AW3" s="3664" t="s">
        <v>3346</v>
      </c>
      <c r="AX3" s="3664" t="s">
        <v>3346</v>
      </c>
    </row>
    <row r="4" spans="1:50" s="3666" customFormat="1">
      <c r="A4" s="3666" t="s">
        <v>3360</v>
      </c>
      <c r="B4" s="3666" t="s">
        <v>3334</v>
      </c>
      <c r="C4" s="3666" t="s">
        <v>3361</v>
      </c>
      <c r="D4" s="3666" t="s">
        <v>3362</v>
      </c>
      <c r="E4" s="3666" t="s">
        <v>3363</v>
      </c>
      <c r="F4" s="3666" t="s">
        <v>3338</v>
      </c>
      <c r="G4" s="3666">
        <v>45702.16</v>
      </c>
      <c r="H4" s="3666">
        <v>91404</v>
      </c>
      <c r="I4" s="3666" t="s">
        <v>3364</v>
      </c>
      <c r="J4" s="3666" t="s">
        <v>3340</v>
      </c>
      <c r="K4" s="3666" t="s">
        <v>3365</v>
      </c>
      <c r="L4" s="3666" t="s">
        <v>3342</v>
      </c>
      <c r="M4" s="3666" t="s">
        <v>3343</v>
      </c>
      <c r="N4" s="3666" t="s">
        <v>3366</v>
      </c>
      <c r="O4" s="3666" t="s">
        <v>3367</v>
      </c>
      <c r="P4" s="3666" t="s">
        <v>3346</v>
      </c>
      <c r="Q4" s="3666" t="s">
        <v>3346</v>
      </c>
      <c r="R4" s="3666" t="s">
        <v>3346</v>
      </c>
      <c r="S4" s="3666" t="s">
        <v>3346</v>
      </c>
      <c r="T4" s="3666" t="s">
        <v>3346</v>
      </c>
      <c r="U4" s="3666" t="s">
        <v>3346</v>
      </c>
      <c r="V4" s="3666">
        <v>0</v>
      </c>
      <c r="W4" s="3666">
        <v>0</v>
      </c>
      <c r="X4" s="3667">
        <v>44631.000497685185</v>
      </c>
      <c r="Y4" s="3667">
        <v>44658.000497685185</v>
      </c>
      <c r="Z4" s="3667">
        <v>44658.000497685185</v>
      </c>
      <c r="AA4" s="3667">
        <v>44658.000497685185</v>
      </c>
      <c r="AB4" s="3666" t="s">
        <v>3368</v>
      </c>
      <c r="AC4" s="3666" t="s">
        <v>3348</v>
      </c>
      <c r="AD4" s="3666" t="s">
        <v>3369</v>
      </c>
      <c r="AE4" s="3666" t="s">
        <v>3370</v>
      </c>
      <c r="AF4" s="3666" t="s">
        <v>3371</v>
      </c>
      <c r="AG4" s="3666">
        <v>25593.119999999999</v>
      </c>
      <c r="AH4" s="3666">
        <v>7677</v>
      </c>
      <c r="AI4" s="3666" t="s">
        <v>3372</v>
      </c>
      <c r="AJ4" s="3666">
        <v>25593.119999999999</v>
      </c>
      <c r="AK4" s="3666">
        <v>373.33</v>
      </c>
      <c r="AL4" s="3666">
        <v>373.33</v>
      </c>
      <c r="AM4" s="3666">
        <v>2800</v>
      </c>
      <c r="AN4" s="3666">
        <v>2800</v>
      </c>
      <c r="AO4" s="3666" t="s">
        <v>3346</v>
      </c>
      <c r="AP4" s="3666" t="s">
        <v>3346</v>
      </c>
      <c r="AQ4" s="3666">
        <v>0</v>
      </c>
      <c r="AR4" s="3666" t="s">
        <v>3353</v>
      </c>
      <c r="AS4" s="3666" t="s">
        <v>3343</v>
      </c>
      <c r="AT4" s="3666" t="s">
        <v>3346</v>
      </c>
      <c r="AU4" s="3666" t="s">
        <v>3343</v>
      </c>
      <c r="AV4" s="3666" t="s">
        <v>3346</v>
      </c>
      <c r="AW4" s="3666" t="s">
        <v>3346</v>
      </c>
      <c r="AX4" s="3666" t="s">
        <v>3346</v>
      </c>
    </row>
    <row r="5" spans="1:50">
      <c r="A5" s="3664" t="s">
        <v>3373</v>
      </c>
      <c r="B5" s="3664" t="s">
        <v>3334</v>
      </c>
      <c r="C5" s="3664" t="s">
        <v>3374</v>
      </c>
      <c r="D5" s="3664" t="s">
        <v>3375</v>
      </c>
      <c r="E5" s="3664" t="s">
        <v>3376</v>
      </c>
      <c r="F5" s="3664" t="s">
        <v>3338</v>
      </c>
      <c r="G5" s="3664">
        <v>55291.82</v>
      </c>
      <c r="H5" s="3664">
        <v>110583.64</v>
      </c>
      <c r="I5" s="3664" t="s">
        <v>3377</v>
      </c>
      <c r="J5" s="3664" t="s">
        <v>3340</v>
      </c>
      <c r="K5" s="3664" t="s">
        <v>3378</v>
      </c>
      <c r="L5" s="3664" t="s">
        <v>3342</v>
      </c>
      <c r="M5" s="3664">
        <v>10</v>
      </c>
      <c r="N5" s="3664" t="s">
        <v>3366</v>
      </c>
      <c r="O5" s="3664" t="s">
        <v>3379</v>
      </c>
      <c r="P5" s="3664" t="s">
        <v>3346</v>
      </c>
      <c r="Q5" s="3664" t="s">
        <v>3346</v>
      </c>
      <c r="R5" s="3664" t="s">
        <v>3346</v>
      </c>
      <c r="S5" s="3664" t="s">
        <v>3346</v>
      </c>
      <c r="T5" s="3664" t="s">
        <v>3346</v>
      </c>
      <c r="U5" s="3664" t="s">
        <v>3346</v>
      </c>
      <c r="V5" s="3664">
        <v>0</v>
      </c>
      <c r="W5" s="3664">
        <v>0</v>
      </c>
      <c r="X5" s="3665">
        <v>44533.000497685185</v>
      </c>
      <c r="Y5" s="3665">
        <v>44553.000497685185</v>
      </c>
      <c r="Z5" s="3665">
        <v>44553.000497685185</v>
      </c>
      <c r="AA5" s="3665">
        <v>44553.000497685185</v>
      </c>
      <c r="AB5" s="3664" t="s">
        <v>3380</v>
      </c>
      <c r="AC5" s="3664" t="s">
        <v>3348</v>
      </c>
      <c r="AD5" s="3664" t="s">
        <v>3381</v>
      </c>
      <c r="AE5" s="3664" t="s">
        <v>3382</v>
      </c>
      <c r="AF5" s="3664" t="s">
        <v>3346</v>
      </c>
      <c r="AG5" s="3664">
        <v>24328.400000000001</v>
      </c>
      <c r="AH5" s="3664">
        <v>7298</v>
      </c>
      <c r="AI5" s="3664" t="s">
        <v>3383</v>
      </c>
      <c r="AJ5" s="3664">
        <v>24328.400000000001</v>
      </c>
      <c r="AK5" s="3664">
        <v>293.33</v>
      </c>
      <c r="AL5" s="3664">
        <v>293.33</v>
      </c>
      <c r="AM5" s="3664">
        <v>2200</v>
      </c>
      <c r="AN5" s="3664">
        <v>2200</v>
      </c>
      <c r="AO5" s="3664" t="s">
        <v>3346</v>
      </c>
      <c r="AP5" s="3664" t="s">
        <v>3346</v>
      </c>
      <c r="AQ5" s="3664">
        <v>0</v>
      </c>
      <c r="AR5" s="3664" t="s">
        <v>3353</v>
      </c>
      <c r="AS5" s="3664" t="s">
        <v>3343</v>
      </c>
      <c r="AT5" s="3664" t="s">
        <v>3346</v>
      </c>
      <c r="AU5" s="3664" t="s">
        <v>3343</v>
      </c>
      <c r="AV5" s="3664" t="s">
        <v>3346</v>
      </c>
      <c r="AW5" s="3664" t="s">
        <v>3346</v>
      </c>
      <c r="AX5" s="3664" t="s">
        <v>3346</v>
      </c>
    </row>
    <row r="6" spans="1:50">
      <c r="A6" s="3664" t="s">
        <v>3384</v>
      </c>
      <c r="B6" s="3664" t="s">
        <v>3334</v>
      </c>
      <c r="C6" s="3664" t="s">
        <v>3385</v>
      </c>
      <c r="D6" s="3664" t="s">
        <v>3336</v>
      </c>
      <c r="E6" s="3664" t="s">
        <v>3386</v>
      </c>
      <c r="F6" s="3664" t="s">
        <v>3338</v>
      </c>
      <c r="G6" s="3664">
        <v>72127.759999999995</v>
      </c>
      <c r="H6" s="3664">
        <v>144255.51999999999</v>
      </c>
      <c r="I6" s="3664" t="s">
        <v>3387</v>
      </c>
      <c r="J6" s="3664" t="s">
        <v>3340</v>
      </c>
      <c r="K6" s="3664" t="s">
        <v>3388</v>
      </c>
      <c r="L6" s="3664" t="s">
        <v>3342</v>
      </c>
      <c r="M6" s="3664">
        <v>10</v>
      </c>
      <c r="N6" s="3664" t="s">
        <v>3366</v>
      </c>
      <c r="O6" s="3664" t="s">
        <v>3389</v>
      </c>
      <c r="P6" s="3664" t="s">
        <v>3346</v>
      </c>
      <c r="Q6" s="3664" t="s">
        <v>3346</v>
      </c>
      <c r="R6" s="3664" t="s">
        <v>3346</v>
      </c>
      <c r="S6" s="3664" t="s">
        <v>3346</v>
      </c>
      <c r="T6" s="3664" t="s">
        <v>3346</v>
      </c>
      <c r="U6" s="3664" t="s">
        <v>3346</v>
      </c>
      <c r="V6" s="3664">
        <v>0</v>
      </c>
      <c r="W6" s="3664">
        <v>0</v>
      </c>
      <c r="X6" s="3665">
        <v>44533.000497685185</v>
      </c>
      <c r="Y6" s="3665">
        <v>44553.000497685185</v>
      </c>
      <c r="Z6" s="3665">
        <v>44553.000497685185</v>
      </c>
      <c r="AA6" s="3665">
        <v>44553.000497685185</v>
      </c>
      <c r="AB6" s="3664" t="s">
        <v>3380</v>
      </c>
      <c r="AC6" s="3664" t="s">
        <v>3348</v>
      </c>
      <c r="AD6" s="3664" t="s">
        <v>3390</v>
      </c>
      <c r="AE6" s="3664" t="s">
        <v>3391</v>
      </c>
      <c r="AF6" s="3664" t="s">
        <v>3351</v>
      </c>
      <c r="AG6" s="3664">
        <v>33900.050000000003</v>
      </c>
      <c r="AH6" s="3664">
        <v>10170</v>
      </c>
      <c r="AI6" s="3664" t="s">
        <v>3383</v>
      </c>
      <c r="AJ6" s="3664">
        <v>33900.050000000003</v>
      </c>
      <c r="AK6" s="3664">
        <v>313.33</v>
      </c>
      <c r="AL6" s="3664">
        <v>313.33</v>
      </c>
      <c r="AM6" s="3664">
        <v>2350</v>
      </c>
      <c r="AN6" s="3664">
        <v>2350</v>
      </c>
      <c r="AO6" s="3664" t="s">
        <v>3346</v>
      </c>
      <c r="AP6" s="3664" t="s">
        <v>3346</v>
      </c>
      <c r="AQ6" s="3664">
        <v>0</v>
      </c>
      <c r="AR6" s="3664" t="s">
        <v>3353</v>
      </c>
      <c r="AS6" s="3664" t="s">
        <v>3343</v>
      </c>
      <c r="AT6" s="3664" t="s">
        <v>3346</v>
      </c>
      <c r="AU6" s="3664" t="s">
        <v>3343</v>
      </c>
      <c r="AV6" s="3664" t="s">
        <v>3346</v>
      </c>
      <c r="AW6" s="3664" t="s">
        <v>3346</v>
      </c>
      <c r="AX6" s="3664" t="s">
        <v>3346</v>
      </c>
    </row>
    <row r="7" spans="1:50">
      <c r="A7" s="3664" t="s">
        <v>3392</v>
      </c>
      <c r="B7" s="3664" t="s">
        <v>3334</v>
      </c>
      <c r="C7" s="3664" t="s">
        <v>3393</v>
      </c>
      <c r="D7" s="3664" t="s">
        <v>3336</v>
      </c>
      <c r="E7" s="3664" t="s">
        <v>3394</v>
      </c>
      <c r="F7" s="3664" t="s">
        <v>3338</v>
      </c>
      <c r="G7" s="3664">
        <v>69994.89</v>
      </c>
      <c r="H7" s="3664">
        <v>139989.78</v>
      </c>
      <c r="I7" s="3664" t="s">
        <v>3377</v>
      </c>
      <c r="J7" s="3664" t="s">
        <v>3340</v>
      </c>
      <c r="K7" s="3664" t="s">
        <v>3395</v>
      </c>
      <c r="L7" s="3664" t="s">
        <v>3342</v>
      </c>
      <c r="M7" s="3664">
        <v>10</v>
      </c>
      <c r="N7" s="3664" t="s">
        <v>3366</v>
      </c>
      <c r="O7" s="3664" t="s">
        <v>3389</v>
      </c>
      <c r="P7" s="3664" t="s">
        <v>3346</v>
      </c>
      <c r="Q7" s="3664" t="s">
        <v>3346</v>
      </c>
      <c r="R7" s="3664" t="s">
        <v>3346</v>
      </c>
      <c r="S7" s="3664" t="s">
        <v>3346</v>
      </c>
      <c r="T7" s="3664" t="s">
        <v>3346</v>
      </c>
      <c r="U7" s="3664" t="s">
        <v>3346</v>
      </c>
      <c r="V7" s="3664">
        <v>0</v>
      </c>
      <c r="W7" s="3664">
        <v>0</v>
      </c>
      <c r="X7" s="3665">
        <v>44533.000497685185</v>
      </c>
      <c r="Y7" s="3665">
        <v>44553.000497685185</v>
      </c>
      <c r="Z7" s="3665">
        <v>44553.000497685185</v>
      </c>
      <c r="AA7" s="3665">
        <v>44553.000497685185</v>
      </c>
      <c r="AB7" s="3664" t="s">
        <v>3380</v>
      </c>
      <c r="AC7" s="3664" t="s">
        <v>3348</v>
      </c>
      <c r="AD7" s="3664" t="s">
        <v>3390</v>
      </c>
      <c r="AE7" s="3664" t="s">
        <v>3391</v>
      </c>
      <c r="AF7" s="3664" t="s">
        <v>3351</v>
      </c>
      <c r="AG7" s="3664">
        <v>32897.599999999999</v>
      </c>
      <c r="AH7" s="3664">
        <v>9869</v>
      </c>
      <c r="AI7" s="3664" t="s">
        <v>3383</v>
      </c>
      <c r="AJ7" s="3664">
        <v>32897.599999999999</v>
      </c>
      <c r="AK7" s="3664">
        <v>313.33</v>
      </c>
      <c r="AL7" s="3664">
        <v>313.33</v>
      </c>
      <c r="AM7" s="3664">
        <v>2350</v>
      </c>
      <c r="AN7" s="3664">
        <v>2350</v>
      </c>
      <c r="AO7" s="3664" t="s">
        <v>3346</v>
      </c>
      <c r="AP7" s="3664" t="s">
        <v>3346</v>
      </c>
      <c r="AQ7" s="3664">
        <v>0</v>
      </c>
      <c r="AR7" s="3664" t="s">
        <v>3353</v>
      </c>
      <c r="AS7" s="3664" t="s">
        <v>3343</v>
      </c>
      <c r="AT7" s="3664" t="s">
        <v>3346</v>
      </c>
      <c r="AU7" s="3664" t="s">
        <v>3343</v>
      </c>
      <c r="AV7" s="3664" t="s">
        <v>3346</v>
      </c>
      <c r="AW7" s="3664" t="s">
        <v>3346</v>
      </c>
      <c r="AX7" s="3664" t="s">
        <v>3346</v>
      </c>
    </row>
    <row r="8" spans="1:50">
      <c r="A8" s="3664" t="s">
        <v>3396</v>
      </c>
      <c r="B8" s="3664" t="s">
        <v>3334</v>
      </c>
      <c r="C8" s="3664" t="s">
        <v>3397</v>
      </c>
      <c r="D8" s="3664" t="s">
        <v>3375</v>
      </c>
      <c r="E8" s="3664" t="s">
        <v>3398</v>
      </c>
      <c r="F8" s="3664" t="s">
        <v>3338</v>
      </c>
      <c r="G8" s="3664">
        <v>34178.769999999997</v>
      </c>
      <c r="H8" s="3664">
        <v>68357.539999999994</v>
      </c>
      <c r="I8" s="3664" t="s">
        <v>3377</v>
      </c>
      <c r="J8" s="3664" t="s">
        <v>3340</v>
      </c>
      <c r="K8" s="3664" t="s">
        <v>3399</v>
      </c>
      <c r="L8" s="3664" t="s">
        <v>3342</v>
      </c>
      <c r="M8" s="3664">
        <v>10</v>
      </c>
      <c r="N8" s="3664" t="s">
        <v>3400</v>
      </c>
      <c r="O8" s="3664" t="s">
        <v>3401</v>
      </c>
      <c r="P8" s="3664" t="s">
        <v>3346</v>
      </c>
      <c r="Q8" s="3664" t="s">
        <v>3346</v>
      </c>
      <c r="R8" s="3664" t="s">
        <v>3346</v>
      </c>
      <c r="S8" s="3664" t="s">
        <v>3346</v>
      </c>
      <c r="T8" s="3664">
        <v>0</v>
      </c>
      <c r="U8" s="3664">
        <v>0</v>
      </c>
      <c r="V8" s="3664">
        <v>0</v>
      </c>
      <c r="W8" s="3664">
        <v>0</v>
      </c>
      <c r="X8" s="3665">
        <v>44533.000497685185</v>
      </c>
      <c r="Y8" s="3665">
        <v>44553.000497685185</v>
      </c>
      <c r="Z8" s="3665">
        <v>44553.000497685185</v>
      </c>
      <c r="AA8" s="3665">
        <v>44553.000497685185</v>
      </c>
      <c r="AB8" s="3664" t="s">
        <v>3380</v>
      </c>
      <c r="AC8" s="3664" t="s">
        <v>3348</v>
      </c>
      <c r="AD8" s="3664" t="s">
        <v>3402</v>
      </c>
      <c r="AE8" s="3664" t="s">
        <v>3403</v>
      </c>
      <c r="AF8" s="3664" t="s">
        <v>3371</v>
      </c>
      <c r="AG8" s="3664">
        <v>17226.099999999999</v>
      </c>
      <c r="AH8" s="3664">
        <v>5167</v>
      </c>
      <c r="AI8" s="3664" t="s">
        <v>3383</v>
      </c>
      <c r="AJ8" s="3664">
        <v>17226.099999999999</v>
      </c>
      <c r="AK8" s="3664">
        <v>336</v>
      </c>
      <c r="AL8" s="3664">
        <v>336</v>
      </c>
      <c r="AM8" s="3664">
        <v>2520</v>
      </c>
      <c r="AN8" s="3664">
        <v>2520</v>
      </c>
      <c r="AO8" s="3664" t="s">
        <v>3346</v>
      </c>
      <c r="AP8" s="3664" t="s">
        <v>3346</v>
      </c>
      <c r="AQ8" s="3664">
        <v>0</v>
      </c>
      <c r="AR8" s="3664" t="s">
        <v>3353</v>
      </c>
      <c r="AS8" s="3664" t="s">
        <v>3343</v>
      </c>
      <c r="AT8" s="3664" t="s">
        <v>3346</v>
      </c>
      <c r="AU8" s="3664" t="s">
        <v>3343</v>
      </c>
      <c r="AV8" s="3664" t="s">
        <v>3346</v>
      </c>
      <c r="AW8" s="3664" t="s">
        <v>3346</v>
      </c>
      <c r="AX8" s="3664" t="s">
        <v>3346</v>
      </c>
    </row>
    <row r="9" spans="1:50" s="3666" customFormat="1">
      <c r="A9" s="3666" t="s">
        <v>3404</v>
      </c>
      <c r="B9" s="3666" t="s">
        <v>3334</v>
      </c>
      <c r="C9" s="3666" t="s">
        <v>3405</v>
      </c>
      <c r="D9" s="3666" t="s">
        <v>3406</v>
      </c>
      <c r="E9" s="3666" t="s">
        <v>3407</v>
      </c>
      <c r="F9" s="3666" t="s">
        <v>3338</v>
      </c>
      <c r="G9" s="3666">
        <v>59744.57</v>
      </c>
      <c r="H9" s="3666">
        <v>119489</v>
      </c>
      <c r="I9" s="3666" t="s">
        <v>3364</v>
      </c>
      <c r="J9" s="3666" t="s">
        <v>3340</v>
      </c>
      <c r="K9" s="3666" t="s">
        <v>3365</v>
      </c>
      <c r="L9" s="3666" t="s">
        <v>3342</v>
      </c>
      <c r="M9" s="3666">
        <v>10</v>
      </c>
      <c r="N9" s="3666" t="s">
        <v>3366</v>
      </c>
      <c r="O9" s="3666" t="s">
        <v>3408</v>
      </c>
      <c r="P9" s="3666" t="s">
        <v>3346</v>
      </c>
      <c r="Q9" s="3666" t="s">
        <v>3346</v>
      </c>
      <c r="R9" s="3666" t="s">
        <v>3346</v>
      </c>
      <c r="S9" s="3666" t="s">
        <v>3346</v>
      </c>
      <c r="T9" s="3666">
        <v>0</v>
      </c>
      <c r="U9" s="3666">
        <v>0</v>
      </c>
      <c r="V9" s="3666">
        <v>0</v>
      </c>
      <c r="W9" s="3666">
        <v>0</v>
      </c>
      <c r="X9" s="3667">
        <v>44526.000497685185</v>
      </c>
      <c r="Y9" s="3667">
        <v>44547.000497685185</v>
      </c>
      <c r="Z9" s="3667">
        <v>44547.000497685185</v>
      </c>
      <c r="AA9" s="3667">
        <v>44547.000497685185</v>
      </c>
      <c r="AB9" s="3666" t="s">
        <v>3409</v>
      </c>
      <c r="AC9" s="3666" t="s">
        <v>3348</v>
      </c>
      <c r="AD9" s="3666" t="s">
        <v>3410</v>
      </c>
      <c r="AE9" s="3666" t="s">
        <v>3411</v>
      </c>
      <c r="AF9" s="3666" t="s">
        <v>3351</v>
      </c>
      <c r="AG9" s="3666">
        <v>33456.92</v>
      </c>
      <c r="AH9" s="3666">
        <v>10037</v>
      </c>
      <c r="AI9" s="3666" t="s">
        <v>3412</v>
      </c>
      <c r="AJ9" s="3666">
        <v>33456.92</v>
      </c>
      <c r="AK9" s="3666">
        <v>373.33</v>
      </c>
      <c r="AL9" s="3666">
        <v>373.33</v>
      </c>
      <c r="AM9" s="3666">
        <v>2800</v>
      </c>
      <c r="AN9" s="3666">
        <v>2800</v>
      </c>
      <c r="AO9" s="3666" t="s">
        <v>3346</v>
      </c>
      <c r="AP9" s="3666" t="s">
        <v>3346</v>
      </c>
      <c r="AQ9" s="3666">
        <v>0</v>
      </c>
      <c r="AR9" s="3666" t="s">
        <v>3353</v>
      </c>
      <c r="AS9" s="3666" t="s">
        <v>3343</v>
      </c>
      <c r="AT9" s="3666" t="s">
        <v>3346</v>
      </c>
      <c r="AU9" s="3666" t="s">
        <v>3343</v>
      </c>
      <c r="AV9" s="3666" t="s">
        <v>3346</v>
      </c>
      <c r="AW9" s="3666" t="s">
        <v>3346</v>
      </c>
      <c r="AX9" s="3666" t="s">
        <v>3346</v>
      </c>
    </row>
    <row r="10" spans="1:50">
      <c r="A10" s="3664" t="s">
        <v>3413</v>
      </c>
      <c r="B10" s="3664" t="s">
        <v>3334</v>
      </c>
      <c r="C10" s="3664" t="s">
        <v>3414</v>
      </c>
      <c r="D10" s="3664" t="s">
        <v>3375</v>
      </c>
      <c r="E10" s="3664" t="s">
        <v>3415</v>
      </c>
      <c r="F10" s="3664" t="s">
        <v>3416</v>
      </c>
      <c r="G10" s="3664">
        <v>51620.17</v>
      </c>
      <c r="H10" s="3664">
        <v>103240.34</v>
      </c>
      <c r="I10" s="3664" t="s">
        <v>3364</v>
      </c>
      <c r="J10" s="3664" t="s">
        <v>3340</v>
      </c>
      <c r="K10" s="3664" t="s">
        <v>3417</v>
      </c>
      <c r="L10" s="3664" t="s">
        <v>3342</v>
      </c>
      <c r="M10" s="3664" t="s">
        <v>3343</v>
      </c>
      <c r="N10" s="3664" t="s">
        <v>3366</v>
      </c>
      <c r="O10" s="3664" t="s">
        <v>3418</v>
      </c>
      <c r="P10" s="3664" t="s">
        <v>3346</v>
      </c>
      <c r="Q10" s="3664" t="s">
        <v>3346</v>
      </c>
      <c r="R10" s="3664" t="s">
        <v>3346</v>
      </c>
      <c r="S10" s="3664" t="s">
        <v>3346</v>
      </c>
      <c r="T10" s="3664" t="s">
        <v>3346</v>
      </c>
      <c r="U10" s="3664" t="s">
        <v>3346</v>
      </c>
      <c r="V10" s="3664">
        <v>0</v>
      </c>
      <c r="W10" s="3664">
        <v>0</v>
      </c>
      <c r="X10" s="3665">
        <v>44517.000497685185</v>
      </c>
      <c r="Y10" s="3665">
        <v>44545.000497685185</v>
      </c>
      <c r="Z10" s="3665">
        <v>44545.000497685185</v>
      </c>
      <c r="AA10" s="3665">
        <v>44545.000497685185</v>
      </c>
      <c r="AB10" s="3664" t="s">
        <v>3419</v>
      </c>
      <c r="AC10" s="3664" t="s">
        <v>3348</v>
      </c>
      <c r="AD10" s="3664" t="s">
        <v>3420</v>
      </c>
      <c r="AE10" s="3664" t="s">
        <v>3421</v>
      </c>
      <c r="AF10" s="3664" t="s">
        <v>3422</v>
      </c>
      <c r="AG10" s="3664">
        <v>26016.57</v>
      </c>
      <c r="AH10" s="3664">
        <v>7800</v>
      </c>
      <c r="AI10" s="3664" t="s">
        <v>3423</v>
      </c>
      <c r="AJ10" s="3664">
        <v>26016.57</v>
      </c>
      <c r="AK10" s="3664">
        <v>336</v>
      </c>
      <c r="AL10" s="3664">
        <v>336</v>
      </c>
      <c r="AM10" s="3664">
        <v>2520</v>
      </c>
      <c r="AN10" s="3664">
        <v>2520</v>
      </c>
      <c r="AO10" s="3664" t="s">
        <v>3346</v>
      </c>
      <c r="AP10" s="3664" t="s">
        <v>3346</v>
      </c>
      <c r="AQ10" s="3664">
        <v>0</v>
      </c>
      <c r="AR10" s="3664" t="s">
        <v>3424</v>
      </c>
      <c r="AS10" s="3664" t="s">
        <v>3343</v>
      </c>
      <c r="AT10" s="3664" t="s">
        <v>3346</v>
      </c>
      <c r="AU10" s="3664" t="s">
        <v>3343</v>
      </c>
      <c r="AV10" s="3664" t="s">
        <v>3346</v>
      </c>
      <c r="AW10" s="3664" t="s">
        <v>3346</v>
      </c>
      <c r="AX10" s="3664" t="s">
        <v>3346</v>
      </c>
    </row>
    <row r="11" spans="1:50">
      <c r="A11" s="3664" t="s">
        <v>3425</v>
      </c>
      <c r="B11" s="3664" t="s">
        <v>3334</v>
      </c>
      <c r="C11" s="3664" t="s">
        <v>3426</v>
      </c>
      <c r="D11" s="3664" t="s">
        <v>3375</v>
      </c>
      <c r="E11" s="3664" t="s">
        <v>3427</v>
      </c>
      <c r="F11" s="3664" t="s">
        <v>3416</v>
      </c>
      <c r="G11" s="3664">
        <v>26361.52</v>
      </c>
      <c r="H11" s="3664">
        <v>52723.040000000001</v>
      </c>
      <c r="I11" s="3664" t="s">
        <v>3364</v>
      </c>
      <c r="J11" s="3664" t="s">
        <v>3340</v>
      </c>
      <c r="K11" s="3664" t="s">
        <v>3417</v>
      </c>
      <c r="L11" s="3664" t="s">
        <v>3342</v>
      </c>
      <c r="M11" s="3664" t="s">
        <v>3343</v>
      </c>
      <c r="N11" s="3664" t="s">
        <v>3400</v>
      </c>
      <c r="O11" s="3664" t="s">
        <v>3428</v>
      </c>
      <c r="P11" s="3664" t="s">
        <v>3346</v>
      </c>
      <c r="Q11" s="3664" t="s">
        <v>3346</v>
      </c>
      <c r="R11" s="3664" t="s">
        <v>3346</v>
      </c>
      <c r="S11" s="3664" t="s">
        <v>3346</v>
      </c>
      <c r="T11" s="3664" t="s">
        <v>3346</v>
      </c>
      <c r="U11" s="3664" t="s">
        <v>3346</v>
      </c>
      <c r="V11" s="3664">
        <v>0</v>
      </c>
      <c r="W11" s="3664">
        <v>0</v>
      </c>
      <c r="X11" s="3665">
        <v>44517.000497685185</v>
      </c>
      <c r="Y11" s="3665">
        <v>44545.000497685185</v>
      </c>
      <c r="Z11" s="3665">
        <v>44545.000497685185</v>
      </c>
      <c r="AA11" s="3665">
        <v>44545.000497685185</v>
      </c>
      <c r="AB11" s="3664" t="s">
        <v>3419</v>
      </c>
      <c r="AC11" s="3664" t="s">
        <v>3348</v>
      </c>
      <c r="AD11" s="3664" t="s">
        <v>3429</v>
      </c>
      <c r="AE11" s="3664" t="s">
        <v>3403</v>
      </c>
      <c r="AF11" s="3664" t="s">
        <v>3371</v>
      </c>
      <c r="AG11" s="3664">
        <v>13286.21</v>
      </c>
      <c r="AH11" s="3664">
        <v>3985</v>
      </c>
      <c r="AI11" s="3664" t="s">
        <v>3423</v>
      </c>
      <c r="AJ11" s="3664">
        <v>13286.21</v>
      </c>
      <c r="AK11" s="3664">
        <v>336</v>
      </c>
      <c r="AL11" s="3664">
        <v>336</v>
      </c>
      <c r="AM11" s="3664">
        <v>2520</v>
      </c>
      <c r="AN11" s="3664">
        <v>2520</v>
      </c>
      <c r="AO11" s="3664" t="s">
        <v>3346</v>
      </c>
      <c r="AP11" s="3664" t="s">
        <v>3346</v>
      </c>
      <c r="AQ11" s="3664">
        <v>0</v>
      </c>
      <c r="AR11" s="3664" t="s">
        <v>3424</v>
      </c>
      <c r="AS11" s="3664" t="s">
        <v>3343</v>
      </c>
      <c r="AT11" s="3664" t="s">
        <v>3346</v>
      </c>
      <c r="AU11" s="3664" t="s">
        <v>3343</v>
      </c>
      <c r="AV11" s="3664" t="s">
        <v>3346</v>
      </c>
      <c r="AW11" s="3664" t="s">
        <v>3346</v>
      </c>
      <c r="AX11" s="3664" t="s">
        <v>3346</v>
      </c>
    </row>
    <row r="12" spans="1:50">
      <c r="A12" s="3664" t="s">
        <v>3430</v>
      </c>
      <c r="B12" s="3664" t="s">
        <v>3334</v>
      </c>
      <c r="C12" s="3664" t="s">
        <v>3431</v>
      </c>
      <c r="D12" s="3664" t="s">
        <v>3336</v>
      </c>
      <c r="E12" s="3664" t="s">
        <v>3432</v>
      </c>
      <c r="F12" s="3664" t="s">
        <v>3338</v>
      </c>
      <c r="G12" s="3664">
        <v>64073.440000000002</v>
      </c>
      <c r="H12" s="3664">
        <v>128146.88</v>
      </c>
      <c r="I12" s="3664" t="s">
        <v>3433</v>
      </c>
      <c r="J12" s="3664" t="s">
        <v>3340</v>
      </c>
      <c r="K12" s="3664" t="s">
        <v>3434</v>
      </c>
      <c r="L12" s="3664" t="s">
        <v>3342</v>
      </c>
      <c r="M12" s="3664">
        <v>10</v>
      </c>
      <c r="N12" s="3664" t="s">
        <v>3400</v>
      </c>
      <c r="O12" s="3664" t="s">
        <v>3345</v>
      </c>
      <c r="P12" s="3664" t="s">
        <v>3435</v>
      </c>
      <c r="Q12" s="3664" t="s">
        <v>3436</v>
      </c>
      <c r="R12" s="3664" t="s">
        <v>3346</v>
      </c>
      <c r="S12" s="3664" t="s">
        <v>3346</v>
      </c>
      <c r="T12" s="3664">
        <v>0</v>
      </c>
      <c r="U12" s="3664">
        <v>0</v>
      </c>
      <c r="V12" s="3664">
        <v>0</v>
      </c>
      <c r="W12" s="3664">
        <v>0</v>
      </c>
      <c r="X12" s="3665">
        <v>44300.000497685185</v>
      </c>
      <c r="Y12" s="3665">
        <v>44323.000497685185</v>
      </c>
      <c r="Z12" s="3665">
        <v>44323.000497685185</v>
      </c>
      <c r="AA12" s="3665">
        <v>44323.000497685185</v>
      </c>
      <c r="AB12" s="3664" t="s">
        <v>3437</v>
      </c>
      <c r="AC12" s="3664" t="s">
        <v>3348</v>
      </c>
      <c r="AD12" s="3664" t="s">
        <v>3438</v>
      </c>
      <c r="AE12" s="3664" t="s">
        <v>3439</v>
      </c>
      <c r="AF12" s="3664" t="s">
        <v>3440</v>
      </c>
      <c r="AG12" s="3664">
        <v>29473.78</v>
      </c>
      <c r="AH12" s="3664">
        <v>8842</v>
      </c>
      <c r="AI12" s="3664" t="s">
        <v>3441</v>
      </c>
      <c r="AJ12" s="3664">
        <v>29473.78</v>
      </c>
      <c r="AK12" s="3664">
        <v>306.67</v>
      </c>
      <c r="AL12" s="3664">
        <v>306.67</v>
      </c>
      <c r="AM12" s="3664">
        <v>2300</v>
      </c>
      <c r="AN12" s="3664">
        <v>2300</v>
      </c>
      <c r="AO12" s="3664" t="s">
        <v>3346</v>
      </c>
      <c r="AP12" s="3664" t="s">
        <v>3346</v>
      </c>
      <c r="AQ12" s="3664">
        <v>0</v>
      </c>
      <c r="AR12" s="3664" t="s">
        <v>3442</v>
      </c>
      <c r="AS12" s="3664" t="s">
        <v>3343</v>
      </c>
      <c r="AT12" s="3664" t="s">
        <v>3346</v>
      </c>
      <c r="AU12" s="3664" t="s">
        <v>3343</v>
      </c>
      <c r="AV12" s="3664" t="s">
        <v>3346</v>
      </c>
      <c r="AW12" s="3664" t="s">
        <v>3346</v>
      </c>
      <c r="AX12" s="3664" t="s">
        <v>3346</v>
      </c>
    </row>
    <row r="13" spans="1:50">
      <c r="A13" s="3664" t="s">
        <v>3443</v>
      </c>
      <c r="B13" s="3664" t="s">
        <v>3334</v>
      </c>
      <c r="C13" s="3664" t="s">
        <v>3444</v>
      </c>
      <c r="D13" s="3664" t="s">
        <v>3336</v>
      </c>
      <c r="E13" s="3664" t="s">
        <v>3445</v>
      </c>
      <c r="F13" s="3664" t="s">
        <v>3338</v>
      </c>
      <c r="G13" s="3664">
        <v>39376.9</v>
      </c>
      <c r="H13" s="3664">
        <v>78753.8</v>
      </c>
      <c r="I13" s="3664" t="s">
        <v>3433</v>
      </c>
      <c r="J13" s="3664" t="s">
        <v>3340</v>
      </c>
      <c r="K13" s="3664" t="s">
        <v>3446</v>
      </c>
      <c r="L13" s="3664" t="s">
        <v>3342</v>
      </c>
      <c r="M13" s="3664">
        <v>10</v>
      </c>
      <c r="N13" s="3664" t="s">
        <v>3400</v>
      </c>
      <c r="O13" s="3664" t="s">
        <v>3345</v>
      </c>
      <c r="P13" s="3664" t="s">
        <v>3435</v>
      </c>
      <c r="Q13" s="3664" t="s">
        <v>3346</v>
      </c>
      <c r="R13" s="3664" t="s">
        <v>3346</v>
      </c>
      <c r="S13" s="3664" t="s">
        <v>3346</v>
      </c>
      <c r="T13" s="3664">
        <v>0</v>
      </c>
      <c r="U13" s="3664">
        <v>0</v>
      </c>
      <c r="V13" s="3664">
        <v>0</v>
      </c>
      <c r="W13" s="3664">
        <v>0</v>
      </c>
      <c r="X13" s="3665">
        <v>44194.000497685185</v>
      </c>
      <c r="Y13" s="3665">
        <v>44216.000497685185</v>
      </c>
      <c r="Z13" s="3665">
        <v>44216.000497685185</v>
      </c>
      <c r="AA13" s="3665">
        <v>44216.000497685185</v>
      </c>
      <c r="AB13" s="3664" t="s">
        <v>3447</v>
      </c>
      <c r="AC13" s="3664" t="s">
        <v>3348</v>
      </c>
      <c r="AD13" s="3664" t="s">
        <v>3448</v>
      </c>
      <c r="AE13" s="3664" t="s">
        <v>3449</v>
      </c>
      <c r="AF13" s="3664" t="s">
        <v>3371</v>
      </c>
      <c r="AG13" s="3664">
        <v>18113.37</v>
      </c>
      <c r="AH13" s="3664">
        <v>5434</v>
      </c>
      <c r="AI13" s="3664" t="s">
        <v>3450</v>
      </c>
      <c r="AJ13" s="3664">
        <v>18113.37</v>
      </c>
      <c r="AK13" s="3664">
        <v>306.67</v>
      </c>
      <c r="AL13" s="3664">
        <v>306.67</v>
      </c>
      <c r="AM13" s="3664">
        <v>2300</v>
      </c>
      <c r="AN13" s="3664">
        <v>2300</v>
      </c>
      <c r="AO13" s="3664" t="s">
        <v>3346</v>
      </c>
      <c r="AP13" s="3664" t="s">
        <v>3346</v>
      </c>
      <c r="AQ13" s="3664">
        <v>0</v>
      </c>
      <c r="AR13" s="3664" t="s">
        <v>3442</v>
      </c>
      <c r="AS13" s="3664" t="s">
        <v>3343</v>
      </c>
      <c r="AT13" s="3664" t="s">
        <v>3346</v>
      </c>
      <c r="AU13" s="3664" t="s">
        <v>3343</v>
      </c>
      <c r="AV13" s="3664" t="s">
        <v>3346</v>
      </c>
      <c r="AW13" s="3664" t="s">
        <v>3346</v>
      </c>
      <c r="AX13" s="3664" t="s">
        <v>3346</v>
      </c>
    </row>
    <row r="14" spans="1:50">
      <c r="A14" s="3664" t="s">
        <v>3451</v>
      </c>
      <c r="B14" s="3664" t="s">
        <v>3334</v>
      </c>
      <c r="C14" s="3664" t="s">
        <v>3452</v>
      </c>
      <c r="D14" s="3664" t="s">
        <v>3375</v>
      </c>
      <c r="E14" s="3664" t="s">
        <v>3453</v>
      </c>
      <c r="F14" s="3664" t="s">
        <v>3338</v>
      </c>
      <c r="G14" s="3664">
        <v>36768.839999999997</v>
      </c>
      <c r="H14" s="3664">
        <v>73537.679999999993</v>
      </c>
      <c r="I14" s="3664" t="s">
        <v>3433</v>
      </c>
      <c r="J14" s="3664" t="s">
        <v>3340</v>
      </c>
      <c r="K14" s="3664" t="s">
        <v>3454</v>
      </c>
      <c r="L14" s="3664" t="s">
        <v>3342</v>
      </c>
      <c r="M14" s="3664">
        <v>10</v>
      </c>
      <c r="N14" s="3664" t="s">
        <v>3366</v>
      </c>
      <c r="O14" s="3664" t="s">
        <v>3401</v>
      </c>
      <c r="P14" s="3664" t="s">
        <v>3435</v>
      </c>
      <c r="Q14" s="3664" t="s">
        <v>3436</v>
      </c>
      <c r="R14" s="3664" t="s">
        <v>3346</v>
      </c>
      <c r="S14" s="3664" t="s">
        <v>3346</v>
      </c>
      <c r="T14" s="3664">
        <v>0</v>
      </c>
      <c r="U14" s="3664">
        <v>0</v>
      </c>
      <c r="V14" s="3664">
        <v>0</v>
      </c>
      <c r="W14" s="3664">
        <v>0</v>
      </c>
      <c r="X14" s="3665">
        <v>44161.000497685185</v>
      </c>
      <c r="Y14" s="3665">
        <v>44181.000497685185</v>
      </c>
      <c r="Z14" s="3665">
        <v>44181.000497685185</v>
      </c>
      <c r="AA14" s="3665">
        <v>44181.000497685185</v>
      </c>
      <c r="AB14" s="3664" t="s">
        <v>3455</v>
      </c>
      <c r="AC14" s="3664" t="s">
        <v>3348</v>
      </c>
      <c r="AD14" s="3664" t="s">
        <v>3402</v>
      </c>
      <c r="AE14" s="3664" t="s">
        <v>3456</v>
      </c>
      <c r="AF14" s="3664" t="s">
        <v>3351</v>
      </c>
      <c r="AG14" s="3664">
        <v>18384.419999999998</v>
      </c>
      <c r="AH14" s="3664">
        <v>5515</v>
      </c>
      <c r="AI14" s="3664" t="s">
        <v>2095</v>
      </c>
      <c r="AJ14" s="3664">
        <v>18384.419999999998</v>
      </c>
      <c r="AK14" s="3664">
        <v>333.33</v>
      </c>
      <c r="AL14" s="3664">
        <v>333.33</v>
      </c>
      <c r="AM14" s="3664">
        <v>2500</v>
      </c>
      <c r="AN14" s="3664">
        <v>2500</v>
      </c>
      <c r="AO14" s="3664" t="s">
        <v>3346</v>
      </c>
      <c r="AP14" s="3664" t="s">
        <v>3346</v>
      </c>
      <c r="AQ14" s="3664">
        <v>0</v>
      </c>
      <c r="AR14" s="3664" t="s">
        <v>3457</v>
      </c>
      <c r="AS14" s="3664" t="s">
        <v>3343</v>
      </c>
      <c r="AT14" s="3664" t="s">
        <v>3346</v>
      </c>
      <c r="AU14" s="3664" t="s">
        <v>3343</v>
      </c>
      <c r="AV14" s="3664" t="s">
        <v>3346</v>
      </c>
      <c r="AW14" s="3664" t="s">
        <v>3346</v>
      </c>
      <c r="AX14" s="3664" t="s">
        <v>3346</v>
      </c>
    </row>
    <row r="15" spans="1:50">
      <c r="A15" s="3664" t="s">
        <v>3458</v>
      </c>
      <c r="B15" s="3664" t="s">
        <v>3334</v>
      </c>
      <c r="C15" s="3664" t="s">
        <v>3459</v>
      </c>
      <c r="D15" s="3664" t="s">
        <v>3375</v>
      </c>
      <c r="E15" s="3664" t="s">
        <v>3460</v>
      </c>
      <c r="F15" s="3664" t="s">
        <v>3338</v>
      </c>
      <c r="G15" s="3664">
        <v>52668.87</v>
      </c>
      <c r="H15" s="3664">
        <v>105337.74</v>
      </c>
      <c r="I15" s="3664" t="s">
        <v>3433</v>
      </c>
      <c r="J15" s="3664" t="s">
        <v>3340</v>
      </c>
      <c r="K15" s="3664" t="s">
        <v>3454</v>
      </c>
      <c r="L15" s="3664" t="s">
        <v>3342</v>
      </c>
      <c r="M15" s="3664">
        <v>10</v>
      </c>
      <c r="N15" s="3664" t="s">
        <v>3366</v>
      </c>
      <c r="O15" s="3664" t="s">
        <v>3401</v>
      </c>
      <c r="P15" s="3664" t="s">
        <v>3435</v>
      </c>
      <c r="Q15" s="3664" t="s">
        <v>3436</v>
      </c>
      <c r="R15" s="3664" t="s">
        <v>3346</v>
      </c>
      <c r="S15" s="3664" t="s">
        <v>3346</v>
      </c>
      <c r="T15" s="3664">
        <v>0</v>
      </c>
      <c r="U15" s="3664">
        <v>0</v>
      </c>
      <c r="V15" s="3664">
        <v>0</v>
      </c>
      <c r="W15" s="3664">
        <v>0</v>
      </c>
      <c r="X15" s="3665">
        <v>44161.000497685185</v>
      </c>
      <c r="Y15" s="3665">
        <v>44181.000497685185</v>
      </c>
      <c r="Z15" s="3665">
        <v>44181.000497685185</v>
      </c>
      <c r="AA15" s="3665">
        <v>44181.000497685185</v>
      </c>
      <c r="AB15" s="3664" t="s">
        <v>3455</v>
      </c>
      <c r="AC15" s="3664" t="s">
        <v>3348</v>
      </c>
      <c r="AD15" s="3664" t="s">
        <v>3402</v>
      </c>
      <c r="AE15" s="3664" t="s">
        <v>3456</v>
      </c>
      <c r="AF15" s="3664" t="s">
        <v>3351</v>
      </c>
      <c r="AG15" s="3664">
        <v>26334.44</v>
      </c>
      <c r="AH15" s="3664">
        <v>7900</v>
      </c>
      <c r="AI15" s="3664" t="s">
        <v>2095</v>
      </c>
      <c r="AJ15" s="3664">
        <v>26334.44</v>
      </c>
      <c r="AK15" s="3664">
        <v>333.33</v>
      </c>
      <c r="AL15" s="3664">
        <v>333.33</v>
      </c>
      <c r="AM15" s="3664">
        <v>2500</v>
      </c>
      <c r="AN15" s="3664">
        <v>2500</v>
      </c>
      <c r="AO15" s="3664" t="s">
        <v>3346</v>
      </c>
      <c r="AP15" s="3664" t="s">
        <v>3346</v>
      </c>
      <c r="AQ15" s="3664">
        <v>0</v>
      </c>
      <c r="AR15" s="3664" t="s">
        <v>3457</v>
      </c>
      <c r="AS15" s="3664" t="s">
        <v>3343</v>
      </c>
      <c r="AT15" s="3664" t="s">
        <v>3346</v>
      </c>
      <c r="AU15" s="3664" t="s">
        <v>3343</v>
      </c>
      <c r="AV15" s="3664" t="s">
        <v>3346</v>
      </c>
      <c r="AW15" s="3664" t="s">
        <v>3346</v>
      </c>
      <c r="AX15" s="3664" t="s">
        <v>3346</v>
      </c>
    </row>
    <row r="16" spans="1:50">
      <c r="A16" s="3664" t="s">
        <v>3461</v>
      </c>
      <c r="B16" s="3664" t="s">
        <v>3334</v>
      </c>
      <c r="C16" s="3664" t="s">
        <v>3462</v>
      </c>
      <c r="D16" s="3664" t="s">
        <v>3375</v>
      </c>
      <c r="E16" s="3664" t="s">
        <v>3463</v>
      </c>
      <c r="F16" s="3664" t="s">
        <v>3338</v>
      </c>
      <c r="G16" s="3664">
        <v>32605.93</v>
      </c>
      <c r="H16" s="3664">
        <v>81514.83</v>
      </c>
      <c r="I16" s="3664" t="s">
        <v>3464</v>
      </c>
      <c r="J16" s="3664" t="s">
        <v>3340</v>
      </c>
      <c r="K16" s="3664" t="s">
        <v>3454</v>
      </c>
      <c r="L16" s="3664" t="s">
        <v>3342</v>
      </c>
      <c r="M16" s="3664">
        <v>10</v>
      </c>
      <c r="N16" s="3664" t="s">
        <v>3400</v>
      </c>
      <c r="O16" s="3664" t="s">
        <v>3465</v>
      </c>
      <c r="P16" s="3664" t="s">
        <v>3346</v>
      </c>
      <c r="Q16" s="3664" t="s">
        <v>3346</v>
      </c>
      <c r="R16" s="3664" t="s">
        <v>3346</v>
      </c>
      <c r="S16" s="3664" t="s">
        <v>3346</v>
      </c>
      <c r="T16" s="3664">
        <v>0</v>
      </c>
      <c r="U16" s="3664">
        <v>0</v>
      </c>
      <c r="V16" s="3664">
        <v>0</v>
      </c>
      <c r="W16" s="3664">
        <v>0</v>
      </c>
      <c r="X16" s="3665">
        <v>44161.000497685185</v>
      </c>
      <c r="Y16" s="3665">
        <v>44181.000497685185</v>
      </c>
      <c r="Z16" s="3665">
        <v>44181.000497685185</v>
      </c>
      <c r="AA16" s="3665">
        <v>44181.000497685185</v>
      </c>
      <c r="AB16" s="3664" t="s">
        <v>3455</v>
      </c>
      <c r="AC16" s="3664" t="s">
        <v>3348</v>
      </c>
      <c r="AD16" s="3664" t="s">
        <v>3402</v>
      </c>
      <c r="AE16" s="3664" t="s">
        <v>3456</v>
      </c>
      <c r="AF16" s="3664" t="s">
        <v>3351</v>
      </c>
      <c r="AG16" s="3664">
        <v>18748.41</v>
      </c>
      <c r="AH16" s="3664">
        <v>5624</v>
      </c>
      <c r="AI16" s="3664" t="s">
        <v>2095</v>
      </c>
      <c r="AJ16" s="3664">
        <v>18748.41</v>
      </c>
      <c r="AK16" s="3664">
        <v>383.33</v>
      </c>
      <c r="AL16" s="3664">
        <v>383.33</v>
      </c>
      <c r="AM16" s="3664">
        <v>2300</v>
      </c>
      <c r="AN16" s="3664">
        <v>2300</v>
      </c>
      <c r="AO16" s="3664" t="s">
        <v>3346</v>
      </c>
      <c r="AP16" s="3664" t="s">
        <v>3346</v>
      </c>
      <c r="AQ16" s="3664">
        <v>0</v>
      </c>
      <c r="AR16" s="3664" t="s">
        <v>3457</v>
      </c>
      <c r="AS16" s="3664" t="s">
        <v>3343</v>
      </c>
      <c r="AT16" s="3664" t="s">
        <v>3346</v>
      </c>
      <c r="AU16" s="3664" t="s">
        <v>3343</v>
      </c>
      <c r="AV16" s="3664" t="s">
        <v>3346</v>
      </c>
      <c r="AW16" s="3664" t="s">
        <v>3346</v>
      </c>
      <c r="AX16" s="3664" t="s">
        <v>3346</v>
      </c>
    </row>
    <row r="17" spans="1:50" s="3666" customFormat="1">
      <c r="A17" s="3666" t="s">
        <v>3466</v>
      </c>
      <c r="B17" s="3666" t="s">
        <v>3334</v>
      </c>
      <c r="C17" s="3666" t="s">
        <v>3467</v>
      </c>
      <c r="D17" s="3666" t="s">
        <v>3406</v>
      </c>
      <c r="E17" s="3666" t="s">
        <v>3468</v>
      </c>
      <c r="F17" s="3666" t="s">
        <v>3416</v>
      </c>
      <c r="G17" s="3666">
        <v>47301.79</v>
      </c>
      <c r="H17" s="3666">
        <v>106429.03</v>
      </c>
      <c r="I17" s="3666" t="s">
        <v>3469</v>
      </c>
      <c r="J17" s="3666" t="s">
        <v>3340</v>
      </c>
      <c r="K17" s="3666" t="s">
        <v>3470</v>
      </c>
      <c r="L17" s="3666" t="s">
        <v>3342</v>
      </c>
      <c r="M17" s="3666" t="s">
        <v>3343</v>
      </c>
      <c r="N17" s="3666" t="s">
        <v>3471</v>
      </c>
      <c r="O17" s="3666" t="s">
        <v>3472</v>
      </c>
      <c r="P17" s="3666" t="s">
        <v>3435</v>
      </c>
      <c r="Q17" s="3666" t="s">
        <v>3436</v>
      </c>
      <c r="R17" s="3666" t="s">
        <v>3346</v>
      </c>
      <c r="S17" s="3666" t="s">
        <v>3346</v>
      </c>
      <c r="T17" s="3666">
        <v>0</v>
      </c>
      <c r="U17" s="3666">
        <v>0</v>
      </c>
      <c r="V17" s="3666">
        <v>0</v>
      </c>
      <c r="W17" s="3666">
        <v>0</v>
      </c>
      <c r="X17" s="3667">
        <v>44126.000497685185</v>
      </c>
      <c r="Y17" s="3667">
        <v>44152.000497685185</v>
      </c>
      <c r="Z17" s="3667">
        <v>44152.000497685185</v>
      </c>
      <c r="AA17" s="3667">
        <v>44152.000497685185</v>
      </c>
      <c r="AB17" s="3666" t="s">
        <v>3473</v>
      </c>
      <c r="AC17" s="3666" t="s">
        <v>3348</v>
      </c>
      <c r="AD17" s="3666" t="s">
        <v>3474</v>
      </c>
      <c r="AE17" s="3666" t="s">
        <v>3475</v>
      </c>
      <c r="AF17" s="3666" t="s">
        <v>3371</v>
      </c>
      <c r="AG17" s="3666">
        <v>31928.7</v>
      </c>
      <c r="AH17" s="3666">
        <v>7982</v>
      </c>
      <c r="AI17" s="3666" t="s">
        <v>3476</v>
      </c>
      <c r="AJ17" s="3666">
        <v>31928.7</v>
      </c>
      <c r="AK17" s="3666">
        <v>450</v>
      </c>
      <c r="AL17" s="3666">
        <v>450</v>
      </c>
      <c r="AM17" s="3666">
        <v>3000</v>
      </c>
      <c r="AN17" s="3666">
        <v>3000</v>
      </c>
      <c r="AO17" s="3666" t="s">
        <v>3346</v>
      </c>
      <c r="AP17" s="3666" t="s">
        <v>3346</v>
      </c>
      <c r="AQ17" s="3666">
        <v>0</v>
      </c>
      <c r="AR17" s="3666" t="s">
        <v>3477</v>
      </c>
      <c r="AS17" s="3666" t="s">
        <v>3343</v>
      </c>
      <c r="AT17" s="3666" t="s">
        <v>3346</v>
      </c>
      <c r="AU17" s="3666" t="s">
        <v>3343</v>
      </c>
      <c r="AV17" s="3666" t="s">
        <v>3346</v>
      </c>
      <c r="AW17" s="3666" t="s">
        <v>3346</v>
      </c>
      <c r="AX17" s="3666" t="s">
        <v>3346</v>
      </c>
    </row>
    <row r="18" spans="1:50">
      <c r="A18" s="3664" t="s">
        <v>3478</v>
      </c>
      <c r="B18" s="3664" t="s">
        <v>3334</v>
      </c>
      <c r="C18" s="3664" t="s">
        <v>3479</v>
      </c>
      <c r="D18" s="3664" t="s">
        <v>3375</v>
      </c>
      <c r="E18" s="3664" t="s">
        <v>3480</v>
      </c>
      <c r="F18" s="3664" t="s">
        <v>3338</v>
      </c>
      <c r="G18" s="3664">
        <v>29789.279999999999</v>
      </c>
      <c r="H18" s="3664">
        <v>74473.2</v>
      </c>
      <c r="I18" s="3664" t="s">
        <v>3464</v>
      </c>
      <c r="J18" s="3664" t="s">
        <v>3340</v>
      </c>
      <c r="K18" s="3664" t="s">
        <v>3454</v>
      </c>
      <c r="L18" s="3664" t="s">
        <v>3342</v>
      </c>
      <c r="M18" s="3664">
        <v>10</v>
      </c>
      <c r="N18" s="3664" t="s">
        <v>3400</v>
      </c>
      <c r="O18" s="3664" t="s">
        <v>3465</v>
      </c>
      <c r="P18" s="3664" t="s">
        <v>3346</v>
      </c>
      <c r="Q18" s="3664" t="s">
        <v>3346</v>
      </c>
      <c r="R18" s="3664" t="s">
        <v>3346</v>
      </c>
      <c r="S18" s="3664" t="s">
        <v>3346</v>
      </c>
      <c r="T18" s="3664">
        <v>0</v>
      </c>
      <c r="U18" s="3664">
        <v>0</v>
      </c>
      <c r="V18" s="3664">
        <v>0</v>
      </c>
      <c r="W18" s="3664">
        <v>0</v>
      </c>
      <c r="X18" s="3665">
        <v>44084.000497685185</v>
      </c>
      <c r="Y18" s="3665">
        <v>44104.000497685185</v>
      </c>
      <c r="Z18" s="3665">
        <v>44104.000497685185</v>
      </c>
      <c r="AA18" s="3665">
        <v>44104.000497685185</v>
      </c>
      <c r="AB18" s="3664" t="s">
        <v>3481</v>
      </c>
      <c r="AC18" s="3664" t="s">
        <v>3348</v>
      </c>
      <c r="AD18" s="3664" t="s">
        <v>3402</v>
      </c>
      <c r="AE18" s="3664" t="s">
        <v>3482</v>
      </c>
      <c r="AF18" s="3664" t="s">
        <v>3351</v>
      </c>
      <c r="AG18" s="3664">
        <v>17128.84</v>
      </c>
      <c r="AH18" s="3664">
        <v>5138</v>
      </c>
      <c r="AI18" s="3664" t="s">
        <v>3483</v>
      </c>
      <c r="AJ18" s="3664">
        <v>17128.84</v>
      </c>
      <c r="AK18" s="3664">
        <v>383.33</v>
      </c>
      <c r="AL18" s="3664">
        <v>383.33</v>
      </c>
      <c r="AM18" s="3664">
        <v>2300</v>
      </c>
      <c r="AN18" s="3664">
        <v>2300</v>
      </c>
      <c r="AO18" s="3664" t="s">
        <v>3346</v>
      </c>
      <c r="AP18" s="3664" t="s">
        <v>3346</v>
      </c>
      <c r="AQ18" s="3664">
        <v>0</v>
      </c>
      <c r="AR18" s="3664" t="s">
        <v>3442</v>
      </c>
      <c r="AS18" s="3664" t="s">
        <v>3343</v>
      </c>
      <c r="AT18" s="3664" t="s">
        <v>3346</v>
      </c>
      <c r="AU18" s="3664" t="s">
        <v>3343</v>
      </c>
      <c r="AV18" s="3664" t="s">
        <v>3346</v>
      </c>
      <c r="AW18" s="3664" t="s">
        <v>3346</v>
      </c>
      <c r="AX18" s="3664" t="s">
        <v>3346</v>
      </c>
    </row>
    <row r="19" spans="1:50">
      <c r="A19" s="3664" t="s">
        <v>3484</v>
      </c>
      <c r="B19" s="3664" t="s">
        <v>3334</v>
      </c>
      <c r="C19" s="3664" t="s">
        <v>3485</v>
      </c>
      <c r="D19" s="3664" t="s">
        <v>3375</v>
      </c>
      <c r="E19" s="3664" t="s">
        <v>3486</v>
      </c>
      <c r="F19" s="3664" t="s">
        <v>3338</v>
      </c>
      <c r="G19" s="3664">
        <v>26684.61</v>
      </c>
      <c r="H19" s="3664">
        <v>53369.22</v>
      </c>
      <c r="I19" s="3664" t="s">
        <v>3433</v>
      </c>
      <c r="J19" s="3664" t="s">
        <v>3340</v>
      </c>
      <c r="K19" s="3664" t="s">
        <v>3454</v>
      </c>
      <c r="L19" s="3664" t="s">
        <v>3342</v>
      </c>
      <c r="M19" s="3664">
        <v>10</v>
      </c>
      <c r="N19" s="3664" t="s">
        <v>3400</v>
      </c>
      <c r="O19" s="3664" t="s">
        <v>3401</v>
      </c>
      <c r="P19" s="3664" t="s">
        <v>3346</v>
      </c>
      <c r="Q19" s="3664" t="s">
        <v>3346</v>
      </c>
      <c r="R19" s="3664" t="s">
        <v>3346</v>
      </c>
      <c r="S19" s="3664" t="s">
        <v>3346</v>
      </c>
      <c r="T19" s="3664">
        <v>0</v>
      </c>
      <c r="U19" s="3664">
        <v>0</v>
      </c>
      <c r="V19" s="3664">
        <v>0</v>
      </c>
      <c r="W19" s="3664">
        <v>0</v>
      </c>
      <c r="X19" s="3665">
        <v>44084.000497685185</v>
      </c>
      <c r="Y19" s="3665">
        <v>44104.000497685185</v>
      </c>
      <c r="Z19" s="3665">
        <v>44104.000497685185</v>
      </c>
      <c r="AA19" s="3665">
        <v>44104.000497685185</v>
      </c>
      <c r="AB19" s="3664" t="s">
        <v>3481</v>
      </c>
      <c r="AC19" s="3664" t="s">
        <v>3348</v>
      </c>
      <c r="AD19" s="3664" t="s">
        <v>3402</v>
      </c>
      <c r="AE19" s="3664" t="s">
        <v>3482</v>
      </c>
      <c r="AF19" s="3664" t="s">
        <v>3351</v>
      </c>
      <c r="AG19" s="3664">
        <v>13342.31</v>
      </c>
      <c r="AH19" s="3664">
        <v>4002</v>
      </c>
      <c r="AI19" s="3664" t="s">
        <v>3483</v>
      </c>
      <c r="AJ19" s="3664">
        <v>13342.31</v>
      </c>
      <c r="AK19" s="3664">
        <v>333.33</v>
      </c>
      <c r="AL19" s="3664">
        <v>333.33</v>
      </c>
      <c r="AM19" s="3664">
        <v>2500</v>
      </c>
      <c r="AN19" s="3664">
        <v>2500</v>
      </c>
      <c r="AO19" s="3664" t="s">
        <v>3346</v>
      </c>
      <c r="AP19" s="3664" t="s">
        <v>3346</v>
      </c>
      <c r="AQ19" s="3664">
        <v>0</v>
      </c>
      <c r="AR19" s="3664" t="s">
        <v>3442</v>
      </c>
      <c r="AS19" s="3664" t="s">
        <v>3343</v>
      </c>
      <c r="AT19" s="3664" t="s">
        <v>3346</v>
      </c>
      <c r="AU19" s="3664" t="s">
        <v>3343</v>
      </c>
      <c r="AV19" s="3664" t="s">
        <v>3346</v>
      </c>
      <c r="AW19" s="3664" t="s">
        <v>3346</v>
      </c>
      <c r="AX19" s="3664" t="s">
        <v>3346</v>
      </c>
    </row>
    <row r="20" spans="1:50">
      <c r="A20" s="3664" t="s">
        <v>3487</v>
      </c>
      <c r="B20" s="3664" t="s">
        <v>3334</v>
      </c>
      <c r="C20" s="3664" t="s">
        <v>3488</v>
      </c>
      <c r="D20" s="3664" t="s">
        <v>3375</v>
      </c>
      <c r="E20" s="3664" t="s">
        <v>3489</v>
      </c>
      <c r="F20" s="3664" t="s">
        <v>3338</v>
      </c>
      <c r="G20" s="3664">
        <v>67470.97</v>
      </c>
      <c r="H20" s="3664">
        <v>134941.94</v>
      </c>
      <c r="I20" s="3664" t="s">
        <v>3433</v>
      </c>
      <c r="J20" s="3664" t="s">
        <v>3340</v>
      </c>
      <c r="K20" s="3664" t="s">
        <v>3454</v>
      </c>
      <c r="L20" s="3664" t="s">
        <v>3342</v>
      </c>
      <c r="M20" s="3664">
        <v>10</v>
      </c>
      <c r="N20" s="3664" t="s">
        <v>3366</v>
      </c>
      <c r="O20" s="3664" t="s">
        <v>3465</v>
      </c>
      <c r="P20" s="3664" t="s">
        <v>3346</v>
      </c>
      <c r="Q20" s="3664" t="s">
        <v>3346</v>
      </c>
      <c r="R20" s="3664" t="s">
        <v>3346</v>
      </c>
      <c r="S20" s="3664" t="s">
        <v>3346</v>
      </c>
      <c r="T20" s="3664">
        <v>0</v>
      </c>
      <c r="U20" s="3664">
        <v>0</v>
      </c>
      <c r="V20" s="3664">
        <v>0</v>
      </c>
      <c r="W20" s="3664">
        <v>0</v>
      </c>
      <c r="X20" s="3665">
        <v>44084.000497685185</v>
      </c>
      <c r="Y20" s="3665">
        <v>44104.000497685185</v>
      </c>
      <c r="Z20" s="3665">
        <v>44104.000497685185</v>
      </c>
      <c r="AA20" s="3665">
        <v>44104.000497685185</v>
      </c>
      <c r="AB20" s="3664" t="s">
        <v>3481</v>
      </c>
      <c r="AC20" s="3664" t="s">
        <v>3348</v>
      </c>
      <c r="AD20" s="3664" t="s">
        <v>3402</v>
      </c>
      <c r="AE20" s="3664" t="s">
        <v>3482</v>
      </c>
      <c r="AF20" s="3664" t="s">
        <v>3351</v>
      </c>
      <c r="AG20" s="3664">
        <v>33735.49</v>
      </c>
      <c r="AH20" s="3664">
        <v>10120</v>
      </c>
      <c r="AI20" s="3664" t="s">
        <v>3483</v>
      </c>
      <c r="AJ20" s="3664">
        <v>33735.49</v>
      </c>
      <c r="AK20" s="3664">
        <v>333.33</v>
      </c>
      <c r="AL20" s="3664">
        <v>333.33</v>
      </c>
      <c r="AM20" s="3664">
        <v>2500</v>
      </c>
      <c r="AN20" s="3664">
        <v>2500</v>
      </c>
      <c r="AO20" s="3664" t="s">
        <v>3346</v>
      </c>
      <c r="AP20" s="3664" t="s">
        <v>3346</v>
      </c>
      <c r="AQ20" s="3664">
        <v>0</v>
      </c>
      <c r="AR20" s="3664" t="s">
        <v>3442</v>
      </c>
      <c r="AS20" s="3664" t="s">
        <v>3343</v>
      </c>
      <c r="AT20" s="3664" t="s">
        <v>3346</v>
      </c>
      <c r="AU20" s="3664" t="s">
        <v>3343</v>
      </c>
      <c r="AV20" s="3664" t="s">
        <v>3346</v>
      </c>
      <c r="AW20" s="3664" t="s">
        <v>3346</v>
      </c>
      <c r="AX20" s="3664" t="s">
        <v>3346</v>
      </c>
    </row>
    <row r="21" spans="1:50">
      <c r="A21" s="3664" t="s">
        <v>3490</v>
      </c>
      <c r="B21" s="3664" t="s">
        <v>3334</v>
      </c>
      <c r="C21" s="3664" t="s">
        <v>3491</v>
      </c>
      <c r="D21" s="3664" t="s">
        <v>3336</v>
      </c>
      <c r="E21" s="3664" t="s">
        <v>3492</v>
      </c>
      <c r="F21" s="3664" t="s">
        <v>3338</v>
      </c>
      <c r="G21" s="3664">
        <v>69993.3</v>
      </c>
      <c r="H21" s="3664">
        <v>139986</v>
      </c>
      <c r="I21" s="3664">
        <v>2</v>
      </c>
      <c r="J21" s="3664" t="s">
        <v>3340</v>
      </c>
      <c r="K21" s="3664" t="s">
        <v>3493</v>
      </c>
      <c r="L21" s="3664" t="s">
        <v>3342</v>
      </c>
      <c r="M21" s="3664">
        <v>10</v>
      </c>
      <c r="N21" s="3664" t="s">
        <v>3366</v>
      </c>
      <c r="O21" s="3664" t="s">
        <v>3408</v>
      </c>
      <c r="P21" s="3664" t="s">
        <v>3346</v>
      </c>
      <c r="Q21" s="3664" t="s">
        <v>3346</v>
      </c>
      <c r="R21" s="3664" t="s">
        <v>3346</v>
      </c>
      <c r="S21" s="3664" t="s">
        <v>3346</v>
      </c>
      <c r="T21" s="3664">
        <v>0</v>
      </c>
      <c r="U21" s="3664">
        <v>0</v>
      </c>
      <c r="V21" s="3664">
        <v>0</v>
      </c>
      <c r="W21" s="3664">
        <v>0</v>
      </c>
      <c r="X21" s="3665">
        <v>43990.000497685185</v>
      </c>
      <c r="Y21" s="3665">
        <v>44011.000497685185</v>
      </c>
      <c r="Z21" s="3665">
        <v>44011.000497685185</v>
      </c>
      <c r="AA21" s="3665">
        <v>44011.000497685185</v>
      </c>
      <c r="AB21" s="3664" t="s">
        <v>3494</v>
      </c>
      <c r="AC21" s="3664" t="s">
        <v>3348</v>
      </c>
      <c r="AD21" s="3664" t="s">
        <v>3495</v>
      </c>
      <c r="AE21" s="3664" t="s">
        <v>3496</v>
      </c>
      <c r="AF21" s="3664" t="s">
        <v>3371</v>
      </c>
      <c r="AG21" s="3664">
        <v>32896.71</v>
      </c>
      <c r="AH21" s="3664">
        <v>9869</v>
      </c>
      <c r="AI21" s="3664" t="s">
        <v>3497</v>
      </c>
      <c r="AJ21" s="3664">
        <v>32896.71</v>
      </c>
      <c r="AK21" s="3664">
        <v>313.33</v>
      </c>
      <c r="AL21" s="3664">
        <v>313.33</v>
      </c>
      <c r="AM21" s="3664">
        <v>2350</v>
      </c>
      <c r="AN21" s="3664">
        <v>2350</v>
      </c>
      <c r="AO21" s="3664" t="s">
        <v>3346</v>
      </c>
      <c r="AP21" s="3664" t="s">
        <v>3346</v>
      </c>
      <c r="AQ21" s="3664">
        <v>0</v>
      </c>
      <c r="AR21" s="3664" t="s">
        <v>3442</v>
      </c>
      <c r="AS21" s="3664" t="s">
        <v>3343</v>
      </c>
      <c r="AT21" s="3664" t="s">
        <v>3346</v>
      </c>
      <c r="AU21" s="3664" t="s">
        <v>3343</v>
      </c>
      <c r="AV21" s="3664" t="s">
        <v>3346</v>
      </c>
      <c r="AW21" s="3664" t="s">
        <v>3346</v>
      </c>
      <c r="AX21" s="3664" t="s">
        <v>3346</v>
      </c>
    </row>
    <row r="22" spans="1:50">
      <c r="A22" s="3664" t="s">
        <v>3498</v>
      </c>
      <c r="B22" s="3664" t="s">
        <v>3334</v>
      </c>
      <c r="C22" s="3664" t="s">
        <v>3499</v>
      </c>
      <c r="D22" s="3664" t="s">
        <v>3500</v>
      </c>
      <c r="E22" s="3664" t="s">
        <v>3501</v>
      </c>
      <c r="F22" s="3664" t="s">
        <v>3338</v>
      </c>
      <c r="G22" s="3664">
        <v>66774.539999999994</v>
      </c>
      <c r="H22" s="3664">
        <v>120194.17</v>
      </c>
      <c r="I22" s="3664" t="s">
        <v>3502</v>
      </c>
      <c r="J22" s="3664" t="s">
        <v>3340</v>
      </c>
      <c r="K22" s="3664" t="s">
        <v>3493</v>
      </c>
      <c r="L22" s="3664" t="s">
        <v>3342</v>
      </c>
      <c r="M22" s="3664">
        <v>10</v>
      </c>
      <c r="N22" s="3664" t="s">
        <v>3366</v>
      </c>
      <c r="O22" s="3664" t="s">
        <v>3503</v>
      </c>
      <c r="P22" s="3664" t="s">
        <v>3346</v>
      </c>
      <c r="Q22" s="3664" t="s">
        <v>3346</v>
      </c>
      <c r="R22" s="3664" t="s">
        <v>3346</v>
      </c>
      <c r="S22" s="3664" t="s">
        <v>3346</v>
      </c>
      <c r="T22" s="3664">
        <v>0</v>
      </c>
      <c r="U22" s="3664">
        <v>0</v>
      </c>
      <c r="V22" s="3664">
        <v>0</v>
      </c>
      <c r="W22" s="3664">
        <v>0</v>
      </c>
      <c r="X22" s="3665">
        <v>43936.000497685185</v>
      </c>
      <c r="Y22" s="3665">
        <v>43959.000497685185</v>
      </c>
      <c r="Z22" s="3665">
        <v>43959.000497685185</v>
      </c>
      <c r="AA22" s="3665">
        <v>43959.000497685185</v>
      </c>
      <c r="AB22" s="3664" t="s">
        <v>3504</v>
      </c>
      <c r="AC22" s="3664" t="s">
        <v>3348</v>
      </c>
      <c r="AD22" s="3664" t="s">
        <v>3505</v>
      </c>
      <c r="AE22" s="3664" t="s">
        <v>3506</v>
      </c>
      <c r="AF22" s="3664" t="s">
        <v>3507</v>
      </c>
      <c r="AG22" s="3664">
        <v>11322.29</v>
      </c>
      <c r="AH22" s="3664">
        <v>5662</v>
      </c>
      <c r="AI22" s="3664" t="s">
        <v>3508</v>
      </c>
      <c r="AJ22" s="3664">
        <v>11322.29</v>
      </c>
      <c r="AK22" s="3664">
        <v>113.04</v>
      </c>
      <c r="AL22" s="3664">
        <v>113.04</v>
      </c>
      <c r="AM22" s="3664">
        <v>942</v>
      </c>
      <c r="AN22" s="3664">
        <v>942</v>
      </c>
      <c r="AO22" s="3664" t="s">
        <v>3346</v>
      </c>
      <c r="AP22" s="3664" t="s">
        <v>3346</v>
      </c>
      <c r="AQ22" s="3664">
        <v>0</v>
      </c>
      <c r="AR22" s="3664" t="s">
        <v>3442</v>
      </c>
      <c r="AS22" s="3664" t="s">
        <v>3343</v>
      </c>
      <c r="AT22" s="3664" t="s">
        <v>3346</v>
      </c>
      <c r="AU22" s="3664" t="s">
        <v>3343</v>
      </c>
      <c r="AV22" s="3664" t="s">
        <v>3346</v>
      </c>
      <c r="AW22" s="3664" t="s">
        <v>3346</v>
      </c>
      <c r="AX22" s="3664" t="s">
        <v>3346</v>
      </c>
    </row>
    <row r="23" spans="1:50">
      <c r="A23" s="3664" t="s">
        <v>3509</v>
      </c>
      <c r="B23" s="3664" t="s">
        <v>3334</v>
      </c>
      <c r="C23" s="3664" t="s">
        <v>3510</v>
      </c>
      <c r="D23" s="3664" t="s">
        <v>3500</v>
      </c>
      <c r="E23" s="3664" t="s">
        <v>3511</v>
      </c>
      <c r="F23" s="3664" t="s">
        <v>3338</v>
      </c>
      <c r="G23" s="3664">
        <v>62760.65</v>
      </c>
      <c r="H23" s="3664">
        <v>112969.17</v>
      </c>
      <c r="I23" s="3664" t="s">
        <v>3512</v>
      </c>
      <c r="J23" s="3664" t="s">
        <v>3340</v>
      </c>
      <c r="K23" s="3664" t="s">
        <v>3493</v>
      </c>
      <c r="L23" s="3664" t="s">
        <v>3342</v>
      </c>
      <c r="M23" s="3664">
        <v>10</v>
      </c>
      <c r="N23" s="3664" t="s">
        <v>3366</v>
      </c>
      <c r="O23" s="3664" t="s">
        <v>3503</v>
      </c>
      <c r="P23" s="3664" t="s">
        <v>3346</v>
      </c>
      <c r="Q23" s="3664" t="s">
        <v>3346</v>
      </c>
      <c r="R23" s="3664" t="s">
        <v>3346</v>
      </c>
      <c r="S23" s="3664" t="s">
        <v>3346</v>
      </c>
      <c r="T23" s="3664">
        <v>0</v>
      </c>
      <c r="U23" s="3664">
        <v>0</v>
      </c>
      <c r="V23" s="3664">
        <v>0</v>
      </c>
      <c r="W23" s="3664">
        <v>0</v>
      </c>
      <c r="X23" s="3665">
        <v>43936.000497685185</v>
      </c>
      <c r="Y23" s="3665">
        <v>43959.000497685185</v>
      </c>
      <c r="Z23" s="3665">
        <v>43959.000497685185</v>
      </c>
      <c r="AA23" s="3665">
        <v>43959.000497685185</v>
      </c>
      <c r="AB23" s="3664" t="s">
        <v>3504</v>
      </c>
      <c r="AC23" s="3664" t="s">
        <v>3348</v>
      </c>
      <c r="AD23" s="3664" t="s">
        <v>3505</v>
      </c>
      <c r="AE23" s="3664" t="s">
        <v>3506</v>
      </c>
      <c r="AF23" s="3664" t="s">
        <v>3507</v>
      </c>
      <c r="AG23" s="3664">
        <v>10641.7</v>
      </c>
      <c r="AH23" s="3664">
        <v>5321</v>
      </c>
      <c r="AI23" s="3664" t="s">
        <v>3508</v>
      </c>
      <c r="AJ23" s="3664">
        <v>10641.7</v>
      </c>
      <c r="AK23" s="3664">
        <v>113.04</v>
      </c>
      <c r="AL23" s="3664">
        <v>113.04</v>
      </c>
      <c r="AM23" s="3664">
        <v>942</v>
      </c>
      <c r="AN23" s="3664">
        <v>942</v>
      </c>
      <c r="AO23" s="3664" t="s">
        <v>3346</v>
      </c>
      <c r="AP23" s="3664" t="s">
        <v>3346</v>
      </c>
      <c r="AQ23" s="3664">
        <v>0</v>
      </c>
      <c r="AR23" s="3664" t="s">
        <v>3457</v>
      </c>
      <c r="AS23" s="3664" t="s">
        <v>3343</v>
      </c>
      <c r="AT23" s="3664" t="s">
        <v>3346</v>
      </c>
      <c r="AU23" s="3664" t="s">
        <v>3343</v>
      </c>
      <c r="AV23" s="3664" t="s">
        <v>3346</v>
      </c>
      <c r="AW23" s="3664" t="s">
        <v>3346</v>
      </c>
      <c r="AX23" s="3664" t="s">
        <v>3346</v>
      </c>
    </row>
    <row r="24" spans="1:50">
      <c r="A24" s="3664" t="s">
        <v>3509</v>
      </c>
      <c r="B24" s="3664" t="s">
        <v>3334</v>
      </c>
      <c r="C24" s="3664" t="s">
        <v>3513</v>
      </c>
      <c r="D24" s="3664" t="s">
        <v>3500</v>
      </c>
      <c r="E24" s="3664" t="s">
        <v>3511</v>
      </c>
      <c r="F24" s="3664" t="s">
        <v>3338</v>
      </c>
      <c r="G24" s="3664">
        <v>67563.72</v>
      </c>
      <c r="H24" s="3664">
        <v>121614.69</v>
      </c>
      <c r="I24" s="3664" t="s">
        <v>3502</v>
      </c>
      <c r="J24" s="3664" t="s">
        <v>3340</v>
      </c>
      <c r="K24" s="3664" t="s">
        <v>3493</v>
      </c>
      <c r="L24" s="3664" t="s">
        <v>3342</v>
      </c>
      <c r="M24" s="3664">
        <v>10</v>
      </c>
      <c r="N24" s="3664" t="s">
        <v>3366</v>
      </c>
      <c r="O24" s="3664" t="s">
        <v>3503</v>
      </c>
      <c r="P24" s="3664" t="s">
        <v>3346</v>
      </c>
      <c r="Q24" s="3664" t="s">
        <v>3346</v>
      </c>
      <c r="R24" s="3664" t="s">
        <v>3346</v>
      </c>
      <c r="S24" s="3664" t="s">
        <v>3346</v>
      </c>
      <c r="T24" s="3664">
        <v>0</v>
      </c>
      <c r="U24" s="3664">
        <v>0</v>
      </c>
      <c r="V24" s="3664">
        <v>0</v>
      </c>
      <c r="W24" s="3664">
        <v>0</v>
      </c>
      <c r="X24" s="3665">
        <v>43936.000497685185</v>
      </c>
      <c r="Y24" s="3665">
        <v>43959.000497685185</v>
      </c>
      <c r="Z24" s="3665">
        <v>43959.000497685185</v>
      </c>
      <c r="AA24" s="3665">
        <v>43959.000497685185</v>
      </c>
      <c r="AB24" s="3664" t="s">
        <v>3504</v>
      </c>
      <c r="AC24" s="3664" t="s">
        <v>3348</v>
      </c>
      <c r="AD24" s="3664" t="s">
        <v>3505</v>
      </c>
      <c r="AE24" s="3664" t="s">
        <v>3506</v>
      </c>
      <c r="AF24" s="3664" t="s">
        <v>3507</v>
      </c>
      <c r="AG24" s="3664">
        <v>11456.1</v>
      </c>
      <c r="AH24" s="3664">
        <v>5729</v>
      </c>
      <c r="AI24" s="3664" t="s">
        <v>3508</v>
      </c>
      <c r="AJ24" s="3664">
        <v>11456.1</v>
      </c>
      <c r="AK24" s="3664">
        <v>113.04</v>
      </c>
      <c r="AL24" s="3664">
        <v>113.04</v>
      </c>
      <c r="AM24" s="3664">
        <v>942</v>
      </c>
      <c r="AN24" s="3664">
        <v>942</v>
      </c>
      <c r="AO24" s="3664" t="s">
        <v>3346</v>
      </c>
      <c r="AP24" s="3664" t="s">
        <v>3346</v>
      </c>
      <c r="AQ24" s="3664">
        <v>0</v>
      </c>
      <c r="AR24" s="3664" t="s">
        <v>3442</v>
      </c>
      <c r="AS24" s="3664" t="s">
        <v>3343</v>
      </c>
      <c r="AT24" s="3664" t="s">
        <v>3346</v>
      </c>
      <c r="AU24" s="3664" t="s">
        <v>3343</v>
      </c>
      <c r="AV24" s="3664" t="s">
        <v>3346</v>
      </c>
      <c r="AW24" s="3664" t="s">
        <v>3346</v>
      </c>
      <c r="AX24" s="3664" t="s">
        <v>3346</v>
      </c>
    </row>
    <row r="25" spans="1:50">
      <c r="A25" s="3664" t="s">
        <v>3514</v>
      </c>
      <c r="B25" s="3664" t="s">
        <v>3334</v>
      </c>
      <c r="C25" s="3664" t="s">
        <v>3515</v>
      </c>
      <c r="D25" s="3664" t="s">
        <v>3375</v>
      </c>
      <c r="E25" s="3664" t="s">
        <v>3516</v>
      </c>
      <c r="F25" s="3664" t="s">
        <v>3338</v>
      </c>
      <c r="G25" s="3664">
        <v>26945.86</v>
      </c>
      <c r="H25" s="3664">
        <v>53891.72</v>
      </c>
      <c r="I25" s="3664" t="s">
        <v>3517</v>
      </c>
      <c r="J25" s="3664" t="s">
        <v>3340</v>
      </c>
      <c r="K25" s="3664" t="s">
        <v>3454</v>
      </c>
      <c r="L25" s="3664" t="s">
        <v>3342</v>
      </c>
      <c r="M25" s="3664">
        <v>10</v>
      </c>
      <c r="N25" s="3664" t="s">
        <v>3400</v>
      </c>
      <c r="O25" s="3664" t="s">
        <v>3401</v>
      </c>
      <c r="P25" s="3664" t="s">
        <v>3346</v>
      </c>
      <c r="Q25" s="3664" t="s">
        <v>3346</v>
      </c>
      <c r="R25" s="3664" t="s">
        <v>3518</v>
      </c>
      <c r="S25" s="3664" t="s">
        <v>3346</v>
      </c>
      <c r="T25" s="3664">
        <v>0</v>
      </c>
      <c r="U25" s="3664">
        <v>0</v>
      </c>
      <c r="V25" s="3664">
        <v>0</v>
      </c>
      <c r="W25" s="3664">
        <v>0</v>
      </c>
      <c r="X25" s="3665">
        <v>43776.000497685185</v>
      </c>
      <c r="Y25" s="3665">
        <v>43798.000497685185</v>
      </c>
      <c r="Z25" s="3665">
        <v>43798.000497685185</v>
      </c>
      <c r="AA25" s="3665">
        <v>43798.000497685185</v>
      </c>
      <c r="AB25" s="3664" t="s">
        <v>3519</v>
      </c>
      <c r="AC25" s="3664" t="s">
        <v>3348</v>
      </c>
      <c r="AD25" s="3664" t="s">
        <v>3520</v>
      </c>
      <c r="AE25" s="3664" t="s">
        <v>3346</v>
      </c>
      <c r="AF25" s="3664" t="s">
        <v>3346</v>
      </c>
      <c r="AG25" s="3664">
        <v>9700.51</v>
      </c>
      <c r="AH25" s="3664">
        <v>2910</v>
      </c>
      <c r="AI25" s="3664" t="s">
        <v>2095</v>
      </c>
      <c r="AJ25" s="3664">
        <v>9700.51</v>
      </c>
      <c r="AK25" s="3664">
        <v>240</v>
      </c>
      <c r="AL25" s="3664">
        <v>240</v>
      </c>
      <c r="AM25" s="3664">
        <v>1800</v>
      </c>
      <c r="AN25" s="3664">
        <v>1800</v>
      </c>
      <c r="AO25" s="3664" t="s">
        <v>3346</v>
      </c>
      <c r="AP25" s="3664" t="s">
        <v>3346</v>
      </c>
      <c r="AQ25" s="3664">
        <v>0</v>
      </c>
      <c r="AR25" s="3664" t="s">
        <v>3442</v>
      </c>
      <c r="AS25" s="3664" t="s">
        <v>3343</v>
      </c>
      <c r="AT25" s="3664" t="s">
        <v>3346</v>
      </c>
      <c r="AU25" s="3664" t="s">
        <v>3343</v>
      </c>
      <c r="AV25" s="3664" t="s">
        <v>3346</v>
      </c>
      <c r="AW25" s="3664" t="s">
        <v>3346</v>
      </c>
      <c r="AX25" s="3664" t="s">
        <v>3346</v>
      </c>
    </row>
    <row r="26" spans="1:50">
      <c r="A26" s="3664" t="s">
        <v>3521</v>
      </c>
      <c r="B26" s="3664" t="s">
        <v>3334</v>
      </c>
      <c r="C26" s="3664" t="s">
        <v>3522</v>
      </c>
      <c r="D26" s="3664" t="s">
        <v>3375</v>
      </c>
      <c r="E26" s="3664" t="s">
        <v>3523</v>
      </c>
      <c r="F26" s="3664" t="s">
        <v>3338</v>
      </c>
      <c r="G26" s="3664">
        <v>30643.27</v>
      </c>
      <c r="H26" s="3664">
        <v>61286.54</v>
      </c>
      <c r="I26" s="3664" t="s">
        <v>3524</v>
      </c>
      <c r="J26" s="3664" t="s">
        <v>3340</v>
      </c>
      <c r="K26" s="3664" t="s">
        <v>3493</v>
      </c>
      <c r="L26" s="3664" t="s">
        <v>3342</v>
      </c>
      <c r="M26" s="3664">
        <v>10</v>
      </c>
      <c r="N26" s="3664" t="s">
        <v>3400</v>
      </c>
      <c r="O26" s="3664" t="s">
        <v>3401</v>
      </c>
      <c r="P26" s="3664" t="s">
        <v>3346</v>
      </c>
      <c r="Q26" s="3664" t="s">
        <v>3346</v>
      </c>
      <c r="R26" s="3664" t="s">
        <v>3518</v>
      </c>
      <c r="S26" s="3664" t="s">
        <v>3525</v>
      </c>
      <c r="T26" s="3664">
        <v>0</v>
      </c>
      <c r="U26" s="3664">
        <v>0</v>
      </c>
      <c r="V26" s="3664">
        <v>0</v>
      </c>
      <c r="W26" s="3664">
        <v>0</v>
      </c>
      <c r="X26" s="3665">
        <v>43776.000497685185</v>
      </c>
      <c r="Y26" s="3665">
        <v>43798.000497685185</v>
      </c>
      <c r="Z26" s="3665">
        <v>43798.000497685185</v>
      </c>
      <c r="AA26" s="3665">
        <v>43798.000497685185</v>
      </c>
      <c r="AB26" s="3664" t="s">
        <v>3519</v>
      </c>
      <c r="AC26" s="3664" t="s">
        <v>3348</v>
      </c>
      <c r="AD26" s="3664" t="s">
        <v>3520</v>
      </c>
      <c r="AE26" s="3664" t="s">
        <v>3526</v>
      </c>
      <c r="AF26" s="3664" t="s">
        <v>3371</v>
      </c>
      <c r="AG26" s="3664">
        <v>11031.58</v>
      </c>
      <c r="AH26" s="3664">
        <v>3309</v>
      </c>
      <c r="AI26" s="3664" t="s">
        <v>2095</v>
      </c>
      <c r="AJ26" s="3664">
        <v>11031.58</v>
      </c>
      <c r="AK26" s="3664">
        <v>240</v>
      </c>
      <c r="AL26" s="3664">
        <v>240</v>
      </c>
      <c r="AM26" s="3664">
        <v>1800</v>
      </c>
      <c r="AN26" s="3664">
        <v>1800</v>
      </c>
      <c r="AO26" s="3664" t="s">
        <v>3346</v>
      </c>
      <c r="AP26" s="3664" t="s">
        <v>3346</v>
      </c>
      <c r="AQ26" s="3664">
        <v>0</v>
      </c>
      <c r="AR26" s="3664" t="s">
        <v>3442</v>
      </c>
      <c r="AS26" s="3664" t="s">
        <v>3343</v>
      </c>
      <c r="AT26" s="3664" t="s">
        <v>3346</v>
      </c>
      <c r="AU26" s="3664" t="s">
        <v>3343</v>
      </c>
      <c r="AV26" s="3664" t="s">
        <v>3346</v>
      </c>
      <c r="AW26" s="3664" t="s">
        <v>3346</v>
      </c>
      <c r="AX26" s="3664" t="s">
        <v>3346</v>
      </c>
    </row>
    <row r="27" spans="1:50">
      <c r="A27" s="3664" t="s">
        <v>3527</v>
      </c>
      <c r="B27" s="3664" t="s">
        <v>3334</v>
      </c>
      <c r="C27" s="3664" t="s">
        <v>3528</v>
      </c>
      <c r="D27" s="3664" t="s">
        <v>3375</v>
      </c>
      <c r="E27" s="3664" t="s">
        <v>3529</v>
      </c>
      <c r="F27" s="3664" t="s">
        <v>3338</v>
      </c>
      <c r="G27" s="3664">
        <v>35982.410000000003</v>
      </c>
      <c r="H27" s="3664">
        <v>71964.820000000007</v>
      </c>
      <c r="I27" s="3664" t="s">
        <v>3530</v>
      </c>
      <c r="J27" s="3664" t="s">
        <v>3340</v>
      </c>
      <c r="K27" s="3664" t="s">
        <v>3493</v>
      </c>
      <c r="L27" s="3664" t="s">
        <v>3342</v>
      </c>
      <c r="M27" s="3664">
        <v>10</v>
      </c>
      <c r="N27" s="3664" t="s">
        <v>3400</v>
      </c>
      <c r="O27" s="3664" t="s">
        <v>3401</v>
      </c>
      <c r="P27" s="3664" t="s">
        <v>3346</v>
      </c>
      <c r="Q27" s="3664" t="s">
        <v>3346</v>
      </c>
      <c r="R27" s="3664" t="s">
        <v>3531</v>
      </c>
      <c r="S27" s="3664" t="s">
        <v>3525</v>
      </c>
      <c r="T27" s="3664">
        <v>0</v>
      </c>
      <c r="U27" s="3664">
        <v>0</v>
      </c>
      <c r="V27" s="3664">
        <v>0</v>
      </c>
      <c r="W27" s="3664">
        <v>0</v>
      </c>
      <c r="X27" s="3665">
        <v>43776.000497685185</v>
      </c>
      <c r="Y27" s="3665">
        <v>43798.000497685185</v>
      </c>
      <c r="Z27" s="3665">
        <v>43798.000497685185</v>
      </c>
      <c r="AA27" s="3665">
        <v>43798.000497685185</v>
      </c>
      <c r="AB27" s="3664" t="s">
        <v>3519</v>
      </c>
      <c r="AC27" s="3664" t="s">
        <v>3348</v>
      </c>
      <c r="AD27" s="3664" t="s">
        <v>3520</v>
      </c>
      <c r="AE27" s="3664" t="s">
        <v>3526</v>
      </c>
      <c r="AF27" s="3664" t="s">
        <v>3371</v>
      </c>
      <c r="AG27" s="3664">
        <v>12953.67</v>
      </c>
      <c r="AH27" s="3664">
        <v>3886</v>
      </c>
      <c r="AI27" s="3664" t="s">
        <v>2095</v>
      </c>
      <c r="AJ27" s="3664">
        <v>12953.67</v>
      </c>
      <c r="AK27" s="3664">
        <v>240</v>
      </c>
      <c r="AL27" s="3664">
        <v>240</v>
      </c>
      <c r="AM27" s="3664">
        <v>1800</v>
      </c>
      <c r="AN27" s="3664">
        <v>1800</v>
      </c>
      <c r="AO27" s="3664" t="s">
        <v>3346</v>
      </c>
      <c r="AP27" s="3664" t="s">
        <v>3346</v>
      </c>
      <c r="AQ27" s="3664">
        <v>0</v>
      </c>
      <c r="AR27" s="3664" t="s">
        <v>3442</v>
      </c>
      <c r="AS27" s="3664" t="s">
        <v>3343</v>
      </c>
      <c r="AT27" s="3664" t="s">
        <v>3346</v>
      </c>
      <c r="AU27" s="3664" t="s">
        <v>3343</v>
      </c>
      <c r="AV27" s="3664" t="s">
        <v>3346</v>
      </c>
      <c r="AW27" s="3664" t="s">
        <v>3346</v>
      </c>
      <c r="AX27" s="3664" t="s">
        <v>3346</v>
      </c>
    </row>
    <row r="28" spans="1:50" s="3666" customFormat="1">
      <c r="A28" s="3666" t="s">
        <v>3532</v>
      </c>
      <c r="B28" s="3666" t="s">
        <v>3334</v>
      </c>
      <c r="C28" s="3666" t="s">
        <v>3533</v>
      </c>
      <c r="D28" s="3666" t="s">
        <v>3406</v>
      </c>
      <c r="E28" s="3666" t="s">
        <v>3534</v>
      </c>
      <c r="F28" s="3666" t="s">
        <v>3338</v>
      </c>
      <c r="G28" s="3666">
        <v>37771.870000000003</v>
      </c>
      <c r="H28" s="3666">
        <v>75543</v>
      </c>
      <c r="I28" s="3666" t="s">
        <v>3535</v>
      </c>
      <c r="J28" s="3666" t="s">
        <v>3340</v>
      </c>
      <c r="K28" s="3666" t="s">
        <v>3536</v>
      </c>
      <c r="L28" s="3666" t="s">
        <v>3342</v>
      </c>
      <c r="M28" s="3666">
        <v>10</v>
      </c>
      <c r="N28" s="3666" t="s">
        <v>3366</v>
      </c>
      <c r="O28" s="3666" t="s">
        <v>3537</v>
      </c>
      <c r="P28" s="3666" t="s">
        <v>3346</v>
      </c>
      <c r="Q28" s="3666" t="s">
        <v>3346</v>
      </c>
      <c r="R28" s="3666" t="s">
        <v>3346</v>
      </c>
      <c r="S28" s="3666" t="s">
        <v>3346</v>
      </c>
      <c r="T28" s="3666">
        <v>0</v>
      </c>
      <c r="U28" s="3666">
        <v>0</v>
      </c>
      <c r="V28" s="3666">
        <v>0</v>
      </c>
      <c r="W28" s="3666">
        <v>0</v>
      </c>
      <c r="X28" s="3667">
        <v>43685.000497685185</v>
      </c>
      <c r="Y28" s="3667">
        <v>43705.000497685185</v>
      </c>
      <c r="Z28" s="3667">
        <v>43705.000497685185</v>
      </c>
      <c r="AA28" s="3667">
        <v>43705.000497685185</v>
      </c>
      <c r="AB28" s="3666" t="s">
        <v>3538</v>
      </c>
      <c r="AC28" s="3666" t="s">
        <v>3348</v>
      </c>
      <c r="AD28" s="3666" t="s">
        <v>3410</v>
      </c>
      <c r="AE28" s="3666" t="s">
        <v>3411</v>
      </c>
      <c r="AF28" s="3666" t="s">
        <v>3351</v>
      </c>
      <c r="AG28" s="3666">
        <v>24778.1</v>
      </c>
      <c r="AH28" s="3666">
        <v>7433</v>
      </c>
      <c r="AI28" s="3666" t="s">
        <v>2095</v>
      </c>
      <c r="AJ28" s="3666">
        <v>24778.1</v>
      </c>
      <c r="AK28" s="3666">
        <v>437.33</v>
      </c>
      <c r="AL28" s="3666">
        <v>437.33</v>
      </c>
      <c r="AM28" s="3666">
        <v>3280</v>
      </c>
      <c r="AN28" s="3666">
        <v>3280</v>
      </c>
      <c r="AO28" s="3666" t="s">
        <v>3346</v>
      </c>
      <c r="AP28" s="3666" t="s">
        <v>3346</v>
      </c>
      <c r="AQ28" s="3666">
        <v>0</v>
      </c>
      <c r="AR28" s="3666" t="s">
        <v>3442</v>
      </c>
      <c r="AS28" s="3666" t="s">
        <v>3343</v>
      </c>
      <c r="AT28" s="3666" t="s">
        <v>3346</v>
      </c>
      <c r="AU28" s="3666" t="s">
        <v>3343</v>
      </c>
      <c r="AV28" s="3666" t="s">
        <v>3346</v>
      </c>
      <c r="AW28" s="3666" t="s">
        <v>3346</v>
      </c>
      <c r="AX28" s="3666" t="s">
        <v>3346</v>
      </c>
    </row>
    <row r="29" spans="1:50">
      <c r="A29" s="3664" t="s">
        <v>3539</v>
      </c>
      <c r="B29" s="3664" t="s">
        <v>3334</v>
      </c>
      <c r="C29" s="3664" t="s">
        <v>3540</v>
      </c>
      <c r="D29" s="3664" t="s">
        <v>3336</v>
      </c>
      <c r="E29" s="3664" t="s">
        <v>3541</v>
      </c>
      <c r="F29" s="3664" t="s">
        <v>3338</v>
      </c>
      <c r="G29" s="3664">
        <v>69994.86</v>
      </c>
      <c r="H29" s="3664">
        <v>174987</v>
      </c>
      <c r="I29" s="3664" t="s">
        <v>3542</v>
      </c>
      <c r="J29" s="3664" t="s">
        <v>3340</v>
      </c>
      <c r="K29" s="3664" t="s">
        <v>3543</v>
      </c>
      <c r="L29" s="3664" t="s">
        <v>3342</v>
      </c>
      <c r="M29" s="3664" t="s">
        <v>3343</v>
      </c>
      <c r="N29" s="3664" t="s">
        <v>3544</v>
      </c>
      <c r="O29" s="3664" t="s">
        <v>3408</v>
      </c>
      <c r="P29" s="3664" t="s">
        <v>3346</v>
      </c>
      <c r="Q29" s="3664" t="s">
        <v>3346</v>
      </c>
      <c r="R29" s="3664" t="s">
        <v>3346</v>
      </c>
      <c r="S29" s="3664" t="s">
        <v>3346</v>
      </c>
      <c r="T29" s="3664">
        <v>0</v>
      </c>
      <c r="U29" s="3664">
        <v>0</v>
      </c>
      <c r="V29" s="3664">
        <v>0</v>
      </c>
      <c r="W29" s="3664">
        <v>0</v>
      </c>
      <c r="X29" s="3665">
        <v>43592.000497685185</v>
      </c>
      <c r="Y29" s="3665">
        <v>43615.000497685185</v>
      </c>
      <c r="Z29" s="3665">
        <v>43615.000497685185</v>
      </c>
      <c r="AA29" s="3665">
        <v>43615.000497685185</v>
      </c>
      <c r="AB29" s="3664" t="s">
        <v>3545</v>
      </c>
      <c r="AC29" s="3664" t="s">
        <v>3348</v>
      </c>
      <c r="AD29" s="3664" t="s">
        <v>3546</v>
      </c>
      <c r="AE29" s="3664" t="s">
        <v>3547</v>
      </c>
      <c r="AF29" s="3664" t="s">
        <v>3371</v>
      </c>
      <c r="AG29" s="3664">
        <v>36747.269999999997</v>
      </c>
      <c r="AH29" s="3664">
        <v>11024</v>
      </c>
      <c r="AI29" s="3664" t="s">
        <v>2095</v>
      </c>
      <c r="AJ29" s="3664">
        <v>39022.1</v>
      </c>
      <c r="AK29" s="3664">
        <v>350</v>
      </c>
      <c r="AL29" s="3664">
        <v>371.67</v>
      </c>
      <c r="AM29" s="3664">
        <v>2100</v>
      </c>
      <c r="AN29" s="3664">
        <v>2230</v>
      </c>
      <c r="AO29" s="3664" t="s">
        <v>3346</v>
      </c>
      <c r="AP29" s="3664" t="s">
        <v>3346</v>
      </c>
      <c r="AQ29" s="3664">
        <v>6.19</v>
      </c>
      <c r="AR29" s="3664" t="s">
        <v>3548</v>
      </c>
      <c r="AS29" s="3664" t="s">
        <v>3343</v>
      </c>
      <c r="AT29" s="3664" t="s">
        <v>3346</v>
      </c>
      <c r="AU29" s="3664" t="s">
        <v>3343</v>
      </c>
      <c r="AV29" s="3664" t="s">
        <v>3346</v>
      </c>
      <c r="AW29" s="3664" t="s">
        <v>3346</v>
      </c>
      <c r="AX29" s="3664" t="s">
        <v>3346</v>
      </c>
    </row>
    <row r="30" spans="1:50">
      <c r="A30" s="3664" t="s">
        <v>3549</v>
      </c>
      <c r="B30" s="3664" t="s">
        <v>3334</v>
      </c>
      <c r="C30" s="3664" t="s">
        <v>3550</v>
      </c>
      <c r="D30" s="3664" t="s">
        <v>3336</v>
      </c>
      <c r="E30" s="3664" t="s">
        <v>3551</v>
      </c>
      <c r="F30" s="3664" t="s">
        <v>3338</v>
      </c>
      <c r="G30" s="3664">
        <v>24097.19</v>
      </c>
      <c r="H30" s="3664">
        <v>60242</v>
      </c>
      <c r="I30" s="3664" t="s">
        <v>3552</v>
      </c>
      <c r="J30" s="3664" t="s">
        <v>3340</v>
      </c>
      <c r="K30" s="3664" t="s">
        <v>3417</v>
      </c>
      <c r="L30" s="3664" t="s">
        <v>3342</v>
      </c>
      <c r="M30" s="3664">
        <v>10</v>
      </c>
      <c r="N30" s="3664" t="s">
        <v>3366</v>
      </c>
      <c r="O30" s="3664" t="s">
        <v>3553</v>
      </c>
      <c r="P30" s="3664" t="s">
        <v>3346</v>
      </c>
      <c r="Q30" s="3664" t="s">
        <v>3346</v>
      </c>
      <c r="R30" s="3664" t="s">
        <v>3346</v>
      </c>
      <c r="S30" s="3664" t="s">
        <v>3346</v>
      </c>
      <c r="T30" s="3664">
        <v>0</v>
      </c>
      <c r="U30" s="3664">
        <v>0</v>
      </c>
      <c r="V30" s="3664">
        <v>0</v>
      </c>
      <c r="W30" s="3664">
        <v>0</v>
      </c>
      <c r="X30" s="3665">
        <v>43546.000497685185</v>
      </c>
      <c r="Y30" s="3665">
        <v>43566.000497685185</v>
      </c>
      <c r="Z30" s="3665">
        <v>43566.000497685185</v>
      </c>
      <c r="AA30" s="3665">
        <v>43566.000497685185</v>
      </c>
      <c r="AB30" s="3664" t="s">
        <v>3554</v>
      </c>
      <c r="AC30" s="3664" t="s">
        <v>3348</v>
      </c>
      <c r="AD30" s="3664" t="s">
        <v>3546</v>
      </c>
      <c r="AE30" s="3664" t="s">
        <v>3555</v>
      </c>
      <c r="AF30" s="3664" t="s">
        <v>3371</v>
      </c>
      <c r="AG30" s="3664">
        <v>12650.82</v>
      </c>
      <c r="AH30" s="3664">
        <v>3795</v>
      </c>
      <c r="AI30" s="3664" t="s">
        <v>2095</v>
      </c>
      <c r="AJ30" s="3664">
        <v>12650.82</v>
      </c>
      <c r="AK30" s="3664">
        <v>349.99</v>
      </c>
      <c r="AL30" s="3664">
        <v>349.99</v>
      </c>
      <c r="AM30" s="3664">
        <v>2100</v>
      </c>
      <c r="AN30" s="3664">
        <v>2100</v>
      </c>
      <c r="AO30" s="3664" t="s">
        <v>3346</v>
      </c>
      <c r="AP30" s="3664" t="s">
        <v>3346</v>
      </c>
      <c r="AQ30" s="3664">
        <v>0</v>
      </c>
      <c r="AR30" s="3664" t="s">
        <v>3442</v>
      </c>
      <c r="AS30" s="3664" t="s">
        <v>3343</v>
      </c>
      <c r="AT30" s="3664" t="s">
        <v>3346</v>
      </c>
      <c r="AU30" s="3664" t="s">
        <v>3343</v>
      </c>
      <c r="AV30" s="3664" t="s">
        <v>3346</v>
      </c>
      <c r="AW30" s="3664" t="s">
        <v>3346</v>
      </c>
      <c r="AX30" s="3664" t="s">
        <v>3346</v>
      </c>
    </row>
    <row r="31" spans="1:50" s="3666" customFormat="1">
      <c r="A31" s="3666" t="s">
        <v>3556</v>
      </c>
      <c r="B31" s="3666" t="s">
        <v>3334</v>
      </c>
      <c r="C31" s="3666" t="s">
        <v>3557</v>
      </c>
      <c r="D31" s="3666" t="s">
        <v>3406</v>
      </c>
      <c r="E31" s="3666" t="s">
        <v>3558</v>
      </c>
      <c r="F31" s="3666" t="s">
        <v>3416</v>
      </c>
      <c r="G31" s="3666">
        <v>69999.600000000006</v>
      </c>
      <c r="H31" s="3666">
        <v>139999.20000000001</v>
      </c>
      <c r="I31" s="3666" t="s">
        <v>3559</v>
      </c>
      <c r="J31" s="3666" t="s">
        <v>3340</v>
      </c>
      <c r="K31" s="3666" t="s">
        <v>3416</v>
      </c>
      <c r="L31" s="3666" t="s">
        <v>3342</v>
      </c>
      <c r="M31" s="3666">
        <v>5</v>
      </c>
      <c r="N31" s="3666" t="s">
        <v>3560</v>
      </c>
      <c r="O31" s="3666" t="s">
        <v>3561</v>
      </c>
      <c r="P31" s="3666" t="s">
        <v>3346</v>
      </c>
      <c r="Q31" s="3666" t="s">
        <v>3346</v>
      </c>
      <c r="R31" s="3666" t="s">
        <v>3518</v>
      </c>
      <c r="S31" s="3666" t="s">
        <v>3525</v>
      </c>
      <c r="T31" s="3666">
        <v>0</v>
      </c>
      <c r="U31" s="3666">
        <v>0</v>
      </c>
      <c r="V31" s="3666">
        <v>0</v>
      </c>
      <c r="W31" s="3666">
        <v>0</v>
      </c>
      <c r="X31" s="3667">
        <v>43476.000497685185</v>
      </c>
      <c r="Y31" s="3667">
        <v>43496.000497685185</v>
      </c>
      <c r="Z31" s="3667">
        <v>43496.000497685185</v>
      </c>
      <c r="AA31" s="3667">
        <v>43496.000497685185</v>
      </c>
      <c r="AB31" s="3666" t="s">
        <v>3562</v>
      </c>
      <c r="AC31" s="3666" t="s">
        <v>3348</v>
      </c>
      <c r="AD31" s="3666" t="s">
        <v>3563</v>
      </c>
      <c r="AE31" s="3666" t="s">
        <v>3564</v>
      </c>
      <c r="AF31" s="3666" t="s">
        <v>3346</v>
      </c>
      <c r="AG31" s="3666">
        <v>29400</v>
      </c>
      <c r="AH31" s="3666">
        <v>7350</v>
      </c>
      <c r="AI31" s="3666" t="s">
        <v>2095</v>
      </c>
      <c r="AJ31" s="3666">
        <v>29400</v>
      </c>
      <c r="AK31" s="3666">
        <v>280</v>
      </c>
      <c r="AL31" s="3666">
        <v>280</v>
      </c>
      <c r="AM31" s="3666">
        <v>2100</v>
      </c>
      <c r="AN31" s="3666">
        <v>2100</v>
      </c>
      <c r="AO31" s="3666" t="s">
        <v>3346</v>
      </c>
      <c r="AP31" s="3666" t="s">
        <v>3346</v>
      </c>
      <c r="AQ31" s="3666">
        <v>0</v>
      </c>
      <c r="AR31" s="3666" t="s">
        <v>3477</v>
      </c>
      <c r="AS31" s="3666" t="s">
        <v>3343</v>
      </c>
      <c r="AT31" s="3666" t="s">
        <v>3346</v>
      </c>
      <c r="AU31" s="3666" t="s">
        <v>3343</v>
      </c>
      <c r="AV31" s="3666" t="s">
        <v>3346</v>
      </c>
      <c r="AW31" s="3666" t="s">
        <v>3346</v>
      </c>
      <c r="AX31" s="3666" t="s">
        <v>3346</v>
      </c>
    </row>
    <row r="32" spans="1:50" s="3666" customFormat="1">
      <c r="A32" s="3666" t="s">
        <v>3565</v>
      </c>
      <c r="B32" s="3666" t="s">
        <v>3334</v>
      </c>
      <c r="C32" s="3666" t="s">
        <v>3566</v>
      </c>
      <c r="D32" s="3666" t="s">
        <v>3406</v>
      </c>
      <c r="E32" s="3666" t="s">
        <v>3567</v>
      </c>
      <c r="F32" s="3666" t="s">
        <v>3416</v>
      </c>
      <c r="G32" s="3666">
        <v>55900.21</v>
      </c>
      <c r="H32" s="3666">
        <v>125775.47</v>
      </c>
      <c r="I32" s="3666" t="s">
        <v>3568</v>
      </c>
      <c r="J32" s="3666" t="s">
        <v>3340</v>
      </c>
      <c r="K32" s="3666" t="s">
        <v>3569</v>
      </c>
      <c r="L32" s="3666" t="s">
        <v>3342</v>
      </c>
      <c r="M32" s="3666" t="s">
        <v>3343</v>
      </c>
      <c r="N32" s="3666" t="s">
        <v>3471</v>
      </c>
      <c r="O32" s="3666" t="s">
        <v>3472</v>
      </c>
      <c r="P32" s="3666" t="s">
        <v>3346</v>
      </c>
      <c r="Q32" s="3666" t="s">
        <v>3346</v>
      </c>
      <c r="R32" s="3666" t="s">
        <v>3346</v>
      </c>
      <c r="S32" s="3666" t="s">
        <v>3346</v>
      </c>
      <c r="T32" s="3666" t="s">
        <v>3346</v>
      </c>
      <c r="U32" s="3666" t="s">
        <v>3346</v>
      </c>
      <c r="V32" s="3666">
        <v>0</v>
      </c>
      <c r="W32" s="3666">
        <v>0</v>
      </c>
      <c r="X32" s="3667">
        <v>43440.000497685185</v>
      </c>
      <c r="Y32" s="3667">
        <v>43460.000497685185</v>
      </c>
      <c r="Z32" s="3667">
        <v>43460.000497685185</v>
      </c>
      <c r="AA32" s="3667">
        <v>43460.000497685185</v>
      </c>
      <c r="AB32" s="3666" t="s">
        <v>3570</v>
      </c>
      <c r="AC32" s="3666" t="s">
        <v>3348</v>
      </c>
      <c r="AD32" s="3666" t="s">
        <v>3571</v>
      </c>
      <c r="AE32" s="3666" t="s">
        <v>3572</v>
      </c>
      <c r="AF32" s="3666" t="s">
        <v>3351</v>
      </c>
      <c r="AG32" s="3666">
        <v>37732.5</v>
      </c>
      <c r="AH32" s="3666">
        <v>9434</v>
      </c>
      <c r="AI32" s="3666" t="s">
        <v>2095</v>
      </c>
      <c r="AJ32" s="3666">
        <v>37732.5</v>
      </c>
      <c r="AK32" s="3666">
        <v>450</v>
      </c>
      <c r="AL32" s="3666">
        <v>450</v>
      </c>
      <c r="AM32" s="3666">
        <v>3000</v>
      </c>
      <c r="AN32" s="3666">
        <v>3000</v>
      </c>
      <c r="AO32" s="3666" t="s">
        <v>3346</v>
      </c>
      <c r="AP32" s="3666" t="s">
        <v>3346</v>
      </c>
      <c r="AQ32" s="3666">
        <v>0</v>
      </c>
      <c r="AR32" s="3666" t="s">
        <v>3477</v>
      </c>
      <c r="AS32" s="3666" t="s">
        <v>3343</v>
      </c>
      <c r="AT32" s="3666" t="s">
        <v>3346</v>
      </c>
      <c r="AU32" s="3666" t="s">
        <v>3343</v>
      </c>
      <c r="AV32" s="3666" t="s">
        <v>3346</v>
      </c>
      <c r="AW32" s="3666" t="s">
        <v>3346</v>
      </c>
      <c r="AX32" s="3666" t="s">
        <v>3346</v>
      </c>
    </row>
    <row r="33" spans="1:50" s="3666" customFormat="1">
      <c r="A33" s="3666" t="s">
        <v>3573</v>
      </c>
      <c r="B33" s="3666" t="s">
        <v>3334</v>
      </c>
      <c r="C33" s="3666" t="s">
        <v>3574</v>
      </c>
      <c r="D33" s="3666" t="s">
        <v>3406</v>
      </c>
      <c r="E33" s="3666" t="s">
        <v>3575</v>
      </c>
      <c r="F33" s="3666" t="s">
        <v>3416</v>
      </c>
      <c r="G33" s="3666">
        <v>65536.63</v>
      </c>
      <c r="H33" s="3666">
        <v>147457.42000000001</v>
      </c>
      <c r="I33" s="3666" t="s">
        <v>3568</v>
      </c>
      <c r="J33" s="3666" t="s">
        <v>3340</v>
      </c>
      <c r="K33" s="3666" t="s">
        <v>3569</v>
      </c>
      <c r="L33" s="3666" t="s">
        <v>3342</v>
      </c>
      <c r="M33" s="3666" t="s">
        <v>3343</v>
      </c>
      <c r="N33" s="3666" t="s">
        <v>3471</v>
      </c>
      <c r="O33" s="3666" t="s">
        <v>3472</v>
      </c>
      <c r="P33" s="3666" t="s">
        <v>3346</v>
      </c>
      <c r="Q33" s="3666" t="s">
        <v>3346</v>
      </c>
      <c r="R33" s="3666" t="s">
        <v>3346</v>
      </c>
      <c r="S33" s="3666" t="s">
        <v>3346</v>
      </c>
      <c r="T33" s="3666" t="s">
        <v>3346</v>
      </c>
      <c r="U33" s="3666" t="s">
        <v>3346</v>
      </c>
      <c r="V33" s="3666">
        <v>0</v>
      </c>
      <c r="W33" s="3666">
        <v>0</v>
      </c>
      <c r="X33" s="3667">
        <v>43440.000497685185</v>
      </c>
      <c r="Y33" s="3667">
        <v>43460.000497685185</v>
      </c>
      <c r="Z33" s="3667">
        <v>43460.000497685185</v>
      </c>
      <c r="AA33" s="3667">
        <v>43460.000497685185</v>
      </c>
      <c r="AB33" s="3666" t="s">
        <v>3570</v>
      </c>
      <c r="AC33" s="3666" t="s">
        <v>3348</v>
      </c>
      <c r="AD33" s="3666" t="s">
        <v>3546</v>
      </c>
      <c r="AE33" s="3666" t="s">
        <v>3547</v>
      </c>
      <c r="AF33" s="3666" t="s">
        <v>3371</v>
      </c>
      <c r="AG33" s="3666">
        <v>44237.1</v>
      </c>
      <c r="AH33" s="3666">
        <v>11060</v>
      </c>
      <c r="AI33" s="3666" t="s">
        <v>2095</v>
      </c>
      <c r="AJ33" s="3666">
        <v>44237.1</v>
      </c>
      <c r="AK33" s="3666">
        <v>450</v>
      </c>
      <c r="AL33" s="3666">
        <v>450</v>
      </c>
      <c r="AM33" s="3666">
        <v>3000</v>
      </c>
      <c r="AN33" s="3666">
        <v>3000</v>
      </c>
      <c r="AO33" s="3666" t="s">
        <v>3346</v>
      </c>
      <c r="AP33" s="3666" t="s">
        <v>3346</v>
      </c>
      <c r="AQ33" s="3666">
        <v>0</v>
      </c>
      <c r="AR33" s="3666" t="s">
        <v>3477</v>
      </c>
      <c r="AS33" s="3666" t="s">
        <v>3343</v>
      </c>
      <c r="AT33" s="3666" t="s">
        <v>3346</v>
      </c>
      <c r="AU33" s="3666" t="s">
        <v>3343</v>
      </c>
      <c r="AV33" s="3666" t="s">
        <v>3346</v>
      </c>
      <c r="AW33" s="3666" t="s">
        <v>3346</v>
      </c>
      <c r="AX33" s="3666" t="s">
        <v>3346</v>
      </c>
    </row>
    <row r="34" spans="1:50" s="3666" customFormat="1">
      <c r="A34" s="3666" t="s">
        <v>3576</v>
      </c>
      <c r="B34" s="3666" t="s">
        <v>3334</v>
      </c>
      <c r="C34" s="3666" t="s">
        <v>3577</v>
      </c>
      <c r="D34" s="3666" t="s">
        <v>3406</v>
      </c>
      <c r="E34" s="3666" t="s">
        <v>3578</v>
      </c>
      <c r="F34" s="3666" t="s">
        <v>3338</v>
      </c>
      <c r="G34" s="3666">
        <v>74926.91</v>
      </c>
      <c r="H34" s="3666">
        <v>149853</v>
      </c>
      <c r="I34" s="3666" t="s">
        <v>3535</v>
      </c>
      <c r="J34" s="3666" t="s">
        <v>3340</v>
      </c>
      <c r="K34" s="3666" t="s">
        <v>3579</v>
      </c>
      <c r="L34" s="3666" t="s">
        <v>3342</v>
      </c>
      <c r="M34" s="3666">
        <v>20</v>
      </c>
      <c r="N34" s="3666" t="s">
        <v>3366</v>
      </c>
      <c r="O34" s="3666" t="s">
        <v>3580</v>
      </c>
      <c r="P34" s="3666" t="s">
        <v>3346</v>
      </c>
      <c r="Q34" s="3666" t="s">
        <v>3346</v>
      </c>
      <c r="R34" s="3666" t="s">
        <v>3346</v>
      </c>
      <c r="S34" s="3666" t="s">
        <v>3346</v>
      </c>
      <c r="T34" s="3666">
        <v>0</v>
      </c>
      <c r="U34" s="3666">
        <v>0</v>
      </c>
      <c r="V34" s="3666">
        <v>0</v>
      </c>
      <c r="W34" s="3666">
        <v>0</v>
      </c>
      <c r="X34" s="3667">
        <v>43371.000497685185</v>
      </c>
      <c r="Y34" s="3667">
        <v>43396.000497685185</v>
      </c>
      <c r="Z34" s="3667">
        <v>43396.000497685185</v>
      </c>
      <c r="AA34" s="3667">
        <v>43396.000497685185</v>
      </c>
      <c r="AB34" s="3666" t="s">
        <v>3581</v>
      </c>
      <c r="AC34" s="3666" t="s">
        <v>3348</v>
      </c>
      <c r="AD34" s="3666" t="s">
        <v>3571</v>
      </c>
      <c r="AE34" s="3666" t="s">
        <v>3572</v>
      </c>
      <c r="AF34" s="3666" t="s">
        <v>3351</v>
      </c>
      <c r="AG34" s="3666">
        <v>44955.9</v>
      </c>
      <c r="AH34" s="3666">
        <v>11239</v>
      </c>
      <c r="AI34" s="3666" t="s">
        <v>2095</v>
      </c>
      <c r="AJ34" s="3666">
        <v>44955.9</v>
      </c>
      <c r="AK34" s="3666">
        <v>400</v>
      </c>
      <c r="AL34" s="3666">
        <v>400</v>
      </c>
      <c r="AM34" s="3666">
        <v>3000</v>
      </c>
      <c r="AN34" s="3666">
        <v>3000</v>
      </c>
      <c r="AO34" s="3666" t="s">
        <v>3346</v>
      </c>
      <c r="AP34" s="3666" t="s">
        <v>3346</v>
      </c>
      <c r="AQ34" s="3666">
        <v>0</v>
      </c>
      <c r="AR34" s="3666" t="s">
        <v>3582</v>
      </c>
      <c r="AS34" s="3666" t="s">
        <v>3343</v>
      </c>
      <c r="AT34" s="3666" t="s">
        <v>3346</v>
      </c>
      <c r="AU34" s="3666" t="s">
        <v>3343</v>
      </c>
      <c r="AV34" s="3666" t="s">
        <v>3346</v>
      </c>
      <c r="AW34" s="3666" t="s">
        <v>3346</v>
      </c>
      <c r="AX34" s="3666" t="s">
        <v>3346</v>
      </c>
    </row>
    <row r="35" spans="1:50" s="3666" customFormat="1">
      <c r="A35" s="3666" t="s">
        <v>3583</v>
      </c>
      <c r="B35" s="3666" t="s">
        <v>3334</v>
      </c>
      <c r="C35" s="3666" t="s">
        <v>3584</v>
      </c>
      <c r="D35" s="3666" t="s">
        <v>3406</v>
      </c>
      <c r="E35" s="3666" t="s">
        <v>3585</v>
      </c>
      <c r="F35" s="3666" t="s">
        <v>3338</v>
      </c>
      <c r="G35" s="3666">
        <v>80158.070000000007</v>
      </c>
      <c r="H35" s="3666">
        <v>176347</v>
      </c>
      <c r="I35" s="3666" t="s">
        <v>3586</v>
      </c>
      <c r="J35" s="3666" t="s">
        <v>3340</v>
      </c>
      <c r="K35" s="3666" t="s">
        <v>3579</v>
      </c>
      <c r="L35" s="3666" t="s">
        <v>3342</v>
      </c>
      <c r="M35" s="3666">
        <v>13</v>
      </c>
      <c r="N35" s="3666" t="s">
        <v>3366</v>
      </c>
      <c r="O35" s="3666" t="s">
        <v>3587</v>
      </c>
      <c r="P35" s="3666" t="s">
        <v>3346</v>
      </c>
      <c r="Q35" s="3666" t="s">
        <v>3346</v>
      </c>
      <c r="R35" s="3666" t="s">
        <v>3346</v>
      </c>
      <c r="S35" s="3666" t="s">
        <v>3346</v>
      </c>
      <c r="T35" s="3666">
        <v>0</v>
      </c>
      <c r="U35" s="3666">
        <v>0</v>
      </c>
      <c r="V35" s="3666">
        <v>0</v>
      </c>
      <c r="W35" s="3666">
        <v>0</v>
      </c>
      <c r="X35" s="3667">
        <v>43321.000497685185</v>
      </c>
      <c r="Y35" s="3667">
        <v>43341.000497685185</v>
      </c>
      <c r="Z35" s="3667">
        <v>43341.000497685185</v>
      </c>
      <c r="AA35" s="3667">
        <v>43341.000497685185</v>
      </c>
      <c r="AB35" s="3666" t="s">
        <v>3588</v>
      </c>
      <c r="AC35" s="3666" t="s">
        <v>3348</v>
      </c>
      <c r="AD35" s="3666" t="s">
        <v>3589</v>
      </c>
      <c r="AE35" s="3666" t="s">
        <v>3590</v>
      </c>
      <c r="AF35" s="3666" t="s">
        <v>3351</v>
      </c>
      <c r="AG35" s="3666">
        <v>49377.16</v>
      </c>
      <c r="AH35" s="3666">
        <v>12345</v>
      </c>
      <c r="AI35" s="3666" t="s">
        <v>2095</v>
      </c>
      <c r="AJ35" s="3666">
        <v>49377.16</v>
      </c>
      <c r="AK35" s="3666">
        <v>410.66</v>
      </c>
      <c r="AL35" s="3666">
        <v>410.66</v>
      </c>
      <c r="AM35" s="3666">
        <v>2800</v>
      </c>
      <c r="AN35" s="3666">
        <v>2800</v>
      </c>
      <c r="AO35" s="3666" t="s">
        <v>3346</v>
      </c>
      <c r="AP35" s="3666" t="s">
        <v>3346</v>
      </c>
      <c r="AQ35" s="3666">
        <v>0</v>
      </c>
      <c r="AR35" s="3666" t="s">
        <v>3591</v>
      </c>
      <c r="AS35" s="3666" t="s">
        <v>3343</v>
      </c>
      <c r="AT35" s="3666" t="s">
        <v>3346</v>
      </c>
      <c r="AU35" s="3666" t="s">
        <v>3343</v>
      </c>
      <c r="AV35" s="3666" t="s">
        <v>3346</v>
      </c>
      <c r="AW35" s="3666" t="s">
        <v>3346</v>
      </c>
      <c r="AX35" s="3666" t="s">
        <v>3346</v>
      </c>
    </row>
    <row r="36" spans="1:50" s="3666" customFormat="1">
      <c r="A36" s="3666" t="s">
        <v>3592</v>
      </c>
      <c r="B36" s="3666" t="s">
        <v>3334</v>
      </c>
      <c r="C36" s="3666" t="s">
        <v>3593</v>
      </c>
      <c r="D36" s="3666" t="s">
        <v>3406</v>
      </c>
      <c r="E36" s="3666" t="s">
        <v>3594</v>
      </c>
      <c r="F36" s="3666" t="s">
        <v>3338</v>
      </c>
      <c r="G36" s="3666">
        <v>31050.62</v>
      </c>
      <c r="H36" s="3666">
        <v>68311</v>
      </c>
      <c r="I36" s="3666" t="s">
        <v>3586</v>
      </c>
      <c r="J36" s="3666" t="s">
        <v>3340</v>
      </c>
      <c r="K36" s="3666" t="s">
        <v>3579</v>
      </c>
      <c r="L36" s="3666" t="s">
        <v>3342</v>
      </c>
      <c r="M36" s="3666">
        <v>10</v>
      </c>
      <c r="N36" s="3666" t="s">
        <v>3366</v>
      </c>
      <c r="O36" s="3666" t="s">
        <v>3587</v>
      </c>
      <c r="P36" s="3666" t="s">
        <v>3346</v>
      </c>
      <c r="Q36" s="3666" t="s">
        <v>3346</v>
      </c>
      <c r="R36" s="3666" t="s">
        <v>3346</v>
      </c>
      <c r="S36" s="3666" t="s">
        <v>3346</v>
      </c>
      <c r="T36" s="3666">
        <v>0</v>
      </c>
      <c r="U36" s="3666">
        <v>0</v>
      </c>
      <c r="V36" s="3666">
        <v>0</v>
      </c>
      <c r="W36" s="3666">
        <v>0</v>
      </c>
      <c r="X36" s="3667">
        <v>43321.000497685185</v>
      </c>
      <c r="Y36" s="3667">
        <v>43341.000497685185</v>
      </c>
      <c r="Z36" s="3667">
        <v>43341.000497685185</v>
      </c>
      <c r="AA36" s="3667">
        <v>43341.000497685185</v>
      </c>
      <c r="AB36" s="3666" t="s">
        <v>3588</v>
      </c>
      <c r="AC36" s="3666" t="s">
        <v>3348</v>
      </c>
      <c r="AD36" s="3666" t="s">
        <v>3589</v>
      </c>
      <c r="AE36" s="3666" t="s">
        <v>3590</v>
      </c>
      <c r="AF36" s="3666" t="s">
        <v>3351</v>
      </c>
      <c r="AG36" s="3666">
        <v>19127.080000000002</v>
      </c>
      <c r="AH36" s="3666">
        <v>4782</v>
      </c>
      <c r="AI36" s="3666" t="s">
        <v>2095</v>
      </c>
      <c r="AJ36" s="3666">
        <v>19127.080000000002</v>
      </c>
      <c r="AK36" s="3666">
        <v>410.66</v>
      </c>
      <c r="AL36" s="3666">
        <v>410.66</v>
      </c>
      <c r="AM36" s="3666">
        <v>2800</v>
      </c>
      <c r="AN36" s="3666">
        <v>2800</v>
      </c>
      <c r="AO36" s="3666" t="s">
        <v>3346</v>
      </c>
      <c r="AP36" s="3666" t="s">
        <v>3346</v>
      </c>
      <c r="AQ36" s="3666">
        <v>0</v>
      </c>
      <c r="AR36" s="3666" t="s">
        <v>3442</v>
      </c>
      <c r="AS36" s="3666" t="s">
        <v>3343</v>
      </c>
      <c r="AT36" s="3666" t="s">
        <v>3346</v>
      </c>
      <c r="AU36" s="3666" t="s">
        <v>3343</v>
      </c>
      <c r="AV36" s="3666" t="s">
        <v>3346</v>
      </c>
      <c r="AW36" s="3666" t="s">
        <v>3346</v>
      </c>
      <c r="AX36" s="3666" t="s">
        <v>3346</v>
      </c>
    </row>
    <row r="37" spans="1:50" s="3666" customFormat="1">
      <c r="A37" s="3666" t="s">
        <v>3595</v>
      </c>
      <c r="B37" s="3666" t="s">
        <v>3334</v>
      </c>
      <c r="C37" s="3666" t="s">
        <v>3596</v>
      </c>
      <c r="D37" s="3666" t="s">
        <v>3406</v>
      </c>
      <c r="E37" s="3666" t="s">
        <v>3597</v>
      </c>
      <c r="F37" s="3666" t="s">
        <v>3338</v>
      </c>
      <c r="G37" s="3666">
        <v>52130.559999999998</v>
      </c>
      <c r="H37" s="3666">
        <v>104261.1</v>
      </c>
      <c r="I37" s="3666" t="s">
        <v>3433</v>
      </c>
      <c r="J37" s="3666" t="s">
        <v>3340</v>
      </c>
      <c r="K37" s="3666" t="s">
        <v>3598</v>
      </c>
      <c r="L37" s="3666" t="s">
        <v>3342</v>
      </c>
      <c r="M37" s="3666">
        <v>10</v>
      </c>
      <c r="N37" s="3666" t="s">
        <v>3366</v>
      </c>
      <c r="O37" s="3666" t="s">
        <v>3346</v>
      </c>
      <c r="P37" s="3666" t="s">
        <v>3346</v>
      </c>
      <c r="Q37" s="3666" t="s">
        <v>3346</v>
      </c>
      <c r="R37" s="3666" t="s">
        <v>3346</v>
      </c>
      <c r="S37" s="3666" t="s">
        <v>3346</v>
      </c>
      <c r="T37" s="3666">
        <v>0</v>
      </c>
      <c r="U37" s="3666">
        <v>0</v>
      </c>
      <c r="V37" s="3666">
        <v>0</v>
      </c>
      <c r="W37" s="3666">
        <v>0</v>
      </c>
      <c r="X37" s="3667">
        <v>43265.000497685185</v>
      </c>
      <c r="Y37" s="3667">
        <v>43286.000497685185</v>
      </c>
      <c r="Z37" s="3667">
        <v>43286.000497685185</v>
      </c>
      <c r="AA37" s="3667">
        <v>43286.000497685185</v>
      </c>
      <c r="AB37" s="3666" t="s">
        <v>3599</v>
      </c>
      <c r="AC37" s="3666" t="s">
        <v>3348</v>
      </c>
      <c r="AD37" s="3666" t="s">
        <v>3600</v>
      </c>
      <c r="AE37" s="3666" t="s">
        <v>3601</v>
      </c>
      <c r="AF37" s="3666" t="s">
        <v>3507</v>
      </c>
      <c r="AG37" s="3666">
        <v>32844</v>
      </c>
      <c r="AH37" s="3666">
        <v>8211</v>
      </c>
      <c r="AI37" s="3666" t="s">
        <v>2095</v>
      </c>
      <c r="AJ37" s="3666">
        <v>33626</v>
      </c>
      <c r="AK37" s="3666">
        <v>420.02</v>
      </c>
      <c r="AL37" s="3666">
        <v>430.02</v>
      </c>
      <c r="AM37" s="3666">
        <v>3150</v>
      </c>
      <c r="AN37" s="3666">
        <v>3225</v>
      </c>
      <c r="AO37" s="3666" t="s">
        <v>3346</v>
      </c>
      <c r="AP37" s="3666" t="s">
        <v>3346</v>
      </c>
      <c r="AQ37" s="3666">
        <v>2.38</v>
      </c>
      <c r="AR37" s="3666" t="s">
        <v>3602</v>
      </c>
      <c r="AS37" s="3666" t="s">
        <v>3343</v>
      </c>
      <c r="AT37" s="3666" t="s">
        <v>3346</v>
      </c>
      <c r="AU37" s="3666" t="s">
        <v>3343</v>
      </c>
      <c r="AV37" s="3666" t="s">
        <v>3346</v>
      </c>
      <c r="AW37" s="3666" t="s">
        <v>3346</v>
      </c>
      <c r="AX37" s="3666" t="s">
        <v>3346</v>
      </c>
    </row>
    <row r="38" spans="1:50" s="3666" customFormat="1">
      <c r="A38" s="3666" t="s">
        <v>3603</v>
      </c>
      <c r="B38" s="3666" t="s">
        <v>3334</v>
      </c>
      <c r="C38" s="3666" t="s">
        <v>3604</v>
      </c>
      <c r="D38" s="3666" t="s">
        <v>3406</v>
      </c>
      <c r="E38" s="3666" t="s">
        <v>3605</v>
      </c>
      <c r="F38" s="3666" t="s">
        <v>3338</v>
      </c>
      <c r="G38" s="3666">
        <v>26400.57</v>
      </c>
      <c r="H38" s="3666">
        <v>66001.429999999993</v>
      </c>
      <c r="I38" s="3666" t="s">
        <v>3464</v>
      </c>
      <c r="J38" s="3666" t="s">
        <v>3340</v>
      </c>
      <c r="K38" s="3666" t="s">
        <v>3598</v>
      </c>
      <c r="L38" s="3666" t="s">
        <v>3342</v>
      </c>
      <c r="M38" s="3666">
        <v>10</v>
      </c>
      <c r="N38" s="3666" t="s">
        <v>3366</v>
      </c>
      <c r="O38" s="3666" t="s">
        <v>3346</v>
      </c>
      <c r="P38" s="3666" t="s">
        <v>3346</v>
      </c>
      <c r="Q38" s="3666" t="s">
        <v>3346</v>
      </c>
      <c r="R38" s="3666" t="s">
        <v>3346</v>
      </c>
      <c r="S38" s="3666" t="s">
        <v>3346</v>
      </c>
      <c r="T38" s="3666">
        <v>0</v>
      </c>
      <c r="U38" s="3666">
        <v>0</v>
      </c>
      <c r="V38" s="3666">
        <v>0</v>
      </c>
      <c r="W38" s="3666">
        <v>0</v>
      </c>
      <c r="X38" s="3667">
        <v>43265.000497685185</v>
      </c>
      <c r="Y38" s="3667">
        <v>43286.000497685185</v>
      </c>
      <c r="Z38" s="3667">
        <v>43286.000497685185</v>
      </c>
      <c r="AA38" s="3667">
        <v>43286.000497685185</v>
      </c>
      <c r="AB38" s="3666" t="s">
        <v>3599</v>
      </c>
      <c r="AC38" s="3666" t="s">
        <v>3348</v>
      </c>
      <c r="AD38" s="3666" t="s">
        <v>3606</v>
      </c>
      <c r="AE38" s="3666" t="s">
        <v>3607</v>
      </c>
      <c r="AF38" s="3666" t="s">
        <v>3371</v>
      </c>
      <c r="AG38" s="3666">
        <v>16632</v>
      </c>
      <c r="AH38" s="3666">
        <v>4158</v>
      </c>
      <c r="AI38" s="3666" t="s">
        <v>2095</v>
      </c>
      <c r="AJ38" s="3666">
        <v>19800</v>
      </c>
      <c r="AK38" s="3666">
        <v>419.99</v>
      </c>
      <c r="AL38" s="3666">
        <v>499.99</v>
      </c>
      <c r="AM38" s="3666">
        <v>2520</v>
      </c>
      <c r="AN38" s="3666">
        <v>3000</v>
      </c>
      <c r="AO38" s="3666" t="s">
        <v>3346</v>
      </c>
      <c r="AP38" s="3666" t="s">
        <v>3346</v>
      </c>
      <c r="AQ38" s="3666">
        <v>19.05</v>
      </c>
      <c r="AR38" s="3666" t="s">
        <v>3602</v>
      </c>
      <c r="AS38" s="3666" t="s">
        <v>3343</v>
      </c>
      <c r="AT38" s="3666" t="s">
        <v>3346</v>
      </c>
      <c r="AU38" s="3666" t="s">
        <v>3343</v>
      </c>
      <c r="AV38" s="3666" t="s">
        <v>3346</v>
      </c>
      <c r="AW38" s="3666" t="s">
        <v>3346</v>
      </c>
      <c r="AX38" s="3666" t="s">
        <v>3346</v>
      </c>
    </row>
    <row r="39" spans="1:50" s="3666" customFormat="1">
      <c r="A39" s="3666" t="s">
        <v>3608</v>
      </c>
      <c r="B39" s="3666" t="s">
        <v>3334</v>
      </c>
      <c r="C39" s="3666" t="s">
        <v>3609</v>
      </c>
      <c r="D39" s="3666" t="s">
        <v>3406</v>
      </c>
      <c r="E39" s="3666" t="s">
        <v>3610</v>
      </c>
      <c r="F39" s="3666" t="s">
        <v>3338</v>
      </c>
      <c r="G39" s="3666">
        <v>31641.64</v>
      </c>
      <c r="H39" s="3666">
        <v>79104.100000000006</v>
      </c>
      <c r="I39" s="3666" t="s">
        <v>3464</v>
      </c>
      <c r="J39" s="3666" t="s">
        <v>3340</v>
      </c>
      <c r="K39" s="3666" t="s">
        <v>3598</v>
      </c>
      <c r="L39" s="3666" t="s">
        <v>3342</v>
      </c>
      <c r="M39" s="3666">
        <v>10</v>
      </c>
      <c r="N39" s="3666" t="s">
        <v>3366</v>
      </c>
      <c r="O39" s="3666" t="s">
        <v>3346</v>
      </c>
      <c r="P39" s="3666" t="s">
        <v>3346</v>
      </c>
      <c r="Q39" s="3666" t="s">
        <v>3346</v>
      </c>
      <c r="R39" s="3666" t="s">
        <v>3346</v>
      </c>
      <c r="S39" s="3666" t="s">
        <v>3346</v>
      </c>
      <c r="T39" s="3666">
        <v>0</v>
      </c>
      <c r="U39" s="3666">
        <v>0</v>
      </c>
      <c r="V39" s="3666">
        <v>0</v>
      </c>
      <c r="W39" s="3666">
        <v>0</v>
      </c>
      <c r="X39" s="3667">
        <v>43265.000497685185</v>
      </c>
      <c r="Y39" s="3667">
        <v>43286.000497685185</v>
      </c>
      <c r="Z39" s="3667">
        <v>43286.000497685185</v>
      </c>
      <c r="AA39" s="3667">
        <v>43286.000497685185</v>
      </c>
      <c r="AB39" s="3666" t="s">
        <v>3599</v>
      </c>
      <c r="AC39" s="3666" t="s">
        <v>3348</v>
      </c>
      <c r="AD39" s="3666" t="s">
        <v>3611</v>
      </c>
      <c r="AE39" s="3666" t="s">
        <v>3612</v>
      </c>
      <c r="AF39" s="3666" t="s">
        <v>3613</v>
      </c>
      <c r="AG39" s="3666">
        <v>19933.2</v>
      </c>
      <c r="AH39" s="3666">
        <v>4984</v>
      </c>
      <c r="AI39" s="3666" t="s">
        <v>2095</v>
      </c>
      <c r="AJ39" s="3666">
        <v>23255.4</v>
      </c>
      <c r="AK39" s="3666">
        <v>419.98</v>
      </c>
      <c r="AL39" s="3666">
        <v>489.97</v>
      </c>
      <c r="AM39" s="3666">
        <v>2520</v>
      </c>
      <c r="AN39" s="3666">
        <v>2940</v>
      </c>
      <c r="AO39" s="3666" t="s">
        <v>3346</v>
      </c>
      <c r="AP39" s="3666" t="s">
        <v>3346</v>
      </c>
      <c r="AQ39" s="3666">
        <v>16.670000000000002</v>
      </c>
      <c r="AR39" s="3666" t="s">
        <v>3602</v>
      </c>
      <c r="AS39" s="3666" t="s">
        <v>3343</v>
      </c>
      <c r="AT39" s="3666" t="s">
        <v>3346</v>
      </c>
      <c r="AU39" s="3666" t="s">
        <v>3343</v>
      </c>
      <c r="AV39" s="3666" t="s">
        <v>3346</v>
      </c>
      <c r="AW39" s="3666" t="s">
        <v>3346</v>
      </c>
      <c r="AX39" s="3666" t="s">
        <v>3346</v>
      </c>
    </row>
    <row r="40" spans="1:50">
      <c r="A40" s="3664" t="s">
        <v>3614</v>
      </c>
      <c r="B40" s="3664" t="s">
        <v>3334</v>
      </c>
      <c r="C40" s="3664" t="s">
        <v>3615</v>
      </c>
      <c r="D40" s="3664" t="s">
        <v>3375</v>
      </c>
      <c r="E40" s="3664" t="s">
        <v>3616</v>
      </c>
      <c r="F40" s="3664" t="s">
        <v>3338</v>
      </c>
      <c r="G40" s="3664">
        <v>22659.71</v>
      </c>
      <c r="H40" s="3664">
        <v>45319.42</v>
      </c>
      <c r="I40" s="3664" t="s">
        <v>3433</v>
      </c>
      <c r="J40" s="3664" t="s">
        <v>3340</v>
      </c>
      <c r="K40" s="3664" t="s">
        <v>3617</v>
      </c>
      <c r="L40" s="3664" t="s">
        <v>3342</v>
      </c>
      <c r="M40" s="3664">
        <v>10</v>
      </c>
      <c r="N40" s="3664" t="s">
        <v>3366</v>
      </c>
      <c r="O40" s="3664" t="s">
        <v>3408</v>
      </c>
      <c r="P40" s="3664" t="s">
        <v>3346</v>
      </c>
      <c r="Q40" s="3664" t="s">
        <v>3346</v>
      </c>
      <c r="R40" s="3664" t="s">
        <v>3346</v>
      </c>
      <c r="S40" s="3664" t="s">
        <v>3346</v>
      </c>
      <c r="T40" s="3664">
        <v>0</v>
      </c>
      <c r="U40" s="3664">
        <v>0</v>
      </c>
      <c r="V40" s="3664">
        <v>0</v>
      </c>
      <c r="W40" s="3664">
        <v>0</v>
      </c>
      <c r="X40" s="3665">
        <v>43117.000497685185</v>
      </c>
      <c r="Y40" s="3665">
        <v>43138.000497685185</v>
      </c>
      <c r="Z40" s="3665">
        <v>43138.000497685185</v>
      </c>
      <c r="AA40" s="3665">
        <v>43138.000497685185</v>
      </c>
      <c r="AB40" s="3664" t="s">
        <v>3618</v>
      </c>
      <c r="AC40" s="3664" t="s">
        <v>3348</v>
      </c>
      <c r="AD40" s="3664" t="s">
        <v>3381</v>
      </c>
      <c r="AE40" s="3664" t="s">
        <v>3346</v>
      </c>
      <c r="AF40" s="3664" t="s">
        <v>3346</v>
      </c>
      <c r="AG40" s="3664">
        <v>11216.7</v>
      </c>
      <c r="AH40" s="3664">
        <v>2805</v>
      </c>
      <c r="AI40" s="3664" t="s">
        <v>2095</v>
      </c>
      <c r="AJ40" s="3664">
        <v>19034.400000000001</v>
      </c>
      <c r="AK40" s="3664">
        <v>330</v>
      </c>
      <c r="AL40" s="3664">
        <v>560.01</v>
      </c>
      <c r="AM40" s="3664">
        <v>2475</v>
      </c>
      <c r="AN40" s="3664">
        <v>4200</v>
      </c>
      <c r="AO40" s="3664" t="s">
        <v>3346</v>
      </c>
      <c r="AP40" s="3664" t="s">
        <v>3346</v>
      </c>
      <c r="AQ40" s="3664">
        <v>69.7</v>
      </c>
      <c r="AR40" s="3664" t="s">
        <v>3602</v>
      </c>
      <c r="AS40" s="3664" t="s">
        <v>3343</v>
      </c>
      <c r="AT40" s="3664" t="s">
        <v>3346</v>
      </c>
      <c r="AU40" s="3664" t="s">
        <v>3343</v>
      </c>
      <c r="AV40" s="3664" t="s">
        <v>3346</v>
      </c>
      <c r="AW40" s="3664" t="s">
        <v>3346</v>
      </c>
      <c r="AX40" s="3664" t="s">
        <v>3346</v>
      </c>
    </row>
    <row r="41" spans="1:50">
      <c r="A41" s="3664" t="s">
        <v>3619</v>
      </c>
      <c r="B41" s="3664" t="s">
        <v>3334</v>
      </c>
      <c r="C41" s="3664" t="s">
        <v>3620</v>
      </c>
      <c r="D41" s="3664" t="s">
        <v>3375</v>
      </c>
      <c r="E41" s="3664" t="s">
        <v>3621</v>
      </c>
      <c r="F41" s="3664" t="s">
        <v>3338</v>
      </c>
      <c r="G41" s="3664">
        <v>16169.38</v>
      </c>
      <c r="H41" s="3664">
        <v>32338.76</v>
      </c>
      <c r="I41" s="3664" t="s">
        <v>3433</v>
      </c>
      <c r="J41" s="3664" t="s">
        <v>3340</v>
      </c>
      <c r="K41" s="3664" t="s">
        <v>3617</v>
      </c>
      <c r="L41" s="3664" t="s">
        <v>3342</v>
      </c>
      <c r="M41" s="3664">
        <v>10</v>
      </c>
      <c r="N41" s="3664" t="s">
        <v>3366</v>
      </c>
      <c r="O41" s="3664" t="s">
        <v>3408</v>
      </c>
      <c r="P41" s="3664" t="s">
        <v>3346</v>
      </c>
      <c r="Q41" s="3664" t="s">
        <v>3346</v>
      </c>
      <c r="R41" s="3664" t="s">
        <v>3346</v>
      </c>
      <c r="S41" s="3664" t="s">
        <v>3346</v>
      </c>
      <c r="T41" s="3664">
        <v>0</v>
      </c>
      <c r="U41" s="3664">
        <v>0</v>
      </c>
      <c r="V41" s="3664">
        <v>0</v>
      </c>
      <c r="W41" s="3664">
        <v>0</v>
      </c>
      <c r="X41" s="3665">
        <v>43117.000497685185</v>
      </c>
      <c r="Y41" s="3665">
        <v>43138.000497685185</v>
      </c>
      <c r="Z41" s="3665">
        <v>43138.000497685185</v>
      </c>
      <c r="AA41" s="3665">
        <v>43138.000497685185</v>
      </c>
      <c r="AB41" s="3664" t="s">
        <v>3618</v>
      </c>
      <c r="AC41" s="3664" t="s">
        <v>3348</v>
      </c>
      <c r="AD41" s="3664" t="s">
        <v>3381</v>
      </c>
      <c r="AE41" s="3664" t="s">
        <v>3346</v>
      </c>
      <c r="AF41" s="3664" t="s">
        <v>3346</v>
      </c>
      <c r="AG41" s="3664">
        <v>5578.44</v>
      </c>
      <c r="AH41" s="3664">
        <v>2000</v>
      </c>
      <c r="AI41" s="3664" t="s">
        <v>2095</v>
      </c>
      <c r="AJ41" s="3664">
        <v>13337.5</v>
      </c>
      <c r="AK41" s="3664">
        <v>230</v>
      </c>
      <c r="AL41" s="3664">
        <v>549.91</v>
      </c>
      <c r="AM41" s="3664">
        <v>1725</v>
      </c>
      <c r="AN41" s="3664">
        <v>4124</v>
      </c>
      <c r="AO41" s="3664" t="s">
        <v>3346</v>
      </c>
      <c r="AP41" s="3664" t="s">
        <v>3346</v>
      </c>
      <c r="AQ41" s="3664">
        <v>139.09</v>
      </c>
      <c r="AR41" s="3664" t="s">
        <v>3602</v>
      </c>
      <c r="AS41" s="3664" t="s">
        <v>3343</v>
      </c>
      <c r="AT41" s="3664" t="s">
        <v>3346</v>
      </c>
      <c r="AU41" s="3664" t="s">
        <v>3343</v>
      </c>
      <c r="AV41" s="3664" t="s">
        <v>3346</v>
      </c>
      <c r="AW41" s="3664" t="s">
        <v>3346</v>
      </c>
      <c r="AX41" s="3664" t="s">
        <v>3346</v>
      </c>
    </row>
    <row r="42" spans="1:50">
      <c r="A42" s="3664" t="s">
        <v>3622</v>
      </c>
      <c r="B42" s="3664" t="s">
        <v>3334</v>
      </c>
      <c r="C42" s="3664" t="s">
        <v>3623</v>
      </c>
      <c r="D42" s="3664" t="s">
        <v>3375</v>
      </c>
      <c r="E42" s="3664" t="s">
        <v>3624</v>
      </c>
      <c r="F42" s="3664" t="s">
        <v>3338</v>
      </c>
      <c r="G42" s="3664">
        <v>20870.2</v>
      </c>
      <c r="H42" s="3664">
        <v>58436.56</v>
      </c>
      <c r="I42" s="3664" t="s">
        <v>3625</v>
      </c>
      <c r="J42" s="3664" t="s">
        <v>3340</v>
      </c>
      <c r="K42" s="3664" t="s">
        <v>3617</v>
      </c>
      <c r="L42" s="3664" t="s">
        <v>3342</v>
      </c>
      <c r="M42" s="3664">
        <v>10</v>
      </c>
      <c r="N42" s="3664" t="s">
        <v>3366</v>
      </c>
      <c r="O42" s="3664" t="s">
        <v>3408</v>
      </c>
      <c r="P42" s="3664" t="s">
        <v>3346</v>
      </c>
      <c r="Q42" s="3664" t="s">
        <v>3346</v>
      </c>
      <c r="R42" s="3664" t="s">
        <v>3346</v>
      </c>
      <c r="S42" s="3664" t="s">
        <v>3346</v>
      </c>
      <c r="T42" s="3664">
        <v>0</v>
      </c>
      <c r="U42" s="3664">
        <v>0</v>
      </c>
      <c r="V42" s="3664">
        <v>0</v>
      </c>
      <c r="W42" s="3664">
        <v>0</v>
      </c>
      <c r="X42" s="3665">
        <v>43117.000497685185</v>
      </c>
      <c r="Y42" s="3665">
        <v>43138.000497685185</v>
      </c>
      <c r="Z42" s="3665">
        <v>43138.000497685185</v>
      </c>
      <c r="AA42" s="3665">
        <v>43138.000497685185</v>
      </c>
      <c r="AB42" s="3664" t="s">
        <v>3618</v>
      </c>
      <c r="AC42" s="3664" t="s">
        <v>3348</v>
      </c>
      <c r="AD42" s="3664" t="s">
        <v>3381</v>
      </c>
      <c r="AE42" s="3664" t="s">
        <v>3346</v>
      </c>
      <c r="AF42" s="3664" t="s">
        <v>3346</v>
      </c>
      <c r="AG42" s="3664">
        <v>8397.33</v>
      </c>
      <c r="AH42" s="3664">
        <v>3600</v>
      </c>
      <c r="AI42" s="3664" t="s">
        <v>2095</v>
      </c>
      <c r="AJ42" s="3664">
        <v>19099.099999999999</v>
      </c>
      <c r="AK42" s="3664">
        <v>268.24</v>
      </c>
      <c r="AL42" s="3664">
        <v>610.09</v>
      </c>
      <c r="AM42" s="3664">
        <v>1437</v>
      </c>
      <c r="AN42" s="3664">
        <v>3268</v>
      </c>
      <c r="AO42" s="3664" t="s">
        <v>3346</v>
      </c>
      <c r="AP42" s="3664" t="s">
        <v>3346</v>
      </c>
      <c r="AQ42" s="3664">
        <v>127.44</v>
      </c>
      <c r="AR42" s="3664" t="s">
        <v>3602</v>
      </c>
      <c r="AS42" s="3664" t="s">
        <v>3343</v>
      </c>
      <c r="AT42" s="3664" t="s">
        <v>3346</v>
      </c>
      <c r="AU42" s="3664" t="s">
        <v>3343</v>
      </c>
      <c r="AV42" s="3664" t="s">
        <v>3346</v>
      </c>
      <c r="AW42" s="3664" t="s">
        <v>3346</v>
      </c>
      <c r="AX42" s="3664" t="s">
        <v>3346</v>
      </c>
    </row>
    <row r="43" spans="1:50">
      <c r="A43" s="3664" t="s">
        <v>3626</v>
      </c>
      <c r="B43" s="3664" t="s">
        <v>3334</v>
      </c>
      <c r="C43" s="3664" t="s">
        <v>3627</v>
      </c>
      <c r="D43" s="3664" t="s">
        <v>3628</v>
      </c>
      <c r="E43" s="3664" t="s">
        <v>3629</v>
      </c>
      <c r="F43" s="3664" t="s">
        <v>3338</v>
      </c>
      <c r="G43" s="3664">
        <v>48820.58</v>
      </c>
      <c r="H43" s="3664">
        <v>87877.04</v>
      </c>
      <c r="I43" s="3664" t="s">
        <v>3630</v>
      </c>
      <c r="J43" s="3664" t="s">
        <v>3340</v>
      </c>
      <c r="K43" s="3664" t="s">
        <v>3631</v>
      </c>
      <c r="L43" s="3664" t="s">
        <v>3342</v>
      </c>
      <c r="M43" s="3664" t="s">
        <v>3343</v>
      </c>
      <c r="N43" s="3664" t="s">
        <v>3632</v>
      </c>
      <c r="O43" s="3664" t="s">
        <v>3408</v>
      </c>
      <c r="P43" s="3664" t="s">
        <v>3346</v>
      </c>
      <c r="Q43" s="3664" t="s">
        <v>3346</v>
      </c>
      <c r="R43" s="3664" t="s">
        <v>3346</v>
      </c>
      <c r="S43" s="3664" t="s">
        <v>3346</v>
      </c>
      <c r="T43" s="3664">
        <v>0</v>
      </c>
      <c r="U43" s="3664">
        <v>0</v>
      </c>
      <c r="V43" s="3664">
        <v>0</v>
      </c>
      <c r="W43" s="3664">
        <v>0</v>
      </c>
      <c r="X43" s="3665">
        <v>42342.000497685185</v>
      </c>
      <c r="Y43" s="3665">
        <v>42363.000497685185</v>
      </c>
      <c r="Z43" s="3665">
        <v>42363.000497685185</v>
      </c>
      <c r="AA43" s="3665">
        <v>42363.000497685185</v>
      </c>
      <c r="AB43" s="3664" t="s">
        <v>3633</v>
      </c>
      <c r="AC43" s="3664" t="s">
        <v>3348</v>
      </c>
      <c r="AD43" s="3664" t="s">
        <v>3634</v>
      </c>
      <c r="AE43" s="3664" t="s">
        <v>3346</v>
      </c>
      <c r="AF43" s="3664" t="s">
        <v>3346</v>
      </c>
      <c r="AG43" s="3664">
        <v>3075.7</v>
      </c>
      <c r="AH43" s="3664">
        <v>770</v>
      </c>
      <c r="AI43" s="3664" t="s">
        <v>2095</v>
      </c>
      <c r="AJ43" s="3664">
        <v>3075.7</v>
      </c>
      <c r="AK43" s="3664">
        <v>42</v>
      </c>
      <c r="AL43" s="3664">
        <v>42</v>
      </c>
      <c r="AM43" s="3664">
        <v>350</v>
      </c>
      <c r="AN43" s="3664">
        <v>350</v>
      </c>
      <c r="AO43" s="3664" t="s">
        <v>3346</v>
      </c>
      <c r="AP43" s="3664" t="s">
        <v>3346</v>
      </c>
      <c r="AQ43" s="3664">
        <v>0</v>
      </c>
      <c r="AR43" s="3664" t="s">
        <v>3635</v>
      </c>
      <c r="AS43" s="3664" t="s">
        <v>3343</v>
      </c>
      <c r="AT43" s="3664" t="s">
        <v>3346</v>
      </c>
      <c r="AU43" s="3664" t="s">
        <v>3343</v>
      </c>
      <c r="AV43" s="3664" t="s">
        <v>3346</v>
      </c>
      <c r="AW43" s="3664" t="s">
        <v>3346</v>
      </c>
      <c r="AX43" s="3664" t="s">
        <v>3346</v>
      </c>
    </row>
    <row r="44" spans="1:50">
      <c r="A44" s="3664" t="s">
        <v>3626</v>
      </c>
      <c r="B44" s="3664" t="s">
        <v>3334</v>
      </c>
      <c r="C44" s="3664" t="s">
        <v>3636</v>
      </c>
      <c r="D44" s="3664" t="s">
        <v>3628</v>
      </c>
      <c r="E44" s="3664" t="s">
        <v>3629</v>
      </c>
      <c r="F44" s="3664" t="s">
        <v>3338</v>
      </c>
      <c r="G44" s="3664">
        <v>62390.23</v>
      </c>
      <c r="H44" s="3664">
        <v>112302.39999999999</v>
      </c>
      <c r="I44" s="3664" t="s">
        <v>3630</v>
      </c>
      <c r="J44" s="3664" t="s">
        <v>3340</v>
      </c>
      <c r="K44" s="3664" t="s">
        <v>3631</v>
      </c>
      <c r="L44" s="3664" t="s">
        <v>3342</v>
      </c>
      <c r="M44" s="3664" t="s">
        <v>3343</v>
      </c>
      <c r="N44" s="3664" t="s">
        <v>3632</v>
      </c>
      <c r="O44" s="3664" t="s">
        <v>3408</v>
      </c>
      <c r="P44" s="3664" t="s">
        <v>3346</v>
      </c>
      <c r="Q44" s="3664" t="s">
        <v>3346</v>
      </c>
      <c r="R44" s="3664" t="s">
        <v>3346</v>
      </c>
      <c r="S44" s="3664" t="s">
        <v>3346</v>
      </c>
      <c r="T44" s="3664">
        <v>0</v>
      </c>
      <c r="U44" s="3664">
        <v>0</v>
      </c>
      <c r="V44" s="3664">
        <v>0</v>
      </c>
      <c r="W44" s="3664">
        <v>0</v>
      </c>
      <c r="X44" s="3665">
        <v>42319.000497685185</v>
      </c>
      <c r="Y44" s="3665">
        <v>42341.000497685185</v>
      </c>
      <c r="Z44" s="3665">
        <v>42341.000497685185</v>
      </c>
      <c r="AA44" s="3665">
        <v>42341.000497685185</v>
      </c>
      <c r="AB44" s="3664" t="s">
        <v>3637</v>
      </c>
      <c r="AC44" s="3664" t="s">
        <v>3348</v>
      </c>
      <c r="AD44" s="3664" t="s">
        <v>3634</v>
      </c>
      <c r="AE44" s="3664" t="s">
        <v>3346</v>
      </c>
      <c r="AF44" s="3664" t="s">
        <v>3346</v>
      </c>
      <c r="AG44" s="3664">
        <v>3930.58</v>
      </c>
      <c r="AH44" s="3664">
        <v>990</v>
      </c>
      <c r="AI44" s="3664" t="s">
        <v>2095</v>
      </c>
      <c r="AJ44" s="3664">
        <v>3930.58</v>
      </c>
      <c r="AK44" s="3664">
        <v>42</v>
      </c>
      <c r="AL44" s="3664">
        <v>42</v>
      </c>
      <c r="AM44" s="3664">
        <v>350</v>
      </c>
      <c r="AN44" s="3664">
        <v>350</v>
      </c>
      <c r="AO44" s="3664" t="s">
        <v>3346</v>
      </c>
      <c r="AP44" s="3664" t="s">
        <v>3346</v>
      </c>
      <c r="AQ44" s="3664">
        <v>0</v>
      </c>
      <c r="AR44" s="3664" t="s">
        <v>3638</v>
      </c>
      <c r="AS44" s="3664" t="s">
        <v>3343</v>
      </c>
      <c r="AT44" s="3664" t="s">
        <v>3346</v>
      </c>
      <c r="AU44" s="3664" t="s">
        <v>3343</v>
      </c>
      <c r="AV44" s="3664" t="s">
        <v>3346</v>
      </c>
      <c r="AW44" s="3664" t="s">
        <v>3346</v>
      </c>
      <c r="AX44" s="3664" t="s">
        <v>3346</v>
      </c>
    </row>
    <row r="45" spans="1:50">
      <c r="A45" s="3664" t="s">
        <v>3626</v>
      </c>
      <c r="B45" s="3664" t="s">
        <v>3334</v>
      </c>
      <c r="C45" s="3664" t="s">
        <v>3639</v>
      </c>
      <c r="D45" s="3664" t="s">
        <v>3628</v>
      </c>
      <c r="E45" s="3664" t="s">
        <v>3629</v>
      </c>
      <c r="F45" s="3664" t="s">
        <v>3338</v>
      </c>
      <c r="G45" s="3664">
        <v>57587.17</v>
      </c>
      <c r="H45" s="3664">
        <v>103656.9</v>
      </c>
      <c r="I45" s="3664" t="s">
        <v>3630</v>
      </c>
      <c r="J45" s="3664" t="s">
        <v>3340</v>
      </c>
      <c r="K45" s="3664" t="s">
        <v>3631</v>
      </c>
      <c r="L45" s="3664" t="s">
        <v>3342</v>
      </c>
      <c r="M45" s="3664" t="s">
        <v>3343</v>
      </c>
      <c r="N45" s="3664" t="s">
        <v>3632</v>
      </c>
      <c r="O45" s="3664" t="s">
        <v>3408</v>
      </c>
      <c r="P45" s="3664" t="s">
        <v>3346</v>
      </c>
      <c r="Q45" s="3664" t="s">
        <v>3346</v>
      </c>
      <c r="R45" s="3664" t="s">
        <v>3346</v>
      </c>
      <c r="S45" s="3664" t="s">
        <v>3346</v>
      </c>
      <c r="T45" s="3664">
        <v>0</v>
      </c>
      <c r="U45" s="3664">
        <v>0</v>
      </c>
      <c r="V45" s="3664">
        <v>0</v>
      </c>
      <c r="W45" s="3664">
        <v>0</v>
      </c>
      <c r="X45" s="3665">
        <v>42319.000497685185</v>
      </c>
      <c r="Y45" s="3665">
        <v>42341.000497685185</v>
      </c>
      <c r="Z45" s="3665">
        <v>42341.000497685185</v>
      </c>
      <c r="AA45" s="3665">
        <v>42341.000497685185</v>
      </c>
      <c r="AB45" s="3664" t="s">
        <v>3640</v>
      </c>
      <c r="AC45" s="3664" t="s">
        <v>3348</v>
      </c>
      <c r="AD45" s="3664" t="s">
        <v>3634</v>
      </c>
      <c r="AE45" s="3664" t="s">
        <v>3346</v>
      </c>
      <c r="AF45" s="3664" t="s">
        <v>3346</v>
      </c>
      <c r="AG45" s="3664">
        <v>3627.99</v>
      </c>
      <c r="AH45" s="3664">
        <v>910</v>
      </c>
      <c r="AI45" s="3664" t="s">
        <v>2095</v>
      </c>
      <c r="AJ45" s="3664">
        <v>3627.99</v>
      </c>
      <c r="AK45" s="3664">
        <v>42</v>
      </c>
      <c r="AL45" s="3664">
        <v>42</v>
      </c>
      <c r="AM45" s="3664">
        <v>350</v>
      </c>
      <c r="AN45" s="3664">
        <v>350</v>
      </c>
      <c r="AO45" s="3664" t="s">
        <v>3346</v>
      </c>
      <c r="AP45" s="3664" t="s">
        <v>3346</v>
      </c>
      <c r="AQ45" s="3664">
        <v>0</v>
      </c>
      <c r="AR45" s="3664" t="s">
        <v>3638</v>
      </c>
      <c r="AS45" s="3664" t="s">
        <v>3343</v>
      </c>
      <c r="AT45" s="3664" t="s">
        <v>3346</v>
      </c>
      <c r="AU45" s="3664" t="s">
        <v>3343</v>
      </c>
      <c r="AV45" s="3664" t="s">
        <v>3346</v>
      </c>
      <c r="AW45" s="3664" t="s">
        <v>3346</v>
      </c>
      <c r="AX45" s="3664" t="s">
        <v>3346</v>
      </c>
    </row>
    <row r="46" spans="1:50">
      <c r="A46" s="3664" t="s">
        <v>3626</v>
      </c>
      <c r="B46" s="3664" t="s">
        <v>3334</v>
      </c>
      <c r="C46" s="3664" t="s">
        <v>3641</v>
      </c>
      <c r="D46" s="3664" t="s">
        <v>3628</v>
      </c>
      <c r="E46" s="3664" t="s">
        <v>3629</v>
      </c>
      <c r="F46" s="3664" t="s">
        <v>3338</v>
      </c>
      <c r="G46" s="3664">
        <v>47109.81</v>
      </c>
      <c r="H46" s="3664">
        <v>84797.66</v>
      </c>
      <c r="I46" s="3664" t="s">
        <v>3630</v>
      </c>
      <c r="J46" s="3664" t="s">
        <v>3340</v>
      </c>
      <c r="K46" s="3664" t="s">
        <v>3631</v>
      </c>
      <c r="L46" s="3664" t="s">
        <v>3342</v>
      </c>
      <c r="M46" s="3664" t="s">
        <v>3343</v>
      </c>
      <c r="N46" s="3664" t="s">
        <v>3632</v>
      </c>
      <c r="O46" s="3664" t="s">
        <v>3408</v>
      </c>
      <c r="P46" s="3664" t="s">
        <v>3346</v>
      </c>
      <c r="Q46" s="3664" t="s">
        <v>3346</v>
      </c>
      <c r="R46" s="3664" t="s">
        <v>3346</v>
      </c>
      <c r="S46" s="3664" t="s">
        <v>3346</v>
      </c>
      <c r="T46" s="3664">
        <v>0</v>
      </c>
      <c r="U46" s="3664">
        <v>0</v>
      </c>
      <c r="V46" s="3664">
        <v>0</v>
      </c>
      <c r="W46" s="3664">
        <v>0</v>
      </c>
      <c r="X46" s="3665">
        <v>42319.000497685185</v>
      </c>
      <c r="Y46" s="3665">
        <v>42341.000497685185</v>
      </c>
      <c r="Z46" s="3665">
        <v>42341.000497685185</v>
      </c>
      <c r="AA46" s="3665">
        <v>42341.000497685185</v>
      </c>
      <c r="AB46" s="3664" t="s">
        <v>3642</v>
      </c>
      <c r="AC46" s="3664" t="s">
        <v>3348</v>
      </c>
      <c r="AD46" s="3664" t="s">
        <v>3634</v>
      </c>
      <c r="AE46" s="3664" t="s">
        <v>3346</v>
      </c>
      <c r="AF46" s="3664" t="s">
        <v>3346</v>
      </c>
      <c r="AG46" s="3664">
        <v>2967.92</v>
      </c>
      <c r="AH46" s="3664">
        <v>750</v>
      </c>
      <c r="AI46" s="3664" t="s">
        <v>2095</v>
      </c>
      <c r="AJ46" s="3664">
        <v>2967.92</v>
      </c>
      <c r="AK46" s="3664">
        <v>42</v>
      </c>
      <c r="AL46" s="3664">
        <v>42</v>
      </c>
      <c r="AM46" s="3664">
        <v>350</v>
      </c>
      <c r="AN46" s="3664">
        <v>350</v>
      </c>
      <c r="AO46" s="3664" t="s">
        <v>3346</v>
      </c>
      <c r="AP46" s="3664" t="s">
        <v>3346</v>
      </c>
      <c r="AQ46" s="3664">
        <v>0</v>
      </c>
      <c r="AR46" s="3664" t="s">
        <v>3638</v>
      </c>
      <c r="AS46" s="3664" t="s">
        <v>3343</v>
      </c>
      <c r="AT46" s="3664" t="s">
        <v>3346</v>
      </c>
      <c r="AU46" s="3664" t="s">
        <v>3343</v>
      </c>
      <c r="AV46" s="3664" t="s">
        <v>3346</v>
      </c>
      <c r="AW46" s="3664" t="s">
        <v>3346</v>
      </c>
      <c r="AX46" s="3664" t="s">
        <v>3346</v>
      </c>
    </row>
    <row r="47" spans="1:50">
      <c r="A47" s="3664" t="s">
        <v>3643</v>
      </c>
      <c r="B47" s="3664" t="s">
        <v>3334</v>
      </c>
      <c r="C47" s="3664" t="s">
        <v>3644</v>
      </c>
      <c r="D47" s="3664" t="s">
        <v>3406</v>
      </c>
      <c r="E47" s="3664" t="s">
        <v>3645</v>
      </c>
      <c r="F47" s="3664" t="s">
        <v>3338</v>
      </c>
      <c r="G47" s="3664">
        <v>39890.57</v>
      </c>
      <c r="H47" s="3664">
        <v>79781.14</v>
      </c>
      <c r="I47" s="3664" t="s">
        <v>3646</v>
      </c>
      <c r="J47" s="3664" t="s">
        <v>3340</v>
      </c>
      <c r="K47" s="3664" t="s">
        <v>3631</v>
      </c>
      <c r="L47" s="3664" t="s">
        <v>3342</v>
      </c>
      <c r="M47" s="3664" t="s">
        <v>3343</v>
      </c>
      <c r="N47" s="3664" t="s">
        <v>3632</v>
      </c>
      <c r="O47" s="3664" t="s">
        <v>3408</v>
      </c>
      <c r="P47" s="3664" t="s">
        <v>3346</v>
      </c>
      <c r="Q47" s="3664" t="s">
        <v>3346</v>
      </c>
      <c r="R47" s="3664" t="s">
        <v>3346</v>
      </c>
      <c r="S47" s="3664" t="s">
        <v>3346</v>
      </c>
      <c r="T47" s="3664">
        <v>0</v>
      </c>
      <c r="U47" s="3664">
        <v>0</v>
      </c>
      <c r="V47" s="3664">
        <v>0</v>
      </c>
      <c r="W47" s="3664">
        <v>0</v>
      </c>
      <c r="X47" s="3665">
        <v>42314.000497685185</v>
      </c>
      <c r="Y47" s="3665">
        <v>42339.000497685185</v>
      </c>
      <c r="Z47" s="3665">
        <v>42339.000497685185</v>
      </c>
      <c r="AA47" s="3665">
        <v>42339.000497685185</v>
      </c>
      <c r="AB47" s="3664" t="s">
        <v>3647</v>
      </c>
      <c r="AC47" s="3664" t="s">
        <v>3348</v>
      </c>
      <c r="AD47" s="3664" t="s">
        <v>3648</v>
      </c>
      <c r="AE47" s="3664" t="s">
        <v>3346</v>
      </c>
      <c r="AF47" s="3664" t="s">
        <v>3346</v>
      </c>
      <c r="AG47" s="3664">
        <v>7419.65</v>
      </c>
      <c r="AH47" s="3664">
        <v>1860</v>
      </c>
      <c r="AI47" s="3664" t="s">
        <v>2095</v>
      </c>
      <c r="AJ47" s="3664">
        <v>7419.65</v>
      </c>
      <c r="AK47" s="3664">
        <v>124</v>
      </c>
      <c r="AL47" s="3664">
        <v>124</v>
      </c>
      <c r="AM47" s="3664">
        <v>930</v>
      </c>
      <c r="AN47" s="3664">
        <v>930</v>
      </c>
      <c r="AO47" s="3664" t="s">
        <v>3346</v>
      </c>
      <c r="AP47" s="3664" t="s">
        <v>3346</v>
      </c>
      <c r="AQ47" s="3664">
        <v>0</v>
      </c>
      <c r="AR47" s="3664" t="s">
        <v>3649</v>
      </c>
      <c r="AS47" s="3664" t="s">
        <v>3343</v>
      </c>
      <c r="AT47" s="3664" t="s">
        <v>3346</v>
      </c>
      <c r="AU47" s="3664" t="s">
        <v>3343</v>
      </c>
      <c r="AV47" s="3664" t="s">
        <v>3346</v>
      </c>
      <c r="AW47" s="3664" t="s">
        <v>3346</v>
      </c>
      <c r="AX47" s="3664" t="s">
        <v>3346</v>
      </c>
    </row>
    <row r="48" spans="1:50">
      <c r="A48" s="3664" t="s">
        <v>3650</v>
      </c>
      <c r="B48" s="3664" t="s">
        <v>3334</v>
      </c>
      <c r="C48" s="3664" t="s">
        <v>3651</v>
      </c>
      <c r="D48" s="3664" t="s">
        <v>3406</v>
      </c>
      <c r="E48" s="3664" t="s">
        <v>3652</v>
      </c>
      <c r="F48" s="3664" t="s">
        <v>3338</v>
      </c>
      <c r="G48" s="3664">
        <v>43321.49</v>
      </c>
      <c r="H48" s="3664">
        <v>86642.98</v>
      </c>
      <c r="I48" s="3664" t="s">
        <v>3646</v>
      </c>
      <c r="J48" s="3664" t="s">
        <v>3340</v>
      </c>
      <c r="K48" s="3664" t="s">
        <v>3631</v>
      </c>
      <c r="L48" s="3664" t="s">
        <v>3342</v>
      </c>
      <c r="M48" s="3664" t="s">
        <v>3343</v>
      </c>
      <c r="N48" s="3664" t="s">
        <v>3632</v>
      </c>
      <c r="O48" s="3664" t="s">
        <v>3408</v>
      </c>
      <c r="P48" s="3664" t="s">
        <v>3346</v>
      </c>
      <c r="Q48" s="3664" t="s">
        <v>3346</v>
      </c>
      <c r="R48" s="3664" t="s">
        <v>3346</v>
      </c>
      <c r="S48" s="3664" t="s">
        <v>3346</v>
      </c>
      <c r="T48" s="3664">
        <v>0</v>
      </c>
      <c r="U48" s="3664">
        <v>0</v>
      </c>
      <c r="V48" s="3664">
        <v>0</v>
      </c>
      <c r="W48" s="3664">
        <v>0</v>
      </c>
      <c r="X48" s="3665">
        <v>42314.000497685185</v>
      </c>
      <c r="Y48" s="3665">
        <v>42339.000497685185</v>
      </c>
      <c r="Z48" s="3665">
        <v>42339.000497685185</v>
      </c>
      <c r="AA48" s="3665">
        <v>42339.000497685185</v>
      </c>
      <c r="AB48" s="3664" t="s">
        <v>3653</v>
      </c>
      <c r="AC48" s="3664" t="s">
        <v>3348</v>
      </c>
      <c r="AD48" s="3664" t="s">
        <v>3648</v>
      </c>
      <c r="AE48" s="3664" t="s">
        <v>3346</v>
      </c>
      <c r="AF48" s="3664" t="s">
        <v>3346</v>
      </c>
      <c r="AG48" s="3664">
        <v>8057.79</v>
      </c>
      <c r="AH48" s="3664">
        <v>2020</v>
      </c>
      <c r="AI48" s="3664" t="s">
        <v>2095</v>
      </c>
      <c r="AJ48" s="3664">
        <v>8057.79</v>
      </c>
      <c r="AK48" s="3664">
        <v>124</v>
      </c>
      <c r="AL48" s="3664">
        <v>124</v>
      </c>
      <c r="AM48" s="3664">
        <v>930</v>
      </c>
      <c r="AN48" s="3664">
        <v>930</v>
      </c>
      <c r="AO48" s="3664" t="s">
        <v>3346</v>
      </c>
      <c r="AP48" s="3664" t="s">
        <v>3346</v>
      </c>
      <c r="AQ48" s="3664">
        <v>0</v>
      </c>
      <c r="AR48" s="3664" t="s">
        <v>3649</v>
      </c>
      <c r="AS48" s="3664" t="s">
        <v>3343</v>
      </c>
      <c r="AT48" s="3664" t="s">
        <v>3346</v>
      </c>
      <c r="AU48" s="3664" t="s">
        <v>3343</v>
      </c>
      <c r="AV48" s="3664" t="s">
        <v>3346</v>
      </c>
      <c r="AW48" s="3664" t="s">
        <v>3346</v>
      </c>
      <c r="AX48" s="3664" t="s">
        <v>3346</v>
      </c>
    </row>
    <row r="49" spans="1:50">
      <c r="A49" s="3664" t="s">
        <v>3654</v>
      </c>
      <c r="B49" s="3664" t="s">
        <v>3334</v>
      </c>
      <c r="C49" s="3664" t="s">
        <v>3655</v>
      </c>
      <c r="D49" s="3664" t="s">
        <v>3375</v>
      </c>
      <c r="E49" s="3664" t="s">
        <v>3656</v>
      </c>
      <c r="F49" s="3664" t="s">
        <v>3338</v>
      </c>
      <c r="G49" s="3664">
        <v>29419.119999999999</v>
      </c>
      <c r="H49" s="3664">
        <v>58838.239999999998</v>
      </c>
      <c r="I49" s="3664" t="s">
        <v>3657</v>
      </c>
      <c r="J49" s="3664" t="s">
        <v>3340</v>
      </c>
      <c r="K49" s="3664" t="s">
        <v>3658</v>
      </c>
      <c r="L49" s="3664" t="s">
        <v>3342</v>
      </c>
      <c r="M49" s="3664" t="s">
        <v>3343</v>
      </c>
      <c r="N49" s="3664" t="s">
        <v>3659</v>
      </c>
      <c r="O49" s="3664" t="s">
        <v>3346</v>
      </c>
      <c r="P49" s="3664" t="s">
        <v>3346</v>
      </c>
      <c r="Q49" s="3664" t="s">
        <v>3346</v>
      </c>
      <c r="R49" s="3664" t="s">
        <v>3346</v>
      </c>
      <c r="S49" s="3664" t="s">
        <v>3346</v>
      </c>
      <c r="T49" s="3664">
        <v>0</v>
      </c>
      <c r="U49" s="3664">
        <v>0</v>
      </c>
      <c r="V49" s="3664">
        <v>0</v>
      </c>
      <c r="W49" s="3664">
        <v>0</v>
      </c>
      <c r="X49" s="3665">
        <v>42075.000497685185</v>
      </c>
      <c r="Y49" s="3665">
        <v>42096.000497685185</v>
      </c>
      <c r="Z49" s="3665">
        <v>42096.000497685185</v>
      </c>
      <c r="AA49" s="3665">
        <v>42096.000497685185</v>
      </c>
      <c r="AB49" s="3664" t="s">
        <v>3660</v>
      </c>
      <c r="AC49" s="3664" t="s">
        <v>3348</v>
      </c>
      <c r="AD49" s="3664" t="s">
        <v>3661</v>
      </c>
      <c r="AE49" s="3664" t="s">
        <v>3346</v>
      </c>
      <c r="AF49" s="3664" t="s">
        <v>3346</v>
      </c>
      <c r="AG49" s="3664">
        <v>2206.44</v>
      </c>
      <c r="AH49" s="3664">
        <v>600</v>
      </c>
      <c r="AI49" s="3664" t="s">
        <v>2095</v>
      </c>
      <c r="AJ49" s="3664">
        <v>2206.44</v>
      </c>
      <c r="AK49" s="3664">
        <v>50</v>
      </c>
      <c r="AL49" s="3664">
        <v>50</v>
      </c>
      <c r="AM49" s="3664">
        <v>375</v>
      </c>
      <c r="AN49" s="3664">
        <v>375</v>
      </c>
      <c r="AO49" s="3664" t="s">
        <v>3346</v>
      </c>
      <c r="AP49" s="3664" t="s">
        <v>3346</v>
      </c>
      <c r="AQ49" s="3664">
        <v>0</v>
      </c>
      <c r="AR49" s="3664" t="s">
        <v>3649</v>
      </c>
      <c r="AS49" s="3664" t="s">
        <v>3343</v>
      </c>
      <c r="AT49" s="3664" t="s">
        <v>3346</v>
      </c>
      <c r="AU49" s="3664" t="s">
        <v>3343</v>
      </c>
      <c r="AV49" s="3664" t="s">
        <v>3346</v>
      </c>
      <c r="AW49" s="3664" t="s">
        <v>3346</v>
      </c>
      <c r="AX49" s="3664" t="s">
        <v>3346</v>
      </c>
    </row>
    <row r="50" spans="1:50">
      <c r="A50" s="3664" t="s">
        <v>3662</v>
      </c>
      <c r="B50" s="3664" t="s">
        <v>3334</v>
      </c>
      <c r="C50" s="3664" t="s">
        <v>3663</v>
      </c>
      <c r="D50" s="3664" t="s">
        <v>3664</v>
      </c>
      <c r="E50" s="3664" t="s">
        <v>3665</v>
      </c>
      <c r="F50" s="3664" t="s">
        <v>3338</v>
      </c>
      <c r="G50" s="3664">
        <v>13188.32</v>
      </c>
      <c r="H50" s="3664">
        <v>31651.97</v>
      </c>
      <c r="I50" s="3665">
        <v>37988.000497685185</v>
      </c>
      <c r="J50" s="3664" t="s">
        <v>3340</v>
      </c>
      <c r="K50" s="3664" t="s">
        <v>3666</v>
      </c>
      <c r="L50" s="3664" t="s">
        <v>3342</v>
      </c>
      <c r="M50" s="3664" t="s">
        <v>3343</v>
      </c>
      <c r="N50" s="3664" t="s">
        <v>3659</v>
      </c>
      <c r="O50" s="3664" t="s">
        <v>3553</v>
      </c>
      <c r="P50" s="3664" t="s">
        <v>3346</v>
      </c>
      <c r="Q50" s="3664" t="s">
        <v>3346</v>
      </c>
      <c r="R50" s="3664" t="s">
        <v>3346</v>
      </c>
      <c r="S50" s="3664" t="s">
        <v>3346</v>
      </c>
      <c r="T50" s="3664">
        <v>0</v>
      </c>
      <c r="U50" s="3664">
        <v>0</v>
      </c>
      <c r="V50" s="3664">
        <v>0</v>
      </c>
      <c r="W50" s="3664">
        <v>0</v>
      </c>
      <c r="X50" s="3665">
        <v>41999.000497685185</v>
      </c>
      <c r="Y50" s="3665">
        <v>41661.000497685185</v>
      </c>
      <c r="Z50" s="3665">
        <v>41661.000497685185</v>
      </c>
      <c r="AA50" s="3665">
        <v>41661.000497685185</v>
      </c>
      <c r="AB50" s="3664" t="s">
        <v>3667</v>
      </c>
      <c r="AC50" s="3664" t="s">
        <v>3348</v>
      </c>
      <c r="AD50" s="3664" t="s">
        <v>3668</v>
      </c>
      <c r="AE50" s="3664" t="s">
        <v>3346</v>
      </c>
      <c r="AF50" s="3664" t="s">
        <v>3346</v>
      </c>
      <c r="AG50" s="3664">
        <v>1285.8599999999999</v>
      </c>
      <c r="AH50" s="3664">
        <v>330</v>
      </c>
      <c r="AI50" s="3664" t="s">
        <v>2095</v>
      </c>
      <c r="AJ50" s="3664">
        <v>1384.78</v>
      </c>
      <c r="AK50" s="3664">
        <v>65</v>
      </c>
      <c r="AL50" s="3664">
        <v>70</v>
      </c>
      <c r="AM50" s="3664">
        <v>406</v>
      </c>
      <c r="AN50" s="3664">
        <v>438</v>
      </c>
      <c r="AO50" s="3664" t="s">
        <v>3346</v>
      </c>
      <c r="AP50" s="3664" t="s">
        <v>3346</v>
      </c>
      <c r="AQ50" s="3664">
        <v>7.69</v>
      </c>
      <c r="AR50" s="3664" t="s">
        <v>3669</v>
      </c>
      <c r="AS50" s="3664" t="s">
        <v>3343</v>
      </c>
      <c r="AT50" s="3664" t="s">
        <v>3346</v>
      </c>
      <c r="AU50" s="3664" t="s">
        <v>3343</v>
      </c>
      <c r="AV50" s="3664" t="s">
        <v>3346</v>
      </c>
      <c r="AW50" s="3664" t="s">
        <v>3346</v>
      </c>
      <c r="AX50" s="3664" t="s">
        <v>3346</v>
      </c>
    </row>
    <row r="51" spans="1:50">
      <c r="A51" s="3664" t="s">
        <v>3670</v>
      </c>
      <c r="B51" s="3664" t="s">
        <v>3334</v>
      </c>
      <c r="C51" s="3664" t="s">
        <v>3671</v>
      </c>
      <c r="D51" s="3664" t="s">
        <v>3406</v>
      </c>
      <c r="E51" s="3664" t="s">
        <v>3672</v>
      </c>
      <c r="F51" s="3664" t="s">
        <v>3338</v>
      </c>
      <c r="G51" s="3664">
        <v>3333.48</v>
      </c>
      <c r="H51" s="3664">
        <v>13333.9</v>
      </c>
      <c r="I51" s="3664" t="s">
        <v>3673</v>
      </c>
      <c r="J51" s="3664" t="s">
        <v>3340</v>
      </c>
      <c r="K51" s="3664" t="s">
        <v>3674</v>
      </c>
      <c r="L51" s="3664" t="s">
        <v>3342</v>
      </c>
      <c r="M51" s="3664" t="s">
        <v>3343</v>
      </c>
      <c r="N51" s="3664" t="s">
        <v>3659</v>
      </c>
      <c r="O51" s="3664" t="s">
        <v>3408</v>
      </c>
      <c r="P51" s="3664" t="s">
        <v>3346</v>
      </c>
      <c r="Q51" s="3664" t="s">
        <v>3346</v>
      </c>
      <c r="R51" s="3664" t="s">
        <v>3346</v>
      </c>
      <c r="S51" s="3664" t="s">
        <v>3346</v>
      </c>
      <c r="T51" s="3664">
        <v>0</v>
      </c>
      <c r="U51" s="3664">
        <v>0</v>
      </c>
      <c r="V51" s="3664">
        <v>0</v>
      </c>
      <c r="W51" s="3664">
        <v>0</v>
      </c>
      <c r="X51" s="3665">
        <v>41837.000497685185</v>
      </c>
      <c r="Y51" s="3665">
        <v>41859.000497685185</v>
      </c>
      <c r="Z51" s="3665">
        <v>41859.000497685185</v>
      </c>
      <c r="AA51" s="3665">
        <v>41859.000497685185</v>
      </c>
      <c r="AB51" s="3664" t="s">
        <v>3675</v>
      </c>
      <c r="AC51" s="3664" t="s">
        <v>3348</v>
      </c>
      <c r="AD51" s="3664" t="s">
        <v>3676</v>
      </c>
      <c r="AE51" s="3664" t="s">
        <v>3346</v>
      </c>
      <c r="AF51" s="3664" t="s">
        <v>3346</v>
      </c>
      <c r="AG51" s="3664">
        <v>800.03</v>
      </c>
      <c r="AH51" s="3664">
        <v>200</v>
      </c>
      <c r="AI51" s="3664" t="s">
        <v>2095</v>
      </c>
      <c r="AJ51" s="3664">
        <v>800.03</v>
      </c>
      <c r="AK51" s="3664">
        <v>160</v>
      </c>
      <c r="AL51" s="3664">
        <v>160</v>
      </c>
      <c r="AM51" s="3664">
        <v>600</v>
      </c>
      <c r="AN51" s="3664">
        <v>600</v>
      </c>
      <c r="AO51" s="3664" t="s">
        <v>3346</v>
      </c>
      <c r="AP51" s="3664" t="s">
        <v>3346</v>
      </c>
      <c r="AQ51" s="3664">
        <v>0</v>
      </c>
      <c r="AR51" s="3664" t="s">
        <v>3677</v>
      </c>
      <c r="AS51" s="3664" t="s">
        <v>3343</v>
      </c>
      <c r="AT51" s="3664" t="s">
        <v>3346</v>
      </c>
      <c r="AU51" s="3664" t="s">
        <v>3343</v>
      </c>
      <c r="AV51" s="3664" t="s">
        <v>3346</v>
      </c>
      <c r="AW51" s="3664" t="s">
        <v>3346</v>
      </c>
      <c r="AX51" s="3664" t="s">
        <v>3346</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8" sqref="J38"/>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7" t="s">
        <v>1556</v>
      </c>
      <c r="B1" s="3677"/>
      <c r="C1" s="3677"/>
      <c r="D1" s="3677"/>
      <c r="E1" s="3677"/>
      <c r="F1" s="3677"/>
      <c r="G1" s="3677"/>
      <c r="H1" s="3677"/>
      <c r="I1" s="3677"/>
      <c r="J1" s="3677"/>
      <c r="K1" s="3677"/>
      <c r="L1" s="3677"/>
      <c r="M1" s="3677"/>
      <c r="N1" s="3677"/>
      <c r="O1" s="3677"/>
      <c r="P1" s="3677"/>
      <c r="Q1" s="3677"/>
      <c r="R1" s="3677"/>
    </row>
    <row r="2" spans="1:18">
      <c r="A2" s="1595" t="s">
        <v>1558</v>
      </c>
      <c r="B2" s="1595"/>
      <c r="C2" s="1595"/>
      <c r="D2" s="1595"/>
      <c r="E2" s="1595"/>
      <c r="F2" s="1595"/>
      <c r="G2" s="1595"/>
      <c r="H2" s="1595"/>
      <c r="I2" s="1596"/>
      <c r="J2" s="1596"/>
      <c r="K2" s="1597" t="str">
        <f>"估价期日："&amp;TEXT(项目基本情况!D3,"yyyy年m月d日;;")</f>
        <v>估价期日：2023年4月12日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78" t="s">
        <v>1547</v>
      </c>
      <c r="B3" s="3678" t="s">
        <v>2013</v>
      </c>
      <c r="C3" s="3679" t="s">
        <v>1548</v>
      </c>
      <c r="D3" s="3678" t="s">
        <v>2017</v>
      </c>
      <c r="E3" s="3681" t="s">
        <v>1549</v>
      </c>
      <c r="F3" s="3681"/>
      <c r="G3" s="3681"/>
      <c r="H3" s="3681" t="s">
        <v>1550</v>
      </c>
      <c r="I3" s="3681"/>
      <c r="J3" s="3681"/>
      <c r="K3" s="3679" t="s">
        <v>1551</v>
      </c>
      <c r="L3" s="3679" t="s">
        <v>1552</v>
      </c>
      <c r="M3" s="3678" t="s">
        <v>2014</v>
      </c>
      <c r="N3" s="3680" t="str">
        <f>"（分摊）"&amp;项目基本情况!A17&amp;"国有建设用地使用权面积/㎡"</f>
        <v>（分摊）出让国有建设用地使用权面积/㎡</v>
      </c>
      <c r="O3" s="3678" t="s">
        <v>1581</v>
      </c>
      <c r="P3" s="3679" t="s">
        <v>1561</v>
      </c>
      <c r="Q3" s="3679" t="s">
        <v>1582</v>
      </c>
      <c r="R3" s="3679" t="s">
        <v>1553</v>
      </c>
    </row>
    <row r="4" spans="1:18" ht="36.75" customHeight="1">
      <c r="A4" s="3678"/>
      <c r="B4" s="3678"/>
      <c r="C4" s="3679"/>
      <c r="D4" s="3678"/>
      <c r="E4" s="2254" t="s">
        <v>1560</v>
      </c>
      <c r="F4" s="2254" t="s">
        <v>2026</v>
      </c>
      <c r="G4" s="2254" t="s">
        <v>1554</v>
      </c>
      <c r="H4" s="2254" t="s">
        <v>1555</v>
      </c>
      <c r="I4" s="2254" t="s">
        <v>2027</v>
      </c>
      <c r="J4" s="2254" t="s">
        <v>1554</v>
      </c>
      <c r="K4" s="3679"/>
      <c r="L4" s="3679"/>
      <c r="M4" s="3678"/>
      <c r="N4" s="3680"/>
      <c r="O4" s="3678"/>
      <c r="P4" s="3679"/>
      <c r="Q4" s="3679"/>
      <c r="R4" s="3679"/>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28084.68</v>
      </c>
      <c r="O5" s="1598">
        <f>项目基本情况!C21</f>
        <v>56169.36</v>
      </c>
      <c r="P5" s="1598">
        <f ca="1">结果表!E42</f>
        <v>4483</v>
      </c>
      <c r="Q5" s="1598">
        <f ca="1">结果表!D42</f>
        <v>2241</v>
      </c>
      <c r="R5" s="1599">
        <f ca="1">结果表!C42</f>
        <v>12590</v>
      </c>
    </row>
    <row r="6" spans="1:18">
      <c r="A6" s="3674" t="str">
        <f>IF(项目基本情况!B9="市场价格","——","抵押价格")</f>
        <v>抵押价格</v>
      </c>
      <c r="B6" s="3675"/>
      <c r="C6" s="3675"/>
      <c r="D6" s="3675"/>
      <c r="E6" s="3675"/>
      <c r="F6" s="3675"/>
      <c r="G6" s="3675"/>
      <c r="H6" s="3675"/>
      <c r="I6" s="3675"/>
      <c r="J6" s="3675"/>
      <c r="K6" s="3675"/>
      <c r="L6" s="3675"/>
      <c r="M6" s="3675"/>
      <c r="N6" s="3675"/>
      <c r="O6" s="3675"/>
      <c r="P6" s="3675"/>
      <c r="Q6" s="3676"/>
      <c r="R6" s="1600">
        <f ca="1">结果表!O39</f>
        <v>12590</v>
      </c>
    </row>
    <row r="7" spans="1:18">
      <c r="A7" s="3674" t="str">
        <f>IF(项目基本情况!B9="市场价格","——",IF(项目基本情况!E8="已注销及未注销","抵押担保权已注销时的抵押价格","——"))</f>
        <v>——</v>
      </c>
      <c r="B7" s="3675"/>
      <c r="C7" s="3675"/>
      <c r="D7" s="3675"/>
      <c r="E7" s="3675"/>
      <c r="F7" s="3675"/>
      <c r="G7" s="3675"/>
      <c r="H7" s="3675"/>
      <c r="I7" s="3675"/>
      <c r="J7" s="3675"/>
      <c r="K7" s="3675"/>
      <c r="L7" s="3675"/>
      <c r="M7" s="3675"/>
      <c r="N7" s="3675"/>
      <c r="O7" s="3675"/>
      <c r="P7" s="3675"/>
      <c r="Q7" s="3676"/>
      <c r="R7" s="1600" t="str">
        <f>结果表!O40</f>
        <v>——</v>
      </c>
    </row>
    <row r="8" spans="1:18">
      <c r="A8" s="3674">
        <f>IF(项目基本情况!B9="市场价格","——",项目基本情况!E9)</f>
        <v>0</v>
      </c>
      <c r="B8" s="3675"/>
      <c r="C8" s="3675"/>
      <c r="D8" s="3675"/>
      <c r="E8" s="3675"/>
      <c r="F8" s="3675"/>
      <c r="G8" s="3675"/>
      <c r="H8" s="3675"/>
      <c r="I8" s="3675"/>
      <c r="J8" s="3675"/>
      <c r="K8" s="3675"/>
      <c r="L8" s="3675"/>
      <c r="M8" s="3675"/>
      <c r="N8" s="3675"/>
      <c r="O8" s="3675"/>
      <c r="P8" s="3675"/>
      <c r="Q8" s="3676"/>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82" t="s">
        <v>1583</v>
      </c>
      <c r="B1" s="3682"/>
      <c r="C1" s="3682"/>
      <c r="D1" s="3682"/>
    </row>
    <row r="2" spans="1:4" ht="47.25" customHeight="1">
      <c r="A2" s="3686" t="str">
        <f>"1.权利限制："&amp;项目基本情况!L24&amp;"未设定租赁等其他他项权利。"</f>
        <v>1.权利限制：根据估价对象《不动产权证书》原件、《国有土地使用权》复印件，截至估价期日，估价对象抵押权未见登记。未设定租赁等其他他项权利。</v>
      </c>
      <c r="B2" s="3686"/>
      <c r="C2" s="3686"/>
      <c r="D2" s="3686"/>
    </row>
    <row r="3" spans="1:4" ht="48" customHeight="1">
      <c r="A3" s="368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2"/>
      <c r="C3" s="3682"/>
      <c r="D3" s="3682"/>
    </row>
    <row r="4" spans="1:4" ht="36.75" customHeight="1">
      <c r="A4" s="3682" t="str">
        <f>"3.估价规划限制条件：详见"&amp;项目基本情况!E21&amp;"。"</f>
        <v>3.估价规划限制条件：详见《建设工程规划许可证》[]、《出让合同》[]。</v>
      </c>
      <c r="B4" s="3682"/>
      <c r="C4" s="3682"/>
      <c r="D4" s="3682"/>
    </row>
    <row r="5" spans="1:4">
      <c r="A5" s="3685" t="s">
        <v>1584</v>
      </c>
      <c r="B5" s="3685"/>
      <c r="C5" s="3685"/>
      <c r="D5" s="3685"/>
    </row>
    <row r="6" spans="1:4">
      <c r="A6" s="3682" t="s">
        <v>1562</v>
      </c>
      <c r="B6" s="3682"/>
      <c r="C6" s="3682"/>
      <c r="D6" s="3682"/>
    </row>
    <row r="7" spans="1:4" ht="33" customHeight="1">
      <c r="A7" s="3682" t="s">
        <v>1857</v>
      </c>
      <c r="B7" s="3682"/>
      <c r="C7" s="3682"/>
      <c r="D7" s="3682"/>
    </row>
    <row r="8" spans="1:4" ht="32.25" customHeight="1">
      <c r="A8" s="368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2"/>
      <c r="C8" s="3682"/>
      <c r="D8" s="3682"/>
    </row>
    <row r="9" spans="1:4" ht="33.75" customHeight="1">
      <c r="A9" s="368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2"/>
      <c r="C9" s="3682"/>
      <c r="D9" s="3682"/>
    </row>
    <row r="10" spans="1:4">
      <c r="A10" s="3682" t="str">
        <f>IF(项目基本情况!B8="抵押","4.估价师所知悉的法定优先受偿款情况为：","——")</f>
        <v>4.估价师所知悉的法定优先受偿款情况为：</v>
      </c>
      <c r="B10" s="3682"/>
      <c r="C10" s="3682"/>
      <c r="D10" s="3682"/>
    </row>
    <row r="11" spans="1:4" ht="37.5" customHeight="1">
      <c r="A11" s="368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4"/>
      <c r="C11" s="3684"/>
      <c r="D11" s="3684"/>
    </row>
    <row r="12" spans="1:4" ht="168" customHeight="1">
      <c r="A12" s="3685" t="s">
        <v>1586</v>
      </c>
      <c r="B12" s="3685"/>
      <c r="C12" s="3685"/>
      <c r="D12" s="3685"/>
    </row>
    <row r="13" spans="1:4">
      <c r="A13" s="3683" t="s">
        <v>2028</v>
      </c>
      <c r="B13" s="3683"/>
      <c r="C13" s="3683"/>
      <c r="D13" s="3683"/>
    </row>
    <row r="14" spans="1:4">
      <c r="A14" s="3684" t="str">
        <f>IF(项目基本情况!B8="抵押","综上，"&amp;结果表!K47,"——")</f>
        <v>综上，本次评估不存在估价师知悉的法定优先受偿款</v>
      </c>
      <c r="B14" s="3684"/>
      <c r="C14" s="3684"/>
      <c r="D14" s="3684"/>
    </row>
    <row r="15" spans="1:4" ht="58.5" customHeight="1">
      <c r="A15" s="368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2"/>
      <c r="C15" s="3682"/>
      <c r="D15" s="3682"/>
    </row>
    <row r="16" spans="1:4" ht="70.5" customHeight="1">
      <c r="A16" s="368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2"/>
      <c r="C16" s="3682"/>
      <c r="D16" s="3682"/>
    </row>
    <row r="17" spans="1:4">
      <c r="A17" s="3682" t="s">
        <v>1984</v>
      </c>
      <c r="B17" s="3682"/>
      <c r="C17" s="3682"/>
      <c r="D17" s="3682"/>
    </row>
    <row r="18" spans="1:4">
      <c r="A18" s="3682" t="s">
        <v>1976</v>
      </c>
      <c r="B18" s="3682"/>
      <c r="C18" s="3682"/>
      <c r="D18" s="3682"/>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82" t="s">
        <v>1981</v>
      </c>
      <c r="B23" s="3682"/>
      <c r="C23" s="3682"/>
      <c r="D23" s="3682"/>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94" t="s">
        <v>27</v>
      </c>
      <c r="B15" s="3695" t="s">
        <v>784</v>
      </c>
      <c r="C15" s="3691"/>
    </row>
    <row r="16" spans="1:7" ht="14.25">
      <c r="A16" s="3694"/>
      <c r="B16" s="3692" t="s">
        <v>28</v>
      </c>
      <c r="C16" s="1070" t="s">
        <v>27</v>
      </c>
    </row>
    <row r="17" spans="1:3" ht="14.25">
      <c r="A17" s="3694"/>
      <c r="B17" s="3692"/>
      <c r="C17" s="1070" t="s">
        <v>29</v>
      </c>
    </row>
    <row r="18" spans="1:3" ht="14.25">
      <c r="A18" s="3694"/>
      <c r="B18" s="3692"/>
      <c r="C18" s="1070" t="s">
        <v>30</v>
      </c>
    </row>
    <row r="19" spans="1:3" ht="14.25">
      <c r="A19" s="3694"/>
      <c r="B19" s="3690" t="s">
        <v>31</v>
      </c>
      <c r="C19" s="3691"/>
    </row>
    <row r="20" spans="1:3" ht="14.25">
      <c r="A20" s="1071" t="s">
        <v>32</v>
      </c>
      <c r="B20" s="1072"/>
      <c r="C20" s="1073"/>
    </row>
    <row r="21" spans="1:3" ht="14.25">
      <c r="A21" s="3693" t="s">
        <v>33</v>
      </c>
      <c r="B21" s="3690" t="s">
        <v>34</v>
      </c>
      <c r="C21" s="3691"/>
    </row>
    <row r="22" spans="1:3" ht="14.25">
      <c r="A22" s="3693"/>
      <c r="B22" s="3690" t="s">
        <v>35</v>
      </c>
      <c r="C22" s="3691"/>
    </row>
    <row r="23" spans="1:3" ht="14.25">
      <c r="A23" s="3693"/>
      <c r="B23" s="3690" t="s">
        <v>36</v>
      </c>
      <c r="C23" s="3691"/>
    </row>
    <row r="24" spans="1:3" ht="14.25">
      <c r="A24" s="3693"/>
      <c r="B24" s="3696" t="s">
        <v>37</v>
      </c>
      <c r="C24" s="1074" t="s">
        <v>775</v>
      </c>
    </row>
    <row r="25" spans="1:3" ht="14.25">
      <c r="A25" s="3693"/>
      <c r="B25" s="3697"/>
      <c r="C25" s="1074" t="s">
        <v>776</v>
      </c>
    </row>
    <row r="26" spans="1:3" ht="14.25">
      <c r="A26" s="3693"/>
      <c r="B26" s="3697"/>
      <c r="C26" s="1074" t="s">
        <v>777</v>
      </c>
    </row>
    <row r="27" spans="1:3" ht="14.25">
      <c r="A27" s="3693"/>
      <c r="B27" s="3697"/>
      <c r="C27" s="1074" t="s">
        <v>778</v>
      </c>
    </row>
    <row r="28" spans="1:3" ht="14.25">
      <c r="A28" s="3693"/>
      <c r="B28" s="3697"/>
      <c r="C28" s="1074" t="s">
        <v>779</v>
      </c>
    </row>
    <row r="29" spans="1:3" ht="14.25">
      <c r="A29" s="3693"/>
      <c r="B29" s="3697"/>
      <c r="C29" s="1074" t="s">
        <v>780</v>
      </c>
    </row>
    <row r="30" spans="1:3" ht="14.25">
      <c r="A30" s="3693"/>
      <c r="B30" s="3697"/>
      <c r="C30" s="1074" t="s">
        <v>781</v>
      </c>
    </row>
    <row r="31" spans="1:3" ht="14.25">
      <c r="A31" s="3693"/>
      <c r="B31" s="3697"/>
      <c r="C31" s="1074" t="s">
        <v>782</v>
      </c>
    </row>
    <row r="32" spans="1:3" ht="14.25">
      <c r="A32" s="3693"/>
      <c r="B32" s="3697"/>
      <c r="C32" s="1074" t="s">
        <v>1181</v>
      </c>
    </row>
    <row r="33" spans="1:3" ht="14.25">
      <c r="A33" s="3693"/>
      <c r="B33" s="3687" t="s">
        <v>1187</v>
      </c>
      <c r="C33" s="1074" t="s">
        <v>1182</v>
      </c>
    </row>
    <row r="34" spans="1:3" ht="14.25">
      <c r="A34" s="3693"/>
      <c r="B34" s="3688"/>
      <c r="C34" s="1079" t="s">
        <v>1183</v>
      </c>
    </row>
    <row r="35" spans="1:3" ht="14.25">
      <c r="A35" s="3693"/>
      <c r="B35" s="3688"/>
      <c r="C35" s="1080" t="s">
        <v>1184</v>
      </c>
    </row>
    <row r="36" spans="1:3" ht="14.25">
      <c r="A36" s="3693"/>
      <c r="B36" s="3688"/>
      <c r="C36" s="1080" t="s">
        <v>1185</v>
      </c>
    </row>
    <row r="37" spans="1:3" ht="14.25">
      <c r="A37" s="3693"/>
      <c r="B37" s="3689"/>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45076</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01" t="s">
        <v>1448</v>
      </c>
      <c r="B18" s="3702"/>
      <c r="C18" s="3702"/>
      <c r="D18" s="3702"/>
      <c r="E18" s="3702"/>
      <c r="F18" s="3702"/>
      <c r="G18" s="2777"/>
    </row>
    <row r="19" spans="1:7" ht="20.25" customHeight="1">
      <c r="A19" s="3698" t="s">
        <v>1449</v>
      </c>
      <c r="B19" s="3698"/>
      <c r="C19" s="3699"/>
      <c r="D19" s="3700" t="s">
        <v>1450</v>
      </c>
      <c r="E19" s="3698"/>
      <c r="F19" s="3698"/>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7" t="s">
        <v>2748</v>
      </c>
      <c r="I8" s="7" t="s">
        <v>2755</v>
      </c>
    </row>
    <row r="9" spans="1:23">
      <c r="A9" s="6" t="s">
        <v>77</v>
      </c>
      <c r="B9" s="6" t="s">
        <v>122</v>
      </c>
      <c r="C9" s="1368" t="s">
        <v>1245</v>
      </c>
      <c r="F9" s="7" t="s">
        <v>78</v>
      </c>
      <c r="H9" s="7"/>
      <c r="I9" s="7" t="s">
        <v>2756</v>
      </c>
    </row>
    <row r="10" spans="1:23">
      <c r="A10" s="6" t="s">
        <v>79</v>
      </c>
      <c r="B10" s="6" t="s">
        <v>123</v>
      </c>
      <c r="C10" s="1368" t="s">
        <v>1246</v>
      </c>
      <c r="F10" s="3337"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03"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c r="D53" s="1558"/>
      <c r="E53" s="1558"/>
    </row>
    <row r="54" spans="1:5">
      <c r="A54" s="3703"/>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03"/>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03"/>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03"/>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面积表</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2023-05-30T10:03:43Z</dcterms:modified>
</cp:coreProperties>
</file>